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현재_통합_문서" checkCompatibility="1" defaultThemeVersion="124226"/>
  <bookViews>
    <workbookView xWindow="-15" yWindow="-15" windowWidth="14400" windowHeight="11475" firstSheet="10" activeTab="16"/>
  </bookViews>
  <sheets>
    <sheet name="1.계획하수량 원단위 총괄" sheetId="103" r:id="rId1"/>
    <sheet name="2.음성군급수총괄" sheetId="66" r:id="rId2"/>
    <sheet name="3.면별급수현황" sheetId="20" r:id="rId3"/>
    <sheet name="4.상수사용량현황" sheetId="22" r:id="rId4"/>
    <sheet name="4.1사용실적산정" sheetId="27" r:id="rId5"/>
    <sheet name="5.생산량분석" sheetId="68" r:id="rId6"/>
    <sheet name="6. 물사용량 실적산정" sheetId="121" r:id="rId7"/>
    <sheet name="유효무수수량 산정" sheetId="158" state="hidden" r:id="rId8"/>
    <sheet name="6.상수사용량원단위" sheetId="89" r:id="rId9"/>
    <sheet name="6.1. 상수사용량원단위 (맹동신규)" sheetId="161" r:id="rId10"/>
    <sheet name="6.1관련계획" sheetId="117" r:id="rId11"/>
    <sheet name="7.생활오수량 원단위" sheetId="90" r:id="rId12"/>
    <sheet name="7.1소규모원단위" sheetId="113" r:id="rId13"/>
    <sheet name="8.지하수사용량" sheetId="114" r:id="rId14"/>
    <sheet name="10.관광오수량 원단위" sheetId="91" state="hidden" r:id="rId15"/>
    <sheet name="11.연계처리용량 및 수질" sheetId="116" r:id="rId16"/>
    <sheet name="12.기타하수량" sheetId="115" r:id="rId17"/>
    <sheet name="출력금지&gt;&gt;" sheetId="160" r:id="rId18"/>
    <sheet name="분뇨연계처리수" sheetId="156" state="hidden" r:id="rId19"/>
    <sheet name="음성분뇨연계" sheetId="157" state="hidden" r:id="rId20"/>
    <sheet name="슬러지처리시설" sheetId="155" state="hidden" r:id="rId21"/>
    <sheet name="9715부대" sheetId="154" state="hidden" r:id="rId22"/>
    <sheet name="602대대" sheetId="159" state="hidden" r:id="rId23"/>
    <sheet name="상수도사용원단위" sheetId="26" state="hidden" r:id="rId24"/>
    <sheet name="급수량원단위추정" sheetId="70" state="hidden" r:id="rId25"/>
    <sheet name="사용량 수학적추정" sheetId="84" state="hidden" r:id="rId26"/>
    <sheet name="물사용량 수학적추정" sheetId="122" state="hidden" r:id="rId27"/>
    <sheet name="급수량==&gt;" sheetId="78" state="hidden" r:id="rId28"/>
    <sheet name="음성읍(10년)" sheetId="69" state="hidden" r:id="rId29"/>
    <sheet name="음성읍(5년)" sheetId="71" state="hidden" r:id="rId30"/>
    <sheet name="금왕읍(10년)" sheetId="72" state="hidden" r:id="rId31"/>
    <sheet name="금왕읍(5년)" sheetId="73" state="hidden" r:id="rId32"/>
    <sheet name="대소면(10년)" sheetId="87" state="hidden" r:id="rId33"/>
    <sheet name="대소면(5년)" sheetId="88" state="hidden" r:id="rId34"/>
    <sheet name="삼성면(10년)" sheetId="146" state="hidden" r:id="rId35"/>
    <sheet name="삼성면(5년)" sheetId="149" state="hidden" r:id="rId36"/>
    <sheet name="감곡면(10년)" sheetId="107" state="hidden" r:id="rId37"/>
    <sheet name="감곡면(5년)" sheetId="108" state="hidden" r:id="rId38"/>
    <sheet name="생극면(10년)" sheetId="148" state="hidden" r:id="rId39"/>
    <sheet name="생극면(5년)" sheetId="147" state="hidden" r:id="rId40"/>
    <sheet name="사용량==&gt;" sheetId="80" state="hidden" r:id="rId41"/>
    <sheet name="음성읍(10년) (사)" sheetId="79" state="hidden" r:id="rId42"/>
    <sheet name="음성읍(5년) (사)" sheetId="81" state="hidden" r:id="rId43"/>
    <sheet name="금왕읍(10년) (사)" sheetId="82" state="hidden" r:id="rId44"/>
    <sheet name="금왕읍(5년) (사)" sheetId="83" state="hidden" r:id="rId45"/>
    <sheet name="대소면(10년) (사)" sheetId="85" state="hidden" r:id="rId46"/>
    <sheet name="대소면(5년) (사)" sheetId="86" state="hidden" r:id="rId47"/>
    <sheet name="삼성면(10년) (사)" sheetId="150" state="hidden" r:id="rId48"/>
    <sheet name="삼성면(5년) (사)" sheetId="151" state="hidden" r:id="rId49"/>
    <sheet name="감곡면(10년) (사)" sheetId="105" state="hidden" r:id="rId50"/>
    <sheet name="감곡면(5년) (사)" sheetId="106" state="hidden" r:id="rId51"/>
    <sheet name="생극면(10년) (사)" sheetId="152" state="hidden" r:id="rId52"/>
    <sheet name="생극면(5년) (사)" sheetId="153" state="hidden" r:id="rId53"/>
    <sheet name="물사용량==&gt;" sheetId="143" state="hidden" r:id="rId54"/>
    <sheet name="음성읍(10년) (물)" sheetId="123" state="hidden" r:id="rId55"/>
    <sheet name="음성읍(5년) (물)" sheetId="124" state="hidden" r:id="rId56"/>
    <sheet name="금왕읍(10년) (물)" sheetId="125" state="hidden" r:id="rId57"/>
    <sheet name="금왕읍(5년) (물)" sheetId="126" state="hidden" r:id="rId58"/>
    <sheet name="소이면(10년) (물)" sheetId="127" state="hidden" r:id="rId59"/>
    <sheet name="소이면(5년) (물)" sheetId="128" state="hidden" r:id="rId60"/>
    <sheet name="원남면(10년) (물)" sheetId="129" state="hidden" r:id="rId61"/>
    <sheet name="원남면(5년) (물)" sheetId="130" state="hidden" r:id="rId62"/>
    <sheet name="맹동면(10년) (물)" sheetId="131" state="hidden" r:id="rId63"/>
    <sheet name="맹동면(5년) (물)" sheetId="132" state="hidden" r:id="rId64"/>
    <sheet name="대소면(10년) (물)" sheetId="133" state="hidden" r:id="rId65"/>
    <sheet name="대소면(5년) (물)" sheetId="134" state="hidden" r:id="rId66"/>
    <sheet name="삼성면(10년) (물)" sheetId="135" state="hidden" r:id="rId67"/>
    <sheet name="삼성면(5년) (물)" sheetId="136" state="hidden" r:id="rId68"/>
    <sheet name="생극면(10년) (물)" sheetId="137" state="hidden" r:id="rId69"/>
    <sheet name="생극면(5년) (물)" sheetId="138" state="hidden" r:id="rId70"/>
    <sheet name="감곡면(10년) (물)" sheetId="139" state="hidden" r:id="rId71"/>
    <sheet name="감곡면(5년) (물)" sheetId="140" state="hidden" r:id="rId72"/>
    <sheet name="집계표 (2)" sheetId="141" state="hidden" r:id="rId73"/>
    <sheet name="집계표" sheetId="142" state="hidden" r:id="rId74"/>
    <sheet name="소규모" sheetId="112" state="hidden" r:id="rId75"/>
    <sheet name="부윤(검측)" sheetId="144" state="hidden" r:id="rId76"/>
    <sheet name="미곡(검측)" sheetId="145" state="hidden" r:id="rId77"/>
    <sheet name="관성(검측)" sheetId="111" state="hidden" r:id="rId78"/>
    <sheet name="단평(검측)" sheetId="109" state="hidden" r:id="rId79"/>
    <sheet name="오궁(검측)" sheetId="110" state="hidden" r:id="rId80"/>
  </sheets>
  <externalReferences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_xlnm._FilterDatabase" localSheetId="9" hidden="1">[1]수량명세서!#REF!</definedName>
    <definedName name="_xlnm._FilterDatabase" localSheetId="13" hidden="1">'8.지하수사용량'!#REF!</definedName>
    <definedName name="_xlnm._FilterDatabase" localSheetId="18" hidden="1">[1]수량명세서!#REF!</definedName>
    <definedName name="_xlnm._FilterDatabase" hidden="1">[1]수량명세서!#REF!</definedName>
    <definedName name="_Key1" localSheetId="9" hidden="1">#REF!</definedName>
    <definedName name="_Key1" localSheetId="18" hidden="1">#REF!</definedName>
    <definedName name="_Key1" hidden="1">#REF!</definedName>
    <definedName name="_Order1" hidden="1">1</definedName>
    <definedName name="_Order2" hidden="1">255</definedName>
    <definedName name="_Sort" localSheetId="9" hidden="1">'[2]8.PILE  (돌출)'!#REF!</definedName>
    <definedName name="_Sort" localSheetId="18" hidden="1">'[2]8.PILE  (돌출)'!#REF!</definedName>
    <definedName name="_Sort" hidden="1">'[2]8.PILE  (돌출)'!#REF!</definedName>
    <definedName name="_SORT1" localSheetId="9" hidden="1">#REF!</definedName>
    <definedName name="_SORT1" localSheetId="18" hidden="1">#REF!</definedName>
    <definedName name="_SORT1" hidden="1">#REF!</definedName>
    <definedName name="_tt1">"tt1"</definedName>
    <definedName name="DD" localSheetId="9" hidden="1">'[3]8.PILE  (돌출)'!#REF!</definedName>
    <definedName name="DD" localSheetId="18" hidden="1">'[3]8.PILE  (돌출)'!#REF!</definedName>
    <definedName name="DD" hidden="1">'[3]8.PILE  (돌출)'!#REF!</definedName>
    <definedName name="HTML_CodePage" hidden="1">949</definedName>
    <definedName name="HTML_Control" localSheetId="0" hidden="1">{"'인구추정(면계)'!$I$44:$N$48"}</definedName>
    <definedName name="HTML_Control" localSheetId="16" hidden="1">{"'인구추정(면계)'!$I$44:$N$48"}</definedName>
    <definedName name="HTML_Control" localSheetId="4" hidden="1">{"'인구추정(면계)'!$I$44:$N$48"}</definedName>
    <definedName name="HTML_Control" localSheetId="10" hidden="1">{"'인구추정(면계)'!$I$44:$N$48"}</definedName>
    <definedName name="HTML_Control" localSheetId="13" hidden="1">{"'인구추정(면계)'!$I$44:$N$48"}</definedName>
    <definedName name="HTML_Control" localSheetId="77" hidden="1">{"'인구추정(면계)'!$I$44:$N$48"}</definedName>
    <definedName name="HTML_Control" localSheetId="78" hidden="1">{"'인구추정(면계)'!$I$44:$N$48"}</definedName>
    <definedName name="HTML_Control" localSheetId="26" hidden="1">{"'인구추정(면계)'!$I$44:$N$48"}</definedName>
    <definedName name="HTML_Control" localSheetId="76" hidden="1">{"'인구추정(면계)'!$I$44:$N$48"}</definedName>
    <definedName name="HTML_Control" localSheetId="75" hidden="1">{"'인구추정(면계)'!$I$44:$N$48"}</definedName>
    <definedName name="HTML_Control" localSheetId="79" hidden="1">{"'인구추정(면계)'!$I$44:$N$48"}</definedName>
    <definedName name="HTML_Control" hidden="1">{"'인구추정(면계)'!$I$44:$N$48"}</definedName>
    <definedName name="HTML_Description" hidden="1">""</definedName>
    <definedName name="HTML_Email" hidden="1">""</definedName>
    <definedName name="HTML_Header" hidden="1">"과거인구 (면별)"</definedName>
    <definedName name="HTML_LastUpdate" hidden="1">"2002-12-18"</definedName>
    <definedName name="HTML_LineAfter" hidden="1">FALSE</definedName>
    <definedName name="HTML_LineBefore" hidden="1">FALSE</definedName>
    <definedName name="HTML_Name" hidden="1">"jjkim1"</definedName>
    <definedName name="HTML_OBDlg2" hidden="1">TRUE</definedName>
    <definedName name="HTML_OBDlg4" hidden="1">TRUE</definedName>
    <definedName name="HTML_OS" hidden="1">0</definedName>
    <definedName name="HTML_PathFile" hidden="1">"D:\진행과업\10.진안소규모STP\01.기본설계보고서\excel\면인구추정.htm"</definedName>
    <definedName name="HTML_Title" hidden="1">"인구계획"</definedName>
    <definedName name="k" localSheetId="9" hidden="1">'[3]8.PILE  (돌출)'!#REF!</definedName>
    <definedName name="k" localSheetId="18" hidden="1">'[3]8.PILE  (돌출)'!#REF!</definedName>
    <definedName name="k" hidden="1">'[3]8.PILE  (돌출)'!#REF!</definedName>
    <definedName name="_xlnm.Print_Area" localSheetId="0">'1.계획하수량 원단위 총괄'!$A$1:$J$182</definedName>
    <definedName name="_xlnm.Print_Area" localSheetId="15">'11.연계처리용량 및 수질'!$A$1:$M$50</definedName>
    <definedName name="_xlnm.Print_Area" localSheetId="16">'12.기타하수량'!$A$1:$H$75</definedName>
    <definedName name="_xlnm.Print_Area" localSheetId="1">'2.음성군급수총괄'!$A$1:$H$49</definedName>
    <definedName name="_xlnm.Print_Area" localSheetId="2">'3.면별급수현황'!$A$1:$J$114</definedName>
    <definedName name="_xlnm.Print_Area" localSheetId="4">'4.1사용실적산정'!$A$1:$H$114</definedName>
    <definedName name="_xlnm.Print_Area" localSheetId="3">'4.상수사용량현황'!$A$1:$H$114</definedName>
    <definedName name="_xlnm.Print_Area" localSheetId="5">'5.생산량분석'!$A$1:$P$27</definedName>
    <definedName name="_xlnm.Print_Area" localSheetId="6">'6. 물사용량 실적산정'!$A$1:$J$73</definedName>
    <definedName name="_xlnm.Print_Area" localSheetId="9">'6.1. 상수사용량원단위 (맹동신규)'!$A$1:$H$27</definedName>
    <definedName name="_xlnm.Print_Area" localSheetId="10">'6.1관련계획'!$A$1:$G$36</definedName>
    <definedName name="_xlnm.Print_Area" localSheetId="8">'6.상수사용량원단위'!$A$1:$H$199</definedName>
    <definedName name="_xlnm.Print_Area" localSheetId="11">'7.생활오수량 원단위'!$A$1:$J$107</definedName>
    <definedName name="_xlnm.Print_Area" localSheetId="13">'8.지하수사용량'!$A$1:$V$25</definedName>
    <definedName name="_xlnm.Print_Area" localSheetId="77">'관성(검측)'!$A$1:$J$102</definedName>
    <definedName name="_xlnm.Print_Area" localSheetId="24">급수량원단위추정!$A$1:$I$101</definedName>
    <definedName name="_xlnm.Print_Area" localSheetId="78">'단평(검측)'!$A$1:$J$102</definedName>
    <definedName name="_xlnm.Print_Area" localSheetId="26">'물사용량 수학적추정'!$A$1:$I$101</definedName>
    <definedName name="_xlnm.Print_Area" localSheetId="76">'미곡(검측)'!$A$1:$J$102</definedName>
    <definedName name="_xlnm.Print_Area" localSheetId="75">'부윤(검측)'!$A$1:$J$102</definedName>
    <definedName name="_xlnm.Print_Area" localSheetId="18">분뇨연계처리수!$A$1:$G$24</definedName>
    <definedName name="_xlnm.Print_Area" localSheetId="25">'사용량 수학적추정'!$A$1:$I$101</definedName>
    <definedName name="_xlnm.Print_Area" localSheetId="23">상수도사용원단위!$A$1:$K$28</definedName>
    <definedName name="_xlnm.Print_Area" localSheetId="20">슬러지처리시설!$A$1:$G$1056</definedName>
    <definedName name="_xlnm.Print_Area" localSheetId="79">'오궁(검측)'!$A$1:$J$102</definedName>
    <definedName name="_xlnm.Print_Titles" localSheetId="0">'1.계획하수량 원단위 총괄'!$2:$2</definedName>
    <definedName name="_xlnm.Print_Titles" localSheetId="2">'3.면별급수현황'!$2:$3</definedName>
    <definedName name="_xlnm.Print_Titles" localSheetId="4">'4.1사용실적산정'!$2:$3</definedName>
    <definedName name="_xlnm.Print_Titles" localSheetId="3">'4.상수사용량현황'!$3:$4</definedName>
    <definedName name="_xlnm.Print_Titles" localSheetId="6">'6. 물사용량 실적산정'!$2:$3</definedName>
    <definedName name="_xlnm.Print_Titles" localSheetId="21">'9715부대'!$5:$5</definedName>
    <definedName name="_xlnm.Print_Titles" localSheetId="20">슬러지처리시설!$4:$4</definedName>
    <definedName name="고급">OFFSET([4]용역단가!$B$5,[4]용역단가!$C$3,3)</definedName>
    <definedName name="기술사">OFFSET([4]용역단가!$B$5,[4]용역단가!$C$3,1)</definedName>
    <definedName name="단가">OFFSET([4]용역단가!$B$5,[4]용역단가!$C$3,1,1,6)</definedName>
    <definedName name="ㅁㄴㅇㄹ" localSheetId="0" hidden="1">{"'인구추정(면계)'!$I$44:$N$48"}</definedName>
    <definedName name="ㅁㄴㅇㄹ" localSheetId="16" hidden="1">{"'인구추정(면계)'!$I$44:$N$48"}</definedName>
    <definedName name="ㅁㄴㅇㄹ" localSheetId="4" hidden="1">{"'인구추정(면계)'!$I$44:$N$48"}</definedName>
    <definedName name="ㅁㄴㅇㄹ" localSheetId="10" hidden="1">{"'인구추정(면계)'!$I$44:$N$48"}</definedName>
    <definedName name="ㅁㄴㅇㄹ" localSheetId="13" hidden="1">{"'인구추정(면계)'!$I$44:$N$48"}</definedName>
    <definedName name="ㅁㄴㅇㄹ" localSheetId="77" hidden="1">{"'인구추정(면계)'!$I$44:$N$48"}</definedName>
    <definedName name="ㅁㄴㅇㄹ" localSheetId="78" hidden="1">{"'인구추정(면계)'!$I$44:$N$48"}</definedName>
    <definedName name="ㅁㄴㅇㄹ" localSheetId="26" hidden="1">{"'인구추정(면계)'!$I$44:$N$48"}</definedName>
    <definedName name="ㅁㄴㅇㄹ" localSheetId="76" hidden="1">{"'인구추정(면계)'!$I$44:$N$48"}</definedName>
    <definedName name="ㅁㄴㅇㄹ" localSheetId="75" hidden="1">{"'인구추정(면계)'!$I$44:$N$48"}</definedName>
    <definedName name="ㅁㄴㅇㄹ" localSheetId="79" hidden="1">{"'인구추정(면계)'!$I$44:$N$48"}</definedName>
    <definedName name="ㅁㄴㅇㄹ" hidden="1">{"'인구추정(면계)'!$I$44:$N$48"}</definedName>
    <definedName name="ㅁㅁㅁ" localSheetId="9" hidden="1">#REF!</definedName>
    <definedName name="ㅁㅁㅁ" localSheetId="18" hidden="1">#REF!</definedName>
    <definedName name="ㅁㅁㅁ" hidden="1">#REF!</definedName>
    <definedName name="반포면" localSheetId="0" hidden="1">{"'인구추정(면계)'!$I$44:$N$48"}</definedName>
    <definedName name="반포면" localSheetId="16" hidden="1">{"'인구추정(면계)'!$I$44:$N$48"}</definedName>
    <definedName name="반포면" localSheetId="4" hidden="1">{"'인구추정(면계)'!$I$44:$N$48"}</definedName>
    <definedName name="반포면" localSheetId="10" hidden="1">{"'인구추정(면계)'!$I$44:$N$48"}</definedName>
    <definedName name="반포면" localSheetId="13" hidden="1">{"'인구추정(면계)'!$I$44:$N$48"}</definedName>
    <definedName name="반포면" localSheetId="77" hidden="1">{"'인구추정(면계)'!$I$44:$N$48"}</definedName>
    <definedName name="반포면" localSheetId="78" hidden="1">{"'인구추정(면계)'!$I$44:$N$48"}</definedName>
    <definedName name="반포면" localSheetId="26" hidden="1">{"'인구추정(면계)'!$I$44:$N$48"}</definedName>
    <definedName name="반포면" localSheetId="76" hidden="1">{"'인구추정(면계)'!$I$44:$N$48"}</definedName>
    <definedName name="반포면" localSheetId="75" hidden="1">{"'인구추정(면계)'!$I$44:$N$48"}</definedName>
    <definedName name="반포면" localSheetId="79" hidden="1">{"'인구추정(면계)'!$I$44:$N$48"}</definedName>
    <definedName name="반포면" hidden="1">{"'인구추정(면계)'!$I$44:$N$48"}</definedName>
    <definedName name="보조원">OFFSET([4]용역단가!$B$5,[4]용역단가!$C$3,6)</definedName>
    <definedName name="ㅇㅇㅇ" localSheetId="0" hidden="1">{"'인구추정(면계)'!$I$44:$N$48"}</definedName>
    <definedName name="ㅇㅇㅇ" localSheetId="16" hidden="1">{"'인구추정(면계)'!$I$44:$N$48"}</definedName>
    <definedName name="ㅇㅇㅇ" localSheetId="4" hidden="1">{"'인구추정(면계)'!$I$44:$N$48"}</definedName>
    <definedName name="ㅇㅇㅇ" localSheetId="10" hidden="1">{"'인구추정(면계)'!$I$44:$N$48"}</definedName>
    <definedName name="ㅇㅇㅇ" localSheetId="13" hidden="1">{"'인구추정(면계)'!$I$44:$N$48"}</definedName>
    <definedName name="ㅇㅇㅇ" localSheetId="77" hidden="1">{"'인구추정(면계)'!$I$44:$N$48"}</definedName>
    <definedName name="ㅇㅇㅇ" localSheetId="78" hidden="1">{"'인구추정(면계)'!$I$44:$N$48"}</definedName>
    <definedName name="ㅇㅇㅇ" localSheetId="26" hidden="1">{"'인구추정(면계)'!$I$44:$N$48"}</definedName>
    <definedName name="ㅇㅇㅇ" localSheetId="76" hidden="1">{"'인구추정(면계)'!$I$44:$N$48"}</definedName>
    <definedName name="ㅇㅇㅇ" localSheetId="75" hidden="1">{"'인구추정(면계)'!$I$44:$N$48"}</definedName>
    <definedName name="ㅇㅇㅇ" localSheetId="79" hidden="1">{"'인구추정(면계)'!$I$44:$N$48"}</definedName>
    <definedName name="ㅇㅇㅇ" hidden="1">{"'인구추정(면계)'!$I$44:$N$48"}</definedName>
    <definedName name="중급">OFFSET([4]용역단가!$B$5,[4]용역단가!$C$3,4)</definedName>
    <definedName name="초급">OFFSET([4]용역단가!$B$5,[4]용역단가!$C$3,5)</definedName>
    <definedName name="추풍령면" localSheetId="0" hidden="1">{"'인구추정(면계)'!$I$44:$N$48"}</definedName>
    <definedName name="추풍령면" localSheetId="16" hidden="1">{"'인구추정(면계)'!$I$44:$N$48"}</definedName>
    <definedName name="추풍령면" localSheetId="4" hidden="1">{"'인구추정(면계)'!$I$44:$N$48"}</definedName>
    <definedName name="추풍령면" localSheetId="10" hidden="1">{"'인구추정(면계)'!$I$44:$N$48"}</definedName>
    <definedName name="추풍령면" localSheetId="13" hidden="1">{"'인구추정(면계)'!$I$44:$N$48"}</definedName>
    <definedName name="추풍령면" localSheetId="77" hidden="1">{"'인구추정(면계)'!$I$44:$N$48"}</definedName>
    <definedName name="추풍령면" localSheetId="78" hidden="1">{"'인구추정(면계)'!$I$44:$N$48"}</definedName>
    <definedName name="추풍령면" localSheetId="26" hidden="1">{"'인구추정(면계)'!$I$44:$N$48"}</definedName>
    <definedName name="추풍령면" localSheetId="76" hidden="1">{"'인구추정(면계)'!$I$44:$N$48"}</definedName>
    <definedName name="추풍령면" localSheetId="75" hidden="1">{"'인구추정(면계)'!$I$44:$N$48"}</definedName>
    <definedName name="추풍령면" localSheetId="79" hidden="1">{"'인구추정(면계)'!$I$44:$N$48"}</definedName>
    <definedName name="추풍령면" hidden="1">{"'인구추정(면계)'!$I$44:$N$48"}</definedName>
    <definedName name="특급">OFFSET([4]용역단가!$B$5,[4]용역단가!$C$3,2)</definedName>
    <definedName name="하수량" localSheetId="26" hidden="1">{"'인구추정(면계)'!$I$44:$N$48"}</definedName>
    <definedName name="하수량" hidden="1">{"'인구추정(면계)'!$I$44:$N$48"}</definedName>
    <definedName name="황간면" localSheetId="0" hidden="1">{"'인구추정(면계)'!$I$44:$N$48"}</definedName>
    <definedName name="황간면" localSheetId="16" hidden="1">{"'인구추정(면계)'!$I$44:$N$48"}</definedName>
    <definedName name="황간면" localSheetId="4" hidden="1">{"'인구추정(면계)'!$I$44:$N$48"}</definedName>
    <definedName name="황간면" localSheetId="10" hidden="1">{"'인구추정(면계)'!$I$44:$N$48"}</definedName>
    <definedName name="황간면" localSheetId="13" hidden="1">{"'인구추정(면계)'!$I$44:$N$48"}</definedName>
    <definedName name="황간면" localSheetId="77" hidden="1">{"'인구추정(면계)'!$I$44:$N$48"}</definedName>
    <definedName name="황간면" localSheetId="78" hidden="1">{"'인구추정(면계)'!$I$44:$N$48"}</definedName>
    <definedName name="황간면" localSheetId="26" hidden="1">{"'인구추정(면계)'!$I$44:$N$48"}</definedName>
    <definedName name="황간면" localSheetId="76" hidden="1">{"'인구추정(면계)'!$I$44:$N$48"}</definedName>
    <definedName name="황간면" localSheetId="75" hidden="1">{"'인구추정(면계)'!$I$44:$N$48"}</definedName>
    <definedName name="황간면" localSheetId="79" hidden="1">{"'인구추정(면계)'!$I$44:$N$48"}</definedName>
    <definedName name="황간면" hidden="1">{"'인구추정(면계)'!$I$44:$N$48"}</definedName>
    <definedName name="ㅘㅗ허ㅎ" localSheetId="9" hidden="1">#REF!</definedName>
    <definedName name="ㅘㅗ허ㅎ" localSheetId="18" hidden="1">#REF!</definedName>
    <definedName name="ㅘㅗ허ㅎ" hidden="1">#REF!</definedName>
  </definedNames>
  <calcPr calcId="145621"/>
</workbook>
</file>

<file path=xl/calcChain.xml><?xml version="1.0" encoding="utf-8"?>
<calcChain xmlns="http://schemas.openxmlformats.org/spreadsheetml/2006/main">
  <c r="G154" i="103" l="1"/>
  <c r="G148" i="103"/>
  <c r="G145" i="103"/>
  <c r="G74" i="115" l="1"/>
  <c r="P51" i="89" l="1"/>
  <c r="O51" i="89"/>
  <c r="N51" i="89"/>
  <c r="M51" i="89"/>
  <c r="L51" i="89"/>
  <c r="P50" i="89"/>
  <c r="O50" i="89"/>
  <c r="N50" i="89"/>
  <c r="M50" i="89"/>
  <c r="L50" i="89"/>
  <c r="I159" i="103" l="1"/>
  <c r="H159" i="103"/>
  <c r="G159" i="103"/>
  <c r="F159" i="103"/>
  <c r="E159" i="103"/>
  <c r="H72" i="113"/>
  <c r="G72" i="113"/>
  <c r="F72" i="113"/>
  <c r="E72" i="113"/>
  <c r="D72" i="113"/>
  <c r="H69" i="113"/>
  <c r="G69" i="113"/>
  <c r="F69" i="113"/>
  <c r="E69" i="113"/>
  <c r="D69" i="113"/>
  <c r="H66" i="113"/>
  <c r="G66" i="113"/>
  <c r="F66" i="113"/>
  <c r="E66" i="113"/>
  <c r="D66" i="113"/>
  <c r="H63" i="113"/>
  <c r="G63" i="113"/>
  <c r="F63" i="113"/>
  <c r="E63" i="113"/>
  <c r="D63" i="113"/>
  <c r="D60" i="113"/>
  <c r="H60" i="113"/>
  <c r="G60" i="113"/>
  <c r="F60" i="113"/>
  <c r="E60" i="113"/>
  <c r="D51" i="113"/>
  <c r="D50" i="113"/>
  <c r="D49" i="113"/>
  <c r="D48" i="113"/>
  <c r="D47" i="113"/>
  <c r="G73" i="115" l="1"/>
  <c r="G72" i="115"/>
  <c r="G71" i="115"/>
  <c r="G70" i="115"/>
  <c r="F157" i="103" s="1"/>
  <c r="F156" i="103" s="1"/>
  <c r="G141" i="89" l="1"/>
  <c r="F141" i="89"/>
  <c r="E141" i="89"/>
  <c r="D141" i="89"/>
  <c r="C141" i="89"/>
  <c r="G140" i="89"/>
  <c r="F140" i="89"/>
  <c r="E140" i="89"/>
  <c r="D140" i="89"/>
  <c r="C140" i="89"/>
  <c r="G139" i="89"/>
  <c r="F139" i="89"/>
  <c r="E139" i="89"/>
  <c r="D139" i="89"/>
  <c r="C139" i="89"/>
  <c r="G138" i="89"/>
  <c r="F138" i="89"/>
  <c r="E138" i="89"/>
  <c r="D138" i="89"/>
  <c r="C138" i="89"/>
  <c r="G137" i="89"/>
  <c r="F137" i="89"/>
  <c r="E137" i="89"/>
  <c r="D137" i="89"/>
  <c r="C137" i="89"/>
  <c r="G136" i="89"/>
  <c r="F136" i="89"/>
  <c r="E136" i="89"/>
  <c r="D136" i="89"/>
  <c r="C136" i="89"/>
  <c r="I138" i="89"/>
  <c r="S137" i="89"/>
  <c r="I137" i="89"/>
  <c r="O136" i="89"/>
  <c r="N136" i="89"/>
  <c r="M136" i="89"/>
  <c r="L136" i="89"/>
  <c r="K136" i="89"/>
  <c r="I136" i="89" l="1"/>
  <c r="I62" i="103"/>
  <c r="H62" i="103"/>
  <c r="G62" i="103"/>
  <c r="F62" i="103"/>
  <c r="E62" i="103"/>
  <c r="I61" i="103"/>
  <c r="H61" i="103"/>
  <c r="G61" i="103"/>
  <c r="F61" i="103"/>
  <c r="E61" i="103"/>
  <c r="I60" i="103"/>
  <c r="H60" i="103"/>
  <c r="G60" i="103"/>
  <c r="F60" i="103"/>
  <c r="E60" i="103"/>
  <c r="G14" i="161"/>
  <c r="C27" i="161"/>
  <c r="C24" i="161"/>
  <c r="D24" i="161"/>
  <c r="E24" i="161" s="1"/>
  <c r="F24" i="161" s="1"/>
  <c r="G24" i="161" s="1"/>
  <c r="H56" i="90"/>
  <c r="H82" i="90" s="1"/>
  <c r="H83" i="90" s="1"/>
  <c r="G56" i="90"/>
  <c r="G82" i="90" s="1"/>
  <c r="G83" i="90" s="1"/>
  <c r="G84" i="90" s="1"/>
  <c r="F56" i="90"/>
  <c r="F82" i="90" s="1"/>
  <c r="F83" i="90" s="1"/>
  <c r="E56" i="90"/>
  <c r="E82" i="90" s="1"/>
  <c r="E83" i="90" s="1"/>
  <c r="D56" i="90"/>
  <c r="D82" i="90" s="1"/>
  <c r="D83" i="90" s="1"/>
  <c r="D11" i="161"/>
  <c r="G11" i="161" s="1"/>
  <c r="C17" i="161" s="1"/>
  <c r="D17" i="161" s="1"/>
  <c r="E17" i="161" s="1"/>
  <c r="F17" i="161" s="1"/>
  <c r="G17" i="161" s="1"/>
  <c r="D10" i="161"/>
  <c r="G10" i="161" s="1"/>
  <c r="D9" i="161"/>
  <c r="G9" i="161" s="1"/>
  <c r="D8" i="161"/>
  <c r="G8" i="161" s="1"/>
  <c r="D7" i="161"/>
  <c r="G7" i="161" s="1"/>
  <c r="D6" i="161"/>
  <c r="G6" i="161" s="1"/>
  <c r="D5" i="161"/>
  <c r="G5" i="161" s="1"/>
  <c r="F14" i="161"/>
  <c r="E14" i="161"/>
  <c r="F13" i="161"/>
  <c r="E13" i="161"/>
  <c r="F12" i="161"/>
  <c r="E12" i="161"/>
  <c r="C164" i="89"/>
  <c r="F45" i="121"/>
  <c r="I45" i="121" s="1"/>
  <c r="E42" i="121"/>
  <c r="E41" i="121"/>
  <c r="E40" i="121"/>
  <c r="E39" i="121"/>
  <c r="D45" i="121"/>
  <c r="D44" i="121"/>
  <c r="D43" i="121"/>
  <c r="D27" i="161" l="1"/>
  <c r="E27" i="161" s="1"/>
  <c r="F27" i="161" s="1"/>
  <c r="G27" i="161" s="1"/>
  <c r="H84" i="90"/>
  <c r="H106" i="90"/>
  <c r="F84" i="90"/>
  <c r="F106" i="90"/>
  <c r="D84" i="90"/>
  <c r="D106" i="90"/>
  <c r="E84" i="90"/>
  <c r="E106" i="90"/>
  <c r="G106" i="90"/>
  <c r="G107" i="90" s="1"/>
  <c r="G105" i="90"/>
  <c r="C20" i="161"/>
  <c r="D20" i="161" s="1"/>
  <c r="D14" i="161"/>
  <c r="G12" i="161"/>
  <c r="C13" i="161"/>
  <c r="D12" i="161"/>
  <c r="G13" i="161"/>
  <c r="D13" i="161"/>
  <c r="C14" i="161"/>
  <c r="C12" i="161"/>
  <c r="E20" i="161"/>
  <c r="E107" i="90" l="1"/>
  <c r="E105" i="90"/>
  <c r="F105" i="90"/>
  <c r="F107" i="90"/>
  <c r="D107" i="90"/>
  <c r="D105" i="90"/>
  <c r="H107" i="90"/>
  <c r="H105" i="90"/>
  <c r="F20" i="161"/>
  <c r="G20" i="161" l="1"/>
  <c r="I167" i="103" l="1"/>
  <c r="H167" i="103"/>
  <c r="G167" i="103"/>
  <c r="F167" i="103"/>
  <c r="I166" i="103"/>
  <c r="H166" i="103"/>
  <c r="G166" i="103"/>
  <c r="F166" i="103"/>
  <c r="I165" i="103"/>
  <c r="H165" i="103"/>
  <c r="G165" i="103"/>
  <c r="F165" i="103"/>
  <c r="M165" i="103"/>
  <c r="E161" i="103"/>
  <c r="E63" i="115" l="1"/>
  <c r="E62" i="115"/>
  <c r="E61" i="115"/>
  <c r="E60" i="115"/>
  <c r="E59" i="115"/>
  <c r="B50" i="116"/>
  <c r="B43" i="116"/>
  <c r="G36" i="116"/>
  <c r="F36" i="116"/>
  <c r="E36" i="116"/>
  <c r="D36" i="116"/>
  <c r="C36" i="116"/>
  <c r="B36" i="116"/>
  <c r="L27" i="116"/>
  <c r="K27" i="116"/>
  <c r="J27" i="116"/>
  <c r="I27" i="116"/>
  <c r="H27" i="116"/>
  <c r="L26" i="116"/>
  <c r="K26" i="116"/>
  <c r="J26" i="116"/>
  <c r="I26" i="116"/>
  <c r="H26" i="116"/>
  <c r="G25" i="116"/>
  <c r="F25" i="116"/>
  <c r="E25" i="116"/>
  <c r="D25" i="116"/>
  <c r="C25" i="116"/>
  <c r="L24" i="116"/>
  <c r="K24" i="116"/>
  <c r="J24" i="116"/>
  <c r="I24" i="116"/>
  <c r="H24" i="116"/>
  <c r="L23" i="116"/>
  <c r="K23" i="116"/>
  <c r="J23" i="116"/>
  <c r="I23" i="116"/>
  <c r="H23" i="116"/>
  <c r="G18" i="116"/>
  <c r="F18" i="116"/>
  <c r="E18" i="116"/>
  <c r="D18" i="116"/>
  <c r="C18" i="116"/>
  <c r="L17" i="116"/>
  <c r="K17" i="116"/>
  <c r="J17" i="116"/>
  <c r="I17" i="116"/>
  <c r="H17" i="116"/>
  <c r="G16" i="116"/>
  <c r="F16" i="116"/>
  <c r="E16" i="116"/>
  <c r="D16" i="116"/>
  <c r="C16" i="116"/>
  <c r="L15" i="116"/>
  <c r="K15" i="116"/>
  <c r="J15" i="116"/>
  <c r="I15" i="116"/>
  <c r="H15" i="116"/>
  <c r="L14" i="116"/>
  <c r="K14" i="116"/>
  <c r="J14" i="116"/>
  <c r="I14" i="116"/>
  <c r="H14" i="116"/>
  <c r="G9" i="116"/>
  <c r="F9" i="116"/>
  <c r="E9" i="116"/>
  <c r="D9" i="116"/>
  <c r="C9" i="116"/>
  <c r="L8" i="116"/>
  <c r="K8" i="116"/>
  <c r="J8" i="116"/>
  <c r="I8" i="116"/>
  <c r="H8" i="116"/>
  <c r="G7" i="116"/>
  <c r="F7" i="116"/>
  <c r="E7" i="116"/>
  <c r="D7" i="116"/>
  <c r="C7" i="116"/>
  <c r="L6" i="116"/>
  <c r="K6" i="116"/>
  <c r="J6" i="116"/>
  <c r="I6" i="116"/>
  <c r="H6" i="116"/>
  <c r="L5" i="116"/>
  <c r="K5" i="116"/>
  <c r="J5" i="116"/>
  <c r="I5" i="116"/>
  <c r="H5" i="116"/>
  <c r="D105" i="159" l="1"/>
  <c r="D104" i="159"/>
  <c r="D103" i="159"/>
  <c r="D102" i="159"/>
  <c r="D101" i="159"/>
  <c r="D100" i="159"/>
  <c r="D99" i="159"/>
  <c r="D98" i="159"/>
  <c r="D97" i="159"/>
  <c r="D96" i="159"/>
  <c r="D95" i="159"/>
  <c r="D94" i="159"/>
  <c r="D93" i="159"/>
  <c r="D92" i="159"/>
  <c r="D91" i="159"/>
  <c r="D90" i="159"/>
  <c r="D89" i="159"/>
  <c r="D88" i="159"/>
  <c r="D87" i="159"/>
  <c r="D86" i="159"/>
  <c r="D85" i="159"/>
  <c r="D84" i="159"/>
  <c r="D83" i="159"/>
  <c r="D82" i="159"/>
  <c r="D81" i="159"/>
  <c r="D80" i="159"/>
  <c r="D79" i="159"/>
  <c r="D78" i="159"/>
  <c r="D77" i="159"/>
  <c r="D76" i="159"/>
  <c r="D75" i="159"/>
  <c r="D74" i="159"/>
  <c r="D73" i="159"/>
  <c r="D72" i="159"/>
  <c r="D71" i="159"/>
  <c r="D70" i="159"/>
  <c r="D69" i="159"/>
  <c r="D68" i="159"/>
  <c r="D67" i="159"/>
  <c r="D66" i="159"/>
  <c r="D65" i="159"/>
  <c r="D64" i="159"/>
  <c r="D63" i="159"/>
  <c r="D62" i="159"/>
  <c r="D61" i="159"/>
  <c r="D60" i="159"/>
  <c r="D59" i="159"/>
  <c r="D58" i="159"/>
  <c r="D57" i="159"/>
  <c r="D56" i="159"/>
  <c r="D55" i="159"/>
  <c r="D54" i="159"/>
  <c r="D53" i="159"/>
  <c r="D52" i="159"/>
  <c r="D51" i="159"/>
  <c r="D50" i="159"/>
  <c r="D49" i="159"/>
  <c r="D48" i="159"/>
  <c r="D47" i="159"/>
  <c r="D46" i="159"/>
  <c r="D45" i="159"/>
  <c r="D44" i="159"/>
  <c r="D43" i="159"/>
  <c r="D42" i="159"/>
  <c r="D41" i="159"/>
  <c r="D40" i="159"/>
  <c r="D39" i="159"/>
  <c r="D38" i="159"/>
  <c r="D37" i="159"/>
  <c r="D36" i="159"/>
  <c r="D35" i="159"/>
  <c r="D34" i="159"/>
  <c r="D33" i="159"/>
  <c r="D32" i="159"/>
  <c r="D31" i="159"/>
  <c r="D30" i="159"/>
  <c r="D29" i="159"/>
  <c r="D28" i="159"/>
  <c r="D27" i="159"/>
  <c r="D26" i="159"/>
  <c r="D25" i="159"/>
  <c r="D24" i="159"/>
  <c r="D23" i="159"/>
  <c r="D22" i="159"/>
  <c r="D21" i="159"/>
  <c r="D20" i="159"/>
  <c r="D19" i="159"/>
  <c r="D18" i="159"/>
  <c r="D17" i="159"/>
  <c r="D16" i="159"/>
  <c r="D15" i="159"/>
  <c r="D14" i="159"/>
  <c r="D13" i="159"/>
  <c r="D12" i="159"/>
  <c r="D11" i="159"/>
  <c r="D10" i="159"/>
  <c r="D9" i="159"/>
  <c r="D8" i="159"/>
  <c r="D7" i="159"/>
  <c r="D6" i="159"/>
  <c r="D5" i="159"/>
  <c r="D4" i="159"/>
  <c r="D106" i="159" s="1"/>
  <c r="D108" i="159" l="1"/>
  <c r="D107" i="159"/>
  <c r="F73" i="121"/>
  <c r="I73" i="121" s="1"/>
  <c r="F66" i="121"/>
  <c r="I66" i="121" s="1"/>
  <c r="F59" i="121"/>
  <c r="I59" i="121" s="1"/>
  <c r="F52" i="121"/>
  <c r="I52" i="121" s="1"/>
  <c r="F24" i="121"/>
  <c r="F17" i="121"/>
  <c r="C167" i="89" l="1"/>
  <c r="C168" i="89"/>
  <c r="C169" i="89"/>
  <c r="C170" i="89"/>
  <c r="C171" i="89"/>
  <c r="C172" i="89"/>
  <c r="C163" i="89"/>
  <c r="C162" i="89"/>
  <c r="C161" i="89"/>
  <c r="C160" i="89"/>
  <c r="C159" i="89"/>
  <c r="F156" i="89"/>
  <c r="E156" i="89"/>
  <c r="F155" i="89"/>
  <c r="E155" i="89"/>
  <c r="F154" i="89"/>
  <c r="E154" i="89"/>
  <c r="F10" i="121"/>
  <c r="I10" i="121" s="1"/>
  <c r="G153" i="89" s="1"/>
  <c r="D153" i="89"/>
  <c r="C153" i="89"/>
  <c r="I24" i="121"/>
  <c r="I17" i="121"/>
  <c r="I5" i="121"/>
  <c r="F4" i="121"/>
  <c r="F5" i="121"/>
  <c r="F6" i="121"/>
  <c r="I6" i="121" s="1"/>
  <c r="F7" i="121"/>
  <c r="I7" i="121" s="1"/>
  <c r="F8" i="121"/>
  <c r="I8" i="121" s="1"/>
  <c r="F9" i="121"/>
  <c r="I9" i="121" s="1"/>
  <c r="F11" i="121"/>
  <c r="I11" i="121" s="1"/>
  <c r="F12" i="121"/>
  <c r="I12" i="121" s="1"/>
  <c r="F13" i="121"/>
  <c r="I13" i="121" s="1"/>
  <c r="F14" i="121"/>
  <c r="I14" i="121" s="1"/>
  <c r="F15" i="121"/>
  <c r="I15" i="121" s="1"/>
  <c r="F16" i="121"/>
  <c r="I16" i="121" s="1"/>
  <c r="F18" i="121"/>
  <c r="I18" i="121" s="1"/>
  <c r="F19" i="121"/>
  <c r="I19" i="121" s="1"/>
  <c r="F20" i="121"/>
  <c r="I20" i="121" s="1"/>
  <c r="F21" i="121"/>
  <c r="I21" i="121" s="1"/>
  <c r="F22" i="121"/>
  <c r="I22" i="121" s="1"/>
  <c r="F23" i="121"/>
  <c r="I23" i="121" s="1"/>
  <c r="F25" i="121"/>
  <c r="I25" i="121" s="1"/>
  <c r="F26" i="121"/>
  <c r="I26" i="121" s="1"/>
  <c r="F27" i="121"/>
  <c r="I27" i="121" s="1"/>
  <c r="F28" i="121"/>
  <c r="I28" i="121" s="1"/>
  <c r="F29" i="121"/>
  <c r="I29" i="121" s="1"/>
  <c r="F30" i="121"/>
  <c r="I30" i="121" s="1"/>
  <c r="F32" i="121"/>
  <c r="F33" i="121"/>
  <c r="F34" i="121"/>
  <c r="F35" i="121"/>
  <c r="F36" i="121"/>
  <c r="F37" i="121"/>
  <c r="F39" i="121"/>
  <c r="F40" i="121"/>
  <c r="I40" i="121" s="1"/>
  <c r="F41" i="121"/>
  <c r="I41" i="121" s="1"/>
  <c r="F42" i="121"/>
  <c r="I42" i="121" s="1"/>
  <c r="F43" i="121"/>
  <c r="I43" i="121" s="1"/>
  <c r="F44" i="121"/>
  <c r="I44" i="121" s="1"/>
  <c r="F46" i="121"/>
  <c r="F47" i="121"/>
  <c r="F48" i="121"/>
  <c r="F49" i="121"/>
  <c r="F50" i="121"/>
  <c r="F51" i="121"/>
  <c r="F53" i="121"/>
  <c r="F54" i="121"/>
  <c r="F55" i="121"/>
  <c r="F56" i="121"/>
  <c r="F57" i="121"/>
  <c r="F58" i="121"/>
  <c r="F60" i="121"/>
  <c r="F61" i="121"/>
  <c r="F62" i="121"/>
  <c r="F63" i="121"/>
  <c r="F64" i="121"/>
  <c r="F65" i="121"/>
  <c r="F67" i="121"/>
  <c r="F68" i="121"/>
  <c r="F69" i="121"/>
  <c r="F70" i="121"/>
  <c r="F71" i="121"/>
  <c r="F72" i="121"/>
  <c r="E73" i="121"/>
  <c r="E72" i="121"/>
  <c r="E70" i="121"/>
  <c r="E71" i="121" s="1"/>
  <c r="E69" i="121"/>
  <c r="E68" i="121"/>
  <c r="E67" i="121"/>
  <c r="E66" i="121"/>
  <c r="E65" i="121"/>
  <c r="E64" i="121" s="1"/>
  <c r="E63" i="121"/>
  <c r="E62" i="121"/>
  <c r="E61" i="121"/>
  <c r="E60" i="121"/>
  <c r="E59" i="121"/>
  <c r="E58" i="121"/>
  <c r="E56" i="121"/>
  <c r="E57" i="121" s="1"/>
  <c r="E55" i="121"/>
  <c r="E54" i="121"/>
  <c r="E53" i="121"/>
  <c r="E52" i="121"/>
  <c r="E51" i="121"/>
  <c r="E49" i="121"/>
  <c r="E48" i="121"/>
  <c r="E47" i="121"/>
  <c r="E46" i="121"/>
  <c r="E35" i="121"/>
  <c r="E34" i="121"/>
  <c r="E33" i="121"/>
  <c r="E32" i="121"/>
  <c r="E28" i="121"/>
  <c r="E27" i="121"/>
  <c r="E26" i="121"/>
  <c r="E25" i="121"/>
  <c r="E24" i="121"/>
  <c r="E23" i="121"/>
  <c r="E21" i="121"/>
  <c r="E22" i="121" s="1"/>
  <c r="E20" i="121"/>
  <c r="E19" i="121"/>
  <c r="E18" i="121"/>
  <c r="E17" i="121"/>
  <c r="E16" i="121"/>
  <c r="E14" i="121"/>
  <c r="E13" i="121"/>
  <c r="E12" i="121"/>
  <c r="E11" i="121"/>
  <c r="E10" i="121"/>
  <c r="E9" i="121"/>
  <c r="E8" i="121"/>
  <c r="E7" i="121"/>
  <c r="E6" i="121"/>
  <c r="E5" i="121"/>
  <c r="E4" i="121"/>
  <c r="E15" i="121" l="1"/>
  <c r="E50" i="121"/>
  <c r="D167" i="89"/>
  <c r="E167" i="89" s="1"/>
  <c r="F167" i="89" s="1"/>
  <c r="G167" i="89" s="1"/>
  <c r="D168" i="89"/>
  <c r="E168" i="89" s="1"/>
  <c r="F168" i="89" s="1"/>
  <c r="G168" i="89" s="1"/>
  <c r="D169" i="89"/>
  <c r="E169" i="89" s="1"/>
  <c r="F169" i="89" s="1"/>
  <c r="G169" i="89" s="1"/>
  <c r="D170" i="89"/>
  <c r="E170" i="89" s="1"/>
  <c r="F170" i="89" s="1"/>
  <c r="G170" i="89" s="1"/>
  <c r="D171" i="89"/>
  <c r="E171" i="89" s="1"/>
  <c r="F171" i="89" s="1"/>
  <c r="G171" i="89" s="1"/>
  <c r="D172" i="89"/>
  <c r="E172" i="89" s="1"/>
  <c r="F172" i="89" s="1"/>
  <c r="G172" i="89" s="1"/>
  <c r="C147" i="89"/>
  <c r="C148" i="89"/>
  <c r="C149" i="89"/>
  <c r="C150" i="89"/>
  <c r="C151" i="89"/>
  <c r="C156" i="89" s="1"/>
  <c r="C152" i="89"/>
  <c r="C154" i="89" l="1"/>
  <c r="C155" i="89"/>
  <c r="F137" i="103"/>
  <c r="G135" i="89" l="1"/>
  <c r="F135" i="89"/>
  <c r="E135" i="89"/>
  <c r="D135" i="89"/>
  <c r="G134" i="89"/>
  <c r="F134" i="89"/>
  <c r="E134" i="89"/>
  <c r="D134" i="89"/>
  <c r="G133" i="89"/>
  <c r="F133" i="89"/>
  <c r="E133" i="89"/>
  <c r="D133" i="89"/>
  <c r="G132" i="89"/>
  <c r="N141" i="89" s="1"/>
  <c r="F132" i="89"/>
  <c r="M141" i="89" s="1"/>
  <c r="E132" i="89"/>
  <c r="L141" i="89" s="1"/>
  <c r="D132" i="89"/>
  <c r="G131" i="89"/>
  <c r="F131" i="89"/>
  <c r="E131" i="89"/>
  <c r="D131" i="89"/>
  <c r="K141" i="89" l="1"/>
  <c r="P141" i="89" s="1"/>
  <c r="C104" i="89"/>
  <c r="C105" i="89"/>
  <c r="C131" i="89" s="1"/>
  <c r="C106" i="89"/>
  <c r="C132" i="89" s="1"/>
  <c r="J141" i="89" s="1"/>
  <c r="C107" i="89"/>
  <c r="C133" i="89" s="1"/>
  <c r="C108" i="89"/>
  <c r="C134" i="89" s="1"/>
  <c r="C109" i="89"/>
  <c r="C135" i="89" s="1"/>
  <c r="H101" i="84"/>
  <c r="G101" i="84"/>
  <c r="F101" i="84"/>
  <c r="E101" i="84"/>
  <c r="H84" i="84"/>
  <c r="G84" i="84"/>
  <c r="F84" i="84"/>
  <c r="E84" i="84"/>
  <c r="H67" i="84"/>
  <c r="G67" i="84"/>
  <c r="F67" i="84"/>
  <c r="E67" i="84"/>
  <c r="H50" i="84"/>
  <c r="G50" i="84"/>
  <c r="F50" i="84"/>
  <c r="E50" i="84"/>
  <c r="H33" i="84"/>
  <c r="G33" i="84"/>
  <c r="F33" i="84"/>
  <c r="E33" i="84"/>
  <c r="H17" i="84"/>
  <c r="G17" i="84"/>
  <c r="F17" i="84"/>
  <c r="E17" i="84"/>
  <c r="C22" i="89"/>
  <c r="D22" i="89"/>
  <c r="E22" i="89"/>
  <c r="F22" i="89"/>
  <c r="G22" i="89"/>
  <c r="C23" i="89"/>
  <c r="D23" i="89"/>
  <c r="E23" i="89"/>
  <c r="F23" i="89"/>
  <c r="G23" i="89"/>
  <c r="C24" i="89"/>
  <c r="D24" i="89"/>
  <c r="E24" i="89"/>
  <c r="F24" i="89"/>
  <c r="G24" i="89"/>
  <c r="C25" i="89"/>
  <c r="D25" i="89"/>
  <c r="E25" i="89"/>
  <c r="F25" i="89"/>
  <c r="G25" i="89"/>
  <c r="C26" i="89"/>
  <c r="D26" i="89"/>
  <c r="E26" i="89"/>
  <c r="F26" i="89"/>
  <c r="G26" i="89"/>
  <c r="C27" i="89"/>
  <c r="D27" i="89"/>
  <c r="E27" i="89"/>
  <c r="F27" i="89"/>
  <c r="G27" i="89"/>
  <c r="H101" i="70"/>
  <c r="G101" i="70"/>
  <c r="F101" i="70"/>
  <c r="E101" i="70"/>
  <c r="H84" i="70"/>
  <c r="G84" i="70"/>
  <c r="F84" i="70"/>
  <c r="E84" i="70"/>
  <c r="D84" i="70"/>
  <c r="H67" i="70"/>
  <c r="G67" i="70"/>
  <c r="F67" i="70"/>
  <c r="E67" i="70"/>
  <c r="H50" i="70"/>
  <c r="G50" i="70"/>
  <c r="F50" i="70"/>
  <c r="E50" i="70"/>
  <c r="D50" i="70"/>
  <c r="H34" i="70"/>
  <c r="G34" i="70"/>
  <c r="F34" i="70"/>
  <c r="E34" i="70"/>
  <c r="D34" i="70"/>
  <c r="H18" i="70"/>
  <c r="G18" i="70"/>
  <c r="F18" i="70"/>
  <c r="E18" i="70"/>
  <c r="D18" i="70"/>
  <c r="I141" i="89" l="1"/>
  <c r="K109" i="89"/>
  <c r="B49" i="158" l="1"/>
  <c r="B41" i="158"/>
  <c r="B33" i="158"/>
  <c r="B25" i="158"/>
  <c r="B17" i="158"/>
  <c r="B9" i="158"/>
  <c r="F45" i="158"/>
  <c r="F47" i="158" s="1"/>
  <c r="F48" i="158" s="1"/>
  <c r="F44" i="158"/>
  <c r="E45" i="158"/>
  <c r="E44" i="158"/>
  <c r="D45" i="158"/>
  <c r="D47" i="158" s="1"/>
  <c r="D44" i="158"/>
  <c r="C45" i="158"/>
  <c r="C47" i="158" s="1"/>
  <c r="C44" i="158"/>
  <c r="B45" i="158"/>
  <c r="B44" i="158"/>
  <c r="F37" i="158"/>
  <c r="F39" i="158" s="1"/>
  <c r="F40" i="158" s="1"/>
  <c r="F36" i="158"/>
  <c r="E37" i="158"/>
  <c r="E39" i="158" s="1"/>
  <c r="E40" i="158" s="1"/>
  <c r="E36" i="158"/>
  <c r="D37" i="158"/>
  <c r="D39" i="158" s="1"/>
  <c r="D36" i="158"/>
  <c r="C37" i="158"/>
  <c r="C36" i="158"/>
  <c r="B37" i="158"/>
  <c r="B39" i="158" s="1"/>
  <c r="B36" i="158"/>
  <c r="F46" i="158"/>
  <c r="E46" i="158"/>
  <c r="D46" i="158"/>
  <c r="C46" i="158"/>
  <c r="G46" i="158" s="1"/>
  <c r="B46" i="158"/>
  <c r="E47" i="158"/>
  <c r="G45" i="158"/>
  <c r="G44" i="158"/>
  <c r="F29" i="158"/>
  <c r="F31" i="158" s="1"/>
  <c r="E29" i="158"/>
  <c r="E31" i="158" s="1"/>
  <c r="D29" i="158"/>
  <c r="D31" i="158" s="1"/>
  <c r="C29" i="158"/>
  <c r="F28" i="158"/>
  <c r="E28" i="158"/>
  <c r="D28" i="158"/>
  <c r="C28" i="158"/>
  <c r="F21" i="158"/>
  <c r="F23" i="158" s="1"/>
  <c r="E21" i="158"/>
  <c r="D21" i="158"/>
  <c r="D23" i="158" s="1"/>
  <c r="D24" i="158" s="1"/>
  <c r="C21" i="158"/>
  <c r="F20" i="158"/>
  <c r="E20" i="158"/>
  <c r="D20" i="158"/>
  <c r="C20" i="158"/>
  <c r="B29" i="158"/>
  <c r="G29" i="158" s="1"/>
  <c r="B28" i="158"/>
  <c r="G28" i="158" s="1"/>
  <c r="B21" i="158"/>
  <c r="G21" i="158" s="1"/>
  <c r="G20" i="158"/>
  <c r="B20" i="158"/>
  <c r="F38" i="158"/>
  <c r="E38" i="158"/>
  <c r="D38" i="158"/>
  <c r="C38" i="158"/>
  <c r="G38" i="158" s="1"/>
  <c r="B38" i="158"/>
  <c r="F30" i="158"/>
  <c r="E30" i="158"/>
  <c r="D30" i="158"/>
  <c r="C30" i="158"/>
  <c r="G30" i="158" s="1"/>
  <c r="B30" i="158"/>
  <c r="F22" i="158"/>
  <c r="E22" i="158"/>
  <c r="D22" i="158"/>
  <c r="C22" i="158"/>
  <c r="G22" i="158" s="1"/>
  <c r="B22" i="158"/>
  <c r="F14" i="158"/>
  <c r="F15" i="158" s="1"/>
  <c r="F16" i="158" s="1"/>
  <c r="E14" i="158"/>
  <c r="E15" i="158" s="1"/>
  <c r="E16" i="158" s="1"/>
  <c r="D14" i="158"/>
  <c r="D15" i="158" s="1"/>
  <c r="D16" i="158" s="1"/>
  <c r="C14" i="158"/>
  <c r="C15" i="158" s="1"/>
  <c r="C16" i="158" s="1"/>
  <c r="B14" i="158"/>
  <c r="B15" i="158"/>
  <c r="B16" i="158" s="1"/>
  <c r="B12" i="158"/>
  <c r="C12" i="158"/>
  <c r="D12" i="158"/>
  <c r="E12" i="158"/>
  <c r="G12" i="158" s="1"/>
  <c r="F12" i="158"/>
  <c r="B13" i="158"/>
  <c r="C13" i="158"/>
  <c r="D13" i="158"/>
  <c r="G13" i="158" s="1"/>
  <c r="E13" i="158"/>
  <c r="F13" i="158"/>
  <c r="G36" i="158"/>
  <c r="G14" i="158"/>
  <c r="B4" i="158"/>
  <c r="C4" i="158"/>
  <c r="D4" i="158"/>
  <c r="E4" i="158"/>
  <c r="F4" i="158"/>
  <c r="B5" i="158"/>
  <c r="C5" i="158"/>
  <c r="C7" i="158" s="1"/>
  <c r="D5" i="158"/>
  <c r="E5" i="158"/>
  <c r="F5" i="158"/>
  <c r="B6" i="158"/>
  <c r="C6" i="158"/>
  <c r="D6" i="158"/>
  <c r="D7" i="158" s="1"/>
  <c r="E6" i="158"/>
  <c r="F6" i="158"/>
  <c r="E48" i="158" l="1"/>
  <c r="D48" i="158"/>
  <c r="C48" i="158"/>
  <c r="D40" i="158"/>
  <c r="B47" i="158"/>
  <c r="F32" i="158"/>
  <c r="E32" i="158"/>
  <c r="D32" i="158"/>
  <c r="F24" i="158"/>
  <c r="C39" i="158"/>
  <c r="C40" i="158" s="1"/>
  <c r="C31" i="158"/>
  <c r="C32" i="158" s="1"/>
  <c r="C23" i="158"/>
  <c r="C24" i="158" s="1"/>
  <c r="E23" i="158"/>
  <c r="E24" i="158" s="1"/>
  <c r="G16" i="158"/>
  <c r="G15" i="158"/>
  <c r="B40" i="158"/>
  <c r="G40" i="158" s="1"/>
  <c r="G39" i="158"/>
  <c r="G37" i="158"/>
  <c r="B31" i="158"/>
  <c r="B23" i="158"/>
  <c r="G6" i="158"/>
  <c r="F7" i="158"/>
  <c r="F8" i="158" s="1"/>
  <c r="G5" i="158"/>
  <c r="G4" i="158"/>
  <c r="C8" i="158"/>
  <c r="D8" i="158"/>
  <c r="E7" i="158"/>
  <c r="E8" i="158" s="1"/>
  <c r="B7" i="158"/>
  <c r="B48" i="158" l="1"/>
  <c r="G48" i="158" s="1"/>
  <c r="G47" i="158"/>
  <c r="G31" i="158"/>
  <c r="B32" i="158"/>
  <c r="G32" i="158" s="1"/>
  <c r="B24" i="158"/>
  <c r="G24" i="158" s="1"/>
  <c r="G23" i="158"/>
  <c r="G7" i="158"/>
  <c r="B8" i="158"/>
  <c r="G8" i="158" s="1"/>
  <c r="U25" i="68" l="1"/>
  <c r="T25" i="68"/>
  <c r="U24" i="68"/>
  <c r="U23" i="68"/>
  <c r="U22" i="68"/>
  <c r="U21" i="68"/>
  <c r="U20" i="68"/>
  <c r="U19" i="68"/>
  <c r="U18" i="68"/>
  <c r="U17" i="68"/>
  <c r="U16" i="68"/>
  <c r="T24" i="68"/>
  <c r="T23" i="68"/>
  <c r="T22" i="68"/>
  <c r="T21" i="68"/>
  <c r="T20" i="68"/>
  <c r="T19" i="68"/>
  <c r="T18" i="68"/>
  <c r="T17" i="68"/>
  <c r="T16" i="68"/>
  <c r="V16" i="68"/>
  <c r="V17" i="68"/>
  <c r="V18" i="68"/>
  <c r="V19" i="68"/>
  <c r="V20" i="68"/>
  <c r="V21" i="68"/>
  <c r="V22" i="68"/>
  <c r="V23" i="68"/>
  <c r="V24" i="68"/>
  <c r="W23" i="68"/>
  <c r="W22" i="68"/>
  <c r="W21" i="68"/>
  <c r="W20" i="68"/>
  <c r="W19" i="68"/>
  <c r="W18" i="68"/>
  <c r="W17" i="68"/>
  <c r="W16" i="68"/>
  <c r="X24" i="68" l="1"/>
  <c r="Y24" i="68" s="1"/>
  <c r="X23" i="68"/>
  <c r="Y23" i="68" s="1"/>
  <c r="Z23" i="68"/>
  <c r="X22" i="68"/>
  <c r="Y22" i="68" s="1"/>
  <c r="Z24" i="68"/>
  <c r="X21" i="68"/>
  <c r="Y21" i="68" s="1"/>
  <c r="X20" i="68"/>
  <c r="Y20" i="68" s="1"/>
  <c r="X19" i="68"/>
  <c r="Y19" i="68" s="1"/>
  <c r="X18" i="68"/>
  <c r="Y18" i="68" s="1"/>
  <c r="X17" i="68"/>
  <c r="Y17" i="68" s="1"/>
  <c r="X16" i="68"/>
  <c r="Y16" i="68" s="1"/>
  <c r="Y25" i="68" l="1"/>
  <c r="Z25" i="68"/>
  <c r="O123" i="89" l="1"/>
  <c r="N123" i="89"/>
  <c r="M123" i="89"/>
  <c r="L123" i="89"/>
  <c r="K123" i="89"/>
  <c r="O122" i="89"/>
  <c r="O137" i="89" s="1"/>
  <c r="N122" i="89"/>
  <c r="N137" i="89" s="1"/>
  <c r="M122" i="89"/>
  <c r="M137" i="89" s="1"/>
  <c r="L122" i="89"/>
  <c r="L137" i="89" s="1"/>
  <c r="K122" i="89"/>
  <c r="F114" i="89"/>
  <c r="O114" i="89"/>
  <c r="N114" i="89"/>
  <c r="M114" i="89"/>
  <c r="L114" i="89"/>
  <c r="K114" i="89"/>
  <c r="O113" i="89"/>
  <c r="N113" i="89"/>
  <c r="M113" i="89"/>
  <c r="L113" i="89"/>
  <c r="K113" i="89"/>
  <c r="K137" i="89" l="1"/>
  <c r="P136" i="89"/>
  <c r="P137" i="89"/>
  <c r="P113" i="89"/>
  <c r="P123" i="89"/>
  <c r="K138" i="89" s="1"/>
  <c r="R137" i="89" s="1"/>
  <c r="P122" i="89"/>
  <c r="P114" i="89"/>
  <c r="C67" i="70"/>
  <c r="I67" i="103" l="1"/>
  <c r="I112" i="103" s="1"/>
  <c r="H67" i="103"/>
  <c r="H112" i="103" s="1"/>
  <c r="H111" i="103" s="1"/>
  <c r="G67" i="103"/>
  <c r="G66" i="103" s="1"/>
  <c r="F67" i="103"/>
  <c r="F68" i="103" s="1"/>
  <c r="E67" i="103"/>
  <c r="E112" i="103" s="1"/>
  <c r="I64" i="103"/>
  <c r="I109" i="103" s="1"/>
  <c r="H64" i="103"/>
  <c r="H63" i="103" s="1"/>
  <c r="G64" i="103"/>
  <c r="G109" i="103" s="1"/>
  <c r="G110" i="103" s="1"/>
  <c r="F64" i="103"/>
  <c r="F63" i="103" s="1"/>
  <c r="E64" i="103"/>
  <c r="E63" i="103" s="1"/>
  <c r="E66" i="103" l="1"/>
  <c r="F65" i="103"/>
  <c r="F109" i="103"/>
  <c r="G63" i="103"/>
  <c r="G112" i="103"/>
  <c r="G111" i="103" s="1"/>
  <c r="G65" i="103"/>
  <c r="F66" i="103"/>
  <c r="I66" i="103"/>
  <c r="I113" i="103"/>
  <c r="I111" i="103"/>
  <c r="E113" i="103"/>
  <c r="E111" i="103"/>
  <c r="I110" i="103"/>
  <c r="I108" i="103"/>
  <c r="H68" i="103"/>
  <c r="G108" i="103"/>
  <c r="E65" i="103"/>
  <c r="I65" i="103"/>
  <c r="I63" i="103"/>
  <c r="H66" i="103"/>
  <c r="G68" i="103"/>
  <c r="F112" i="103"/>
  <c r="H109" i="103"/>
  <c r="E68" i="103"/>
  <c r="I68" i="103"/>
  <c r="E109" i="103"/>
  <c r="H65" i="103"/>
  <c r="H113" i="103"/>
  <c r="G113" i="103" l="1"/>
  <c r="F110" i="103"/>
  <c r="F108" i="103"/>
  <c r="H108" i="103"/>
  <c r="H110" i="103"/>
  <c r="E110" i="103"/>
  <c r="E108" i="103"/>
  <c r="F113" i="103"/>
  <c r="F111" i="103"/>
  <c r="H48" i="157"/>
  <c r="G48" i="157"/>
  <c r="F48" i="157"/>
  <c r="E48" i="157"/>
  <c r="D48" i="157"/>
  <c r="C48" i="157"/>
  <c r="H47" i="157"/>
  <c r="G47" i="157"/>
  <c r="F47" i="157"/>
  <c r="E47" i="157"/>
  <c r="D47" i="157"/>
  <c r="C47" i="157"/>
  <c r="H46" i="157"/>
  <c r="F9" i="156" s="1"/>
  <c r="C19" i="156" s="1"/>
  <c r="D19" i="156" s="1"/>
  <c r="G46" i="157"/>
  <c r="F46" i="157"/>
  <c r="D9" i="156" s="1"/>
  <c r="C17" i="156" s="1"/>
  <c r="E46" i="157"/>
  <c r="D46" i="157"/>
  <c r="B9" i="156" s="1"/>
  <c r="C15" i="156" s="1"/>
  <c r="D15" i="156" s="1"/>
  <c r="C46" i="157"/>
  <c r="H33" i="157"/>
  <c r="G33" i="157"/>
  <c r="F33" i="157"/>
  <c r="F51" i="157" s="1"/>
  <c r="E33" i="157"/>
  <c r="E51" i="157" s="1"/>
  <c r="D33" i="157"/>
  <c r="C33" i="157"/>
  <c r="H32" i="157"/>
  <c r="G32" i="157"/>
  <c r="F32" i="157"/>
  <c r="E32" i="157"/>
  <c r="D32" i="157"/>
  <c r="C32" i="157"/>
  <c r="H31" i="157"/>
  <c r="G31" i="157"/>
  <c r="F31" i="157"/>
  <c r="F50" i="157" s="1"/>
  <c r="E31" i="157"/>
  <c r="E49" i="157" s="1"/>
  <c r="D31" i="157"/>
  <c r="C31" i="157"/>
  <c r="H18" i="157"/>
  <c r="G18" i="157"/>
  <c r="F18" i="157"/>
  <c r="E18" i="157"/>
  <c r="D18" i="157"/>
  <c r="C18" i="157"/>
  <c r="H17" i="157"/>
  <c r="G17" i="157"/>
  <c r="F17" i="157"/>
  <c r="E17" i="157"/>
  <c r="D17" i="157"/>
  <c r="C17" i="157"/>
  <c r="H16" i="157"/>
  <c r="G16" i="157"/>
  <c r="F16" i="157"/>
  <c r="E16" i="157"/>
  <c r="D16" i="157"/>
  <c r="C16" i="157"/>
  <c r="C18" i="156"/>
  <c r="D18" i="156" s="1"/>
  <c r="F14" i="156"/>
  <c r="E14" i="156"/>
  <c r="D14" i="156"/>
  <c r="C14" i="156"/>
  <c r="E9" i="156"/>
  <c r="C9" i="156"/>
  <c r="C16" i="156" s="1"/>
  <c r="D16" i="156" s="1"/>
  <c r="D17" i="156" l="1"/>
  <c r="E17" i="156" s="1"/>
  <c r="E22" i="156" s="1"/>
  <c r="C22" i="156"/>
  <c r="C49" i="157"/>
  <c r="G50" i="157"/>
  <c r="C51" i="157"/>
  <c r="G51" i="157"/>
  <c r="D50" i="157"/>
  <c r="H49" i="157"/>
  <c r="D51" i="157"/>
  <c r="H51" i="157"/>
  <c r="E50" i="157"/>
  <c r="C50" i="157"/>
  <c r="H50" i="157"/>
  <c r="G49" i="157"/>
  <c r="F49" i="157"/>
  <c r="D49" i="157"/>
  <c r="F17" i="156"/>
  <c r="F22" i="156" s="1"/>
  <c r="E15" i="156"/>
  <c r="D20" i="156"/>
  <c r="E18" i="156"/>
  <c r="D23" i="156"/>
  <c r="E16" i="156"/>
  <c r="D21" i="156"/>
  <c r="E19" i="156"/>
  <c r="D24" i="156"/>
  <c r="C20" i="156"/>
  <c r="C21" i="156"/>
  <c r="C23" i="156"/>
  <c r="C24" i="156"/>
  <c r="D22" i="156"/>
  <c r="F16" i="156" l="1"/>
  <c r="F21" i="156" s="1"/>
  <c r="E21" i="156"/>
  <c r="F15" i="156"/>
  <c r="F20" i="156" s="1"/>
  <c r="E20" i="156"/>
  <c r="F19" i="156"/>
  <c r="F24" i="156" s="1"/>
  <c r="E24" i="156"/>
  <c r="F18" i="156"/>
  <c r="F23" i="156" s="1"/>
  <c r="E23" i="156"/>
  <c r="G1056" i="155" l="1"/>
  <c r="F1056" i="155"/>
  <c r="E1056" i="155"/>
  <c r="D1056" i="155"/>
  <c r="C1056" i="155"/>
  <c r="B1056" i="155"/>
  <c r="G1055" i="155"/>
  <c r="F1055" i="155"/>
  <c r="E1055" i="155"/>
  <c r="D1055" i="155"/>
  <c r="C1055" i="155"/>
  <c r="B1055" i="155"/>
  <c r="G868" i="155"/>
  <c r="F868" i="155"/>
  <c r="E868" i="155"/>
  <c r="D868" i="155"/>
  <c r="C868" i="155"/>
  <c r="B868" i="155"/>
  <c r="G498" i="155"/>
  <c r="F498" i="155"/>
  <c r="E498" i="155"/>
  <c r="D498" i="155"/>
  <c r="C498" i="155"/>
  <c r="B498" i="155"/>
  <c r="G129" i="155"/>
  <c r="F129" i="155"/>
  <c r="E129" i="155"/>
  <c r="D129" i="155"/>
  <c r="C129" i="155"/>
  <c r="B129" i="155"/>
  <c r="D58" i="115"/>
  <c r="E58" i="115"/>
  <c r="D53" i="115"/>
  <c r="D52" i="115"/>
  <c r="D51" i="115"/>
  <c r="D50" i="115"/>
  <c r="D49" i="115"/>
  <c r="E43" i="115"/>
  <c r="E42" i="115"/>
  <c r="E41" i="115"/>
  <c r="E40" i="115"/>
  <c r="E39" i="115"/>
  <c r="D39" i="115" s="1"/>
  <c r="D38" i="115"/>
  <c r="D48" i="115" l="1"/>
  <c r="F151" i="103"/>
  <c r="F150" i="103" s="1"/>
  <c r="E37" i="115"/>
  <c r="E48" i="115"/>
  <c r="D65" i="154" l="1"/>
  <c r="D68" i="154" s="1"/>
  <c r="D64" i="154"/>
  <c r="C64" i="154"/>
  <c r="C65" i="154" s="1"/>
  <c r="C68" i="154" s="1"/>
  <c r="B64" i="154"/>
  <c r="B65" i="154" s="1"/>
  <c r="B68" i="154" s="1"/>
  <c r="B69" i="154" l="1"/>
  <c r="G9" i="114" l="1"/>
  <c r="E9" i="114" s="1"/>
  <c r="G153" i="103" l="1"/>
  <c r="G151" i="103"/>
  <c r="G150" i="103" s="1"/>
  <c r="I26" i="103"/>
  <c r="H26" i="103"/>
  <c r="G26" i="103"/>
  <c r="F26" i="103"/>
  <c r="E26" i="103"/>
  <c r="I25" i="103"/>
  <c r="H25" i="103"/>
  <c r="G25" i="103"/>
  <c r="F25" i="103"/>
  <c r="E25" i="103"/>
  <c r="I24" i="103"/>
  <c r="H24" i="103"/>
  <c r="G24" i="103"/>
  <c r="F24" i="103"/>
  <c r="E24" i="103"/>
  <c r="I23" i="103"/>
  <c r="H23" i="103"/>
  <c r="G23" i="103"/>
  <c r="F23" i="103"/>
  <c r="E23" i="103"/>
  <c r="I22" i="103"/>
  <c r="H22" i="103"/>
  <c r="G22" i="103"/>
  <c r="F22" i="103"/>
  <c r="E22" i="103"/>
  <c r="C193" i="89"/>
  <c r="D192" i="89"/>
  <c r="C192" i="89"/>
  <c r="E191" i="89"/>
  <c r="D191" i="89"/>
  <c r="E190" i="89"/>
  <c r="D190" i="89"/>
  <c r="C190" i="89"/>
  <c r="E189" i="89"/>
  <c r="E195" i="89" s="1"/>
  <c r="D189" i="89"/>
  <c r="D195" i="89" s="1"/>
  <c r="C189" i="89"/>
  <c r="C195" i="89" s="1"/>
  <c r="C32" i="89"/>
  <c r="C58" i="89" s="1"/>
  <c r="C35" i="89"/>
  <c r="C61" i="89" s="1"/>
  <c r="G101" i="89"/>
  <c r="F101" i="89"/>
  <c r="E101" i="89"/>
  <c r="D101" i="89"/>
  <c r="C101" i="89"/>
  <c r="G100" i="89"/>
  <c r="F100" i="89"/>
  <c r="E100" i="89"/>
  <c r="D100" i="89"/>
  <c r="C100" i="89"/>
  <c r="C191" i="89"/>
  <c r="G98" i="89"/>
  <c r="F98" i="89"/>
  <c r="E98" i="89"/>
  <c r="D98" i="89"/>
  <c r="G99" i="89"/>
  <c r="F99" i="89"/>
  <c r="E99" i="89"/>
  <c r="D99" i="89"/>
  <c r="C99" i="89"/>
  <c r="C185" i="89" s="1"/>
  <c r="C98" i="89"/>
  <c r="C97" i="89"/>
  <c r="C96" i="89"/>
  <c r="H76" i="84"/>
  <c r="G76" i="84"/>
  <c r="F76" i="84"/>
  <c r="E76" i="84"/>
  <c r="D76" i="84"/>
  <c r="H75" i="84"/>
  <c r="G75" i="84"/>
  <c r="F75" i="84"/>
  <c r="E75" i="84"/>
  <c r="D75" i="84"/>
  <c r="H74" i="84"/>
  <c r="G74" i="84"/>
  <c r="F74" i="84"/>
  <c r="E74" i="84"/>
  <c r="D74" i="84"/>
  <c r="H73" i="84"/>
  <c r="G73" i="84"/>
  <c r="F73" i="84"/>
  <c r="E73" i="84"/>
  <c r="D73" i="84"/>
  <c r="H72" i="84"/>
  <c r="H77" i="84" s="1"/>
  <c r="G72" i="84"/>
  <c r="F72" i="84"/>
  <c r="E72" i="84"/>
  <c r="D72" i="84"/>
  <c r="E77" i="84"/>
  <c r="C83" i="84"/>
  <c r="C77" i="84"/>
  <c r="C60" i="84"/>
  <c r="H65" i="84"/>
  <c r="G65" i="84"/>
  <c r="F65" i="84"/>
  <c r="E65" i="84"/>
  <c r="D65" i="84"/>
  <c r="H64" i="84"/>
  <c r="G64" i="84"/>
  <c r="F64" i="84"/>
  <c r="E64" i="84"/>
  <c r="D64" i="84"/>
  <c r="H63" i="84"/>
  <c r="G63" i="84"/>
  <c r="F63" i="84"/>
  <c r="E63" i="84"/>
  <c r="D63" i="84"/>
  <c r="H62" i="84"/>
  <c r="G62" i="84"/>
  <c r="F62" i="84"/>
  <c r="E62" i="84"/>
  <c r="D62" i="84"/>
  <c r="H61" i="84"/>
  <c r="G61" i="84"/>
  <c r="F61" i="84"/>
  <c r="E61" i="84"/>
  <c r="D61" i="84"/>
  <c r="H59" i="84"/>
  <c r="G59" i="84"/>
  <c r="F59" i="84"/>
  <c r="E59" i="84"/>
  <c r="D59" i="84"/>
  <c r="H58" i="84"/>
  <c r="G58" i="84"/>
  <c r="F58" i="84"/>
  <c r="E58" i="84"/>
  <c r="D58" i="84"/>
  <c r="H57" i="84"/>
  <c r="G57" i="84"/>
  <c r="F57" i="84"/>
  <c r="E57" i="84"/>
  <c r="D57" i="84"/>
  <c r="H56" i="84"/>
  <c r="G56" i="84"/>
  <c r="F56" i="84"/>
  <c r="E56" i="84"/>
  <c r="D56" i="84"/>
  <c r="H55" i="84"/>
  <c r="G55" i="84"/>
  <c r="F55" i="84"/>
  <c r="E55" i="84"/>
  <c r="D55" i="84"/>
  <c r="H82" i="84"/>
  <c r="G82" i="84"/>
  <c r="F82" i="84"/>
  <c r="E82" i="84"/>
  <c r="D82" i="84"/>
  <c r="H81" i="84"/>
  <c r="G81" i="84"/>
  <c r="F81" i="84"/>
  <c r="E81" i="84"/>
  <c r="E83" i="84" s="1"/>
  <c r="D81" i="84"/>
  <c r="H80" i="84"/>
  <c r="G80" i="84"/>
  <c r="F80" i="84"/>
  <c r="E80" i="84"/>
  <c r="D80" i="84"/>
  <c r="H79" i="84"/>
  <c r="G79" i="84"/>
  <c r="F79" i="84"/>
  <c r="E79" i="84"/>
  <c r="D79" i="84"/>
  <c r="H78" i="84"/>
  <c r="H83" i="84" s="1"/>
  <c r="G78" i="84"/>
  <c r="F78" i="84"/>
  <c r="E78" i="84"/>
  <c r="D78" i="84"/>
  <c r="D83" i="84" s="1"/>
  <c r="G77" i="84"/>
  <c r="C101" i="84"/>
  <c r="G100" i="84"/>
  <c r="C100" i="84"/>
  <c r="H99" i="84"/>
  <c r="G99" i="84"/>
  <c r="F99" i="84"/>
  <c r="E99" i="84"/>
  <c r="D99" i="84"/>
  <c r="H98" i="84"/>
  <c r="G98" i="84"/>
  <c r="F98" i="84"/>
  <c r="E98" i="84"/>
  <c r="D98" i="84"/>
  <c r="H97" i="84"/>
  <c r="G97" i="84"/>
  <c r="F97" i="84"/>
  <c r="E97" i="84"/>
  <c r="D97" i="84"/>
  <c r="H96" i="84"/>
  <c r="G96" i="84"/>
  <c r="F96" i="84"/>
  <c r="F100" i="84" s="1"/>
  <c r="E96" i="84"/>
  <c r="D96" i="84"/>
  <c r="H95" i="84"/>
  <c r="H100" i="84" s="1"/>
  <c r="G95" i="84"/>
  <c r="F95" i="84"/>
  <c r="E95" i="84"/>
  <c r="E100" i="84" s="1"/>
  <c r="D95" i="84"/>
  <c r="D100" i="84" s="1"/>
  <c r="F94" i="84"/>
  <c r="C94" i="84"/>
  <c r="H93" i="84"/>
  <c r="H94" i="84" s="1"/>
  <c r="G93" i="84"/>
  <c r="F93" i="84"/>
  <c r="E93" i="84"/>
  <c r="D93" i="84"/>
  <c r="D94" i="84" s="1"/>
  <c r="D101" i="84" s="1"/>
  <c r="H92" i="84"/>
  <c r="G92" i="84"/>
  <c r="F92" i="84"/>
  <c r="E92" i="84"/>
  <c r="D92" i="84"/>
  <c r="H91" i="84"/>
  <c r="G91" i="84"/>
  <c r="F91" i="84"/>
  <c r="E91" i="84"/>
  <c r="D91" i="84"/>
  <c r="H90" i="84"/>
  <c r="G90" i="84"/>
  <c r="G94" i="84" s="1"/>
  <c r="F90" i="84"/>
  <c r="E90" i="84"/>
  <c r="E94" i="84" s="1"/>
  <c r="D90" i="84"/>
  <c r="H89" i="84"/>
  <c r="G89" i="84"/>
  <c r="F89" i="84"/>
  <c r="E89" i="84"/>
  <c r="D89" i="84"/>
  <c r="G83" i="84"/>
  <c r="F83" i="84"/>
  <c r="C84" i="84"/>
  <c r="D77" i="84"/>
  <c r="D84" i="84" s="1"/>
  <c r="F77" i="84"/>
  <c r="N69" i="84"/>
  <c r="N68" i="84"/>
  <c r="D16" i="152"/>
  <c r="F16" i="152" s="1"/>
  <c r="H16" i="152" s="1"/>
  <c r="D15" i="152"/>
  <c r="D14" i="152"/>
  <c r="D13" i="152"/>
  <c r="D12" i="152"/>
  <c r="F12" i="152" s="1"/>
  <c r="H12" i="152" s="1"/>
  <c r="D11" i="152"/>
  <c r="D10" i="152"/>
  <c r="D9" i="152"/>
  <c r="D8" i="152"/>
  <c r="F8" i="152" s="1"/>
  <c r="D7" i="152"/>
  <c r="D99" i="152" s="1"/>
  <c r="D16" i="150"/>
  <c r="D15" i="150"/>
  <c r="D14" i="150"/>
  <c r="D13" i="150"/>
  <c r="D12" i="150"/>
  <c r="D11" i="150"/>
  <c r="D10" i="150"/>
  <c r="D9" i="150"/>
  <c r="D8" i="150"/>
  <c r="D7" i="150"/>
  <c r="E177" i="153"/>
  <c r="J143" i="153"/>
  <c r="K136" i="153"/>
  <c r="G136" i="153"/>
  <c r="B94" i="153"/>
  <c r="D11" i="153"/>
  <c r="B8" i="153"/>
  <c r="B95" i="153" s="1"/>
  <c r="O248" i="152"/>
  <c r="E192" i="152"/>
  <c r="J158" i="152"/>
  <c r="B146" i="152"/>
  <c r="B99" i="152"/>
  <c r="F15" i="152"/>
  <c r="H15" i="152" s="1"/>
  <c r="D10" i="153"/>
  <c r="F10" i="153" s="1"/>
  <c r="H10" i="153" s="1"/>
  <c r="F14" i="152"/>
  <c r="H14" i="152" s="1"/>
  <c r="D9" i="153"/>
  <c r="F13" i="152"/>
  <c r="H13" i="152" s="1"/>
  <c r="D8" i="153"/>
  <c r="F11" i="152"/>
  <c r="H11" i="152" s="1"/>
  <c r="F10" i="152"/>
  <c r="H10" i="152" s="1"/>
  <c r="B8" i="152"/>
  <c r="F7" i="152"/>
  <c r="H7" i="152" s="1"/>
  <c r="E177" i="151"/>
  <c r="J143" i="151"/>
  <c r="K136" i="151"/>
  <c r="G136" i="151"/>
  <c r="B95" i="151"/>
  <c r="B137" i="151" s="1"/>
  <c r="B94" i="151"/>
  <c r="B136" i="151" s="1"/>
  <c r="B10" i="151"/>
  <c r="B97" i="151" s="1"/>
  <c r="B9" i="151"/>
  <c r="B96" i="151" s="1"/>
  <c r="B8" i="151"/>
  <c r="O248" i="150"/>
  <c r="E192" i="150"/>
  <c r="J158" i="150"/>
  <c r="B146" i="150"/>
  <c r="B99" i="150"/>
  <c r="E82" i="150"/>
  <c r="D10" i="151"/>
  <c r="F10" i="151" s="1"/>
  <c r="H10" i="151" s="1"/>
  <c r="D9" i="151"/>
  <c r="D8" i="151"/>
  <c r="D7" i="151"/>
  <c r="F11" i="150"/>
  <c r="H11" i="150" s="1"/>
  <c r="F9" i="150"/>
  <c r="B8" i="150"/>
  <c r="B100" i="150" s="1"/>
  <c r="B147" i="150" s="1"/>
  <c r="D59" i="89"/>
  <c r="G67" i="89"/>
  <c r="H48" i="90" s="1"/>
  <c r="H49" i="90" s="1"/>
  <c r="H42" i="90" s="1"/>
  <c r="F67" i="89"/>
  <c r="G48" i="90" s="1"/>
  <c r="G49" i="90" s="1"/>
  <c r="G42" i="90" s="1"/>
  <c r="E67" i="89"/>
  <c r="F48" i="90" s="1"/>
  <c r="F49" i="90" s="1"/>
  <c r="F42" i="90" s="1"/>
  <c r="D67" i="89"/>
  <c r="E48" i="90" s="1"/>
  <c r="E49" i="90" s="1"/>
  <c r="E42" i="90" s="1"/>
  <c r="C67" i="89"/>
  <c r="D48" i="90" s="1"/>
  <c r="D49" i="90" s="1"/>
  <c r="D42" i="90" s="1"/>
  <c r="G66" i="89"/>
  <c r="H47" i="90" s="1"/>
  <c r="F66" i="89"/>
  <c r="G47" i="90" s="1"/>
  <c r="E66" i="89"/>
  <c r="F47" i="90" s="1"/>
  <c r="D66" i="89"/>
  <c r="E47" i="90" s="1"/>
  <c r="C66" i="89"/>
  <c r="D47" i="90" s="1"/>
  <c r="E13" i="103" s="1"/>
  <c r="G65" i="89"/>
  <c r="H46" i="90" s="1"/>
  <c r="F65" i="89"/>
  <c r="G46" i="90" s="1"/>
  <c r="E65" i="89"/>
  <c r="F46" i="90" s="1"/>
  <c r="D65" i="89"/>
  <c r="E46" i="90" s="1"/>
  <c r="C65" i="89"/>
  <c r="D46" i="90" s="1"/>
  <c r="E12" i="103" s="1"/>
  <c r="G64" i="89"/>
  <c r="H45" i="90" s="1"/>
  <c r="F64" i="89"/>
  <c r="G45" i="90" s="1"/>
  <c r="E64" i="89"/>
  <c r="F45" i="90" s="1"/>
  <c r="D64" i="89"/>
  <c r="E45" i="90" s="1"/>
  <c r="C64" i="89"/>
  <c r="D45" i="90" s="1"/>
  <c r="G63" i="89"/>
  <c r="H44" i="90" s="1"/>
  <c r="F63" i="89"/>
  <c r="G44" i="90" s="1"/>
  <c r="E63" i="89"/>
  <c r="F44" i="90" s="1"/>
  <c r="D63" i="89"/>
  <c r="E44" i="90" s="1"/>
  <c r="C63" i="89"/>
  <c r="D44" i="90" s="1"/>
  <c r="C34" i="89"/>
  <c r="C60" i="89" s="1"/>
  <c r="C72" i="89" s="1"/>
  <c r="C180" i="89" s="1"/>
  <c r="C33" i="89"/>
  <c r="C59" i="89" s="1"/>
  <c r="C71" i="89" s="1"/>
  <c r="C179" i="89" s="1"/>
  <c r="C31" i="89"/>
  <c r="C57" i="89" s="1"/>
  <c r="C30" i="89"/>
  <c r="H65" i="70"/>
  <c r="G65" i="70"/>
  <c r="F65" i="70"/>
  <c r="E65" i="70"/>
  <c r="D65" i="70"/>
  <c r="H64" i="70"/>
  <c r="G64" i="70"/>
  <c r="F64" i="70"/>
  <c r="E64" i="70"/>
  <c r="D64" i="70"/>
  <c r="H63" i="70"/>
  <c r="G63" i="70"/>
  <c r="F63" i="70"/>
  <c r="E63" i="70"/>
  <c r="D63" i="70"/>
  <c r="H62" i="70"/>
  <c r="G62" i="70"/>
  <c r="F62" i="70"/>
  <c r="E62" i="70"/>
  <c r="D62" i="70"/>
  <c r="H61" i="70"/>
  <c r="G61" i="70"/>
  <c r="F61" i="70"/>
  <c r="E61" i="70"/>
  <c r="D61" i="70"/>
  <c r="H59" i="70"/>
  <c r="G59" i="70"/>
  <c r="F59" i="70"/>
  <c r="E59" i="70"/>
  <c r="D59" i="70"/>
  <c r="H58" i="70"/>
  <c r="G58" i="70"/>
  <c r="F58" i="70"/>
  <c r="E58" i="70"/>
  <c r="D58" i="70"/>
  <c r="H57" i="70"/>
  <c r="G57" i="70"/>
  <c r="F57" i="70"/>
  <c r="E57" i="70"/>
  <c r="D57" i="70"/>
  <c r="H56" i="70"/>
  <c r="G56" i="70"/>
  <c r="F56" i="70"/>
  <c r="E56" i="70"/>
  <c r="D56" i="70"/>
  <c r="H55" i="70"/>
  <c r="G55" i="70"/>
  <c r="F55" i="70"/>
  <c r="E55" i="70"/>
  <c r="D55" i="70"/>
  <c r="H99" i="70"/>
  <c r="G99" i="70"/>
  <c r="F99" i="70"/>
  <c r="E99" i="70"/>
  <c r="D99" i="70"/>
  <c r="H98" i="70"/>
  <c r="G98" i="70"/>
  <c r="F98" i="70"/>
  <c r="E98" i="70"/>
  <c r="E100" i="70" s="1"/>
  <c r="D98" i="70"/>
  <c r="H97" i="70"/>
  <c r="G97" i="70"/>
  <c r="F97" i="70"/>
  <c r="E97" i="70"/>
  <c r="D97" i="70"/>
  <c r="H96" i="70"/>
  <c r="G96" i="70"/>
  <c r="F96" i="70"/>
  <c r="E96" i="70"/>
  <c r="D96" i="70"/>
  <c r="H95" i="70"/>
  <c r="G95" i="70"/>
  <c r="F95" i="70"/>
  <c r="E95" i="70"/>
  <c r="D95" i="70"/>
  <c r="H93" i="70"/>
  <c r="G93" i="70"/>
  <c r="F93" i="70"/>
  <c r="E93" i="70"/>
  <c r="D93" i="70"/>
  <c r="H92" i="70"/>
  <c r="G92" i="70"/>
  <c r="F92" i="70"/>
  <c r="E92" i="70"/>
  <c r="D92" i="70"/>
  <c r="H91" i="70"/>
  <c r="G91" i="70"/>
  <c r="F91" i="70"/>
  <c r="E91" i="70"/>
  <c r="D91" i="70"/>
  <c r="H90" i="70"/>
  <c r="H94" i="70" s="1"/>
  <c r="G90" i="70"/>
  <c r="F90" i="70"/>
  <c r="E90" i="70"/>
  <c r="D90" i="70"/>
  <c r="D94" i="70" s="1"/>
  <c r="D101" i="70" s="1"/>
  <c r="H89" i="70"/>
  <c r="G89" i="70"/>
  <c r="F89" i="70"/>
  <c r="E89" i="70"/>
  <c r="D89" i="70"/>
  <c r="D16" i="148"/>
  <c r="D15" i="148"/>
  <c r="D14" i="148"/>
  <c r="D13" i="148"/>
  <c r="D12" i="148"/>
  <c r="D11" i="148"/>
  <c r="D10" i="148"/>
  <c r="D9" i="148"/>
  <c r="D8" i="148"/>
  <c r="D7" i="148"/>
  <c r="D16" i="146"/>
  <c r="D108" i="146" s="1"/>
  <c r="D15" i="146"/>
  <c r="D14" i="146"/>
  <c r="D106" i="146" s="1"/>
  <c r="D13" i="146"/>
  <c r="D12" i="146"/>
  <c r="D11" i="146"/>
  <c r="D10" i="146"/>
  <c r="D9" i="146"/>
  <c r="F10" i="146" s="1"/>
  <c r="H10" i="146" s="1"/>
  <c r="D8" i="146"/>
  <c r="D7" i="146"/>
  <c r="H82" i="70"/>
  <c r="G82" i="70"/>
  <c r="F82" i="70"/>
  <c r="E82" i="70"/>
  <c r="D82" i="70"/>
  <c r="H81" i="70"/>
  <c r="H83" i="70" s="1"/>
  <c r="G81" i="70"/>
  <c r="G83" i="70" s="1"/>
  <c r="F81" i="70"/>
  <c r="F83" i="70" s="1"/>
  <c r="E81" i="70"/>
  <c r="E83" i="70" s="1"/>
  <c r="D81" i="70"/>
  <c r="D83" i="70" s="1"/>
  <c r="G60" i="89" s="1"/>
  <c r="H80" i="70"/>
  <c r="G80" i="70"/>
  <c r="F80" i="70"/>
  <c r="E80" i="70"/>
  <c r="D80" i="70"/>
  <c r="H79" i="70"/>
  <c r="G79" i="70"/>
  <c r="F79" i="70"/>
  <c r="E79" i="70"/>
  <c r="D79" i="70"/>
  <c r="H78" i="70"/>
  <c r="G78" i="70"/>
  <c r="F78" i="70"/>
  <c r="E78" i="70"/>
  <c r="D78" i="70"/>
  <c r="H76" i="70"/>
  <c r="G76" i="70"/>
  <c r="F76" i="70"/>
  <c r="E76" i="70"/>
  <c r="D76" i="70"/>
  <c r="H75" i="70"/>
  <c r="G75" i="70"/>
  <c r="F75" i="70"/>
  <c r="E75" i="70"/>
  <c r="D75" i="70"/>
  <c r="H74" i="70"/>
  <c r="H77" i="70" s="1"/>
  <c r="G74" i="70"/>
  <c r="G77" i="70" s="1"/>
  <c r="F74" i="70"/>
  <c r="F77" i="70" s="1"/>
  <c r="E74" i="70"/>
  <c r="E77" i="70" s="1"/>
  <c r="D74" i="70"/>
  <c r="D77" i="70" s="1"/>
  <c r="H73" i="70"/>
  <c r="G73" i="70"/>
  <c r="F73" i="70"/>
  <c r="E73" i="70"/>
  <c r="D73" i="70"/>
  <c r="H72" i="70"/>
  <c r="G72" i="70"/>
  <c r="F72" i="70"/>
  <c r="E72" i="70"/>
  <c r="D72" i="70"/>
  <c r="E177" i="149"/>
  <c r="J143" i="149"/>
  <c r="K136" i="149"/>
  <c r="G136" i="149"/>
  <c r="B136" i="149"/>
  <c r="B98" i="149"/>
  <c r="B97" i="149"/>
  <c r="B96" i="149"/>
  <c r="B138" i="149" s="1"/>
  <c r="B95" i="149"/>
  <c r="B137" i="149" s="1"/>
  <c r="B94" i="149"/>
  <c r="E136" i="149" s="1"/>
  <c r="E192" i="148"/>
  <c r="J158" i="148"/>
  <c r="B154" i="148"/>
  <c r="B152" i="148"/>
  <c r="B150" i="148"/>
  <c r="B148" i="148"/>
  <c r="B146" i="148"/>
  <c r="B195" i="148" s="1"/>
  <c r="B108" i="148"/>
  <c r="D108" i="148" s="1"/>
  <c r="B107" i="148"/>
  <c r="E106" i="148"/>
  <c r="F106" i="148" s="1"/>
  <c r="B106" i="148"/>
  <c r="D106" i="148" s="1"/>
  <c r="H106" i="148" s="1"/>
  <c r="B105" i="148"/>
  <c r="E105" i="148" s="1"/>
  <c r="F105" i="148" s="1"/>
  <c r="B104" i="148"/>
  <c r="D104" i="148" s="1"/>
  <c r="B103" i="148"/>
  <c r="E102" i="148"/>
  <c r="F102" i="148" s="1"/>
  <c r="B102" i="148"/>
  <c r="D102" i="148" s="1"/>
  <c r="H102" i="148" s="1"/>
  <c r="B101" i="148"/>
  <c r="E101" i="148" s="1"/>
  <c r="F101" i="148" s="1"/>
  <c r="B100" i="148"/>
  <c r="E108" i="148" s="1"/>
  <c r="B99" i="148"/>
  <c r="D11" i="149"/>
  <c r="D9" i="149"/>
  <c r="D7" i="149"/>
  <c r="D94" i="149" s="1"/>
  <c r="F11" i="148"/>
  <c r="H11" i="148" s="1"/>
  <c r="F10" i="148"/>
  <c r="H10" i="148" s="1"/>
  <c r="F9" i="148"/>
  <c r="D101" i="148"/>
  <c r="H101" i="148" s="1"/>
  <c r="F7" i="148"/>
  <c r="H7" i="148" s="1"/>
  <c r="E177" i="147"/>
  <c r="J143" i="147"/>
  <c r="B139" i="147"/>
  <c r="K136" i="147"/>
  <c r="G136" i="147"/>
  <c r="B136" i="147"/>
  <c r="B98" i="147"/>
  <c r="B97" i="147"/>
  <c r="B96" i="147"/>
  <c r="B95" i="147"/>
  <c r="B137" i="147" s="1"/>
  <c r="E94" i="147"/>
  <c r="F94" i="147" s="1"/>
  <c r="B94" i="147"/>
  <c r="B202" i="146"/>
  <c r="D202" i="146" s="1"/>
  <c r="H202" i="146" s="1"/>
  <c r="E192" i="146"/>
  <c r="J158" i="146"/>
  <c r="B108" i="146"/>
  <c r="B155" i="146" s="1"/>
  <c r="B204" i="146" s="1"/>
  <c r="B107" i="146"/>
  <c r="B106" i="146"/>
  <c r="B153" i="146" s="1"/>
  <c r="D153" i="146" s="1"/>
  <c r="B105" i="146"/>
  <c r="B104" i="146"/>
  <c r="B103" i="146"/>
  <c r="B150" i="146" s="1"/>
  <c r="B199" i="146" s="1"/>
  <c r="B102" i="146"/>
  <c r="B149" i="146" s="1"/>
  <c r="D149" i="146" s="1"/>
  <c r="B101" i="146"/>
  <c r="B100" i="146"/>
  <c r="B99" i="146"/>
  <c r="E48" i="146"/>
  <c r="D10" i="147"/>
  <c r="D8" i="147"/>
  <c r="D95" i="147" s="1"/>
  <c r="F12" i="146"/>
  <c r="H12" i="146" s="1"/>
  <c r="D7" i="147"/>
  <c r="F11" i="146"/>
  <c r="H11" i="146" s="1"/>
  <c r="D102" i="146"/>
  <c r="F9" i="146"/>
  <c r="F7" i="146"/>
  <c r="H7" i="146" s="1"/>
  <c r="G100" i="70"/>
  <c r="H100" i="70"/>
  <c r="F100" i="70"/>
  <c r="D100" i="70"/>
  <c r="C94" i="70"/>
  <c r="C100" i="70" s="1"/>
  <c r="C101" i="70" s="1"/>
  <c r="C77" i="70"/>
  <c r="C83" i="70" s="1"/>
  <c r="C84" i="70" s="1"/>
  <c r="D152" i="89"/>
  <c r="D151" i="89"/>
  <c r="D156" i="89" s="1"/>
  <c r="D150" i="89"/>
  <c r="D149" i="89"/>
  <c r="D148" i="89"/>
  <c r="D147" i="89"/>
  <c r="H66" i="84"/>
  <c r="G66" i="84"/>
  <c r="F66" i="84"/>
  <c r="E66" i="84"/>
  <c r="D66" i="84"/>
  <c r="H60" i="84"/>
  <c r="G60" i="84"/>
  <c r="F60" i="84"/>
  <c r="E60" i="84"/>
  <c r="D60" i="84"/>
  <c r="H49" i="84"/>
  <c r="G49" i="84"/>
  <c r="F49" i="84"/>
  <c r="E49" i="84"/>
  <c r="D49" i="84"/>
  <c r="H43" i="84"/>
  <c r="G43" i="84"/>
  <c r="F43" i="84"/>
  <c r="E43" i="84"/>
  <c r="D43" i="84"/>
  <c r="D50" i="84" s="1"/>
  <c r="H32" i="84"/>
  <c r="G32" i="84"/>
  <c r="F32" i="84"/>
  <c r="E32" i="84"/>
  <c r="D32" i="84"/>
  <c r="H26" i="84"/>
  <c r="G26" i="84"/>
  <c r="F26" i="84"/>
  <c r="E26" i="84"/>
  <c r="D26" i="84"/>
  <c r="H16" i="84"/>
  <c r="G16" i="84"/>
  <c r="F16" i="84"/>
  <c r="E16" i="84"/>
  <c r="D16" i="84"/>
  <c r="H10" i="84"/>
  <c r="G10" i="84"/>
  <c r="F10" i="84"/>
  <c r="E10" i="84"/>
  <c r="D10" i="84"/>
  <c r="D43" i="115"/>
  <c r="D42" i="115"/>
  <c r="D41" i="115"/>
  <c r="D40" i="115"/>
  <c r="D32" i="115"/>
  <c r="D31" i="115"/>
  <c r="D30" i="115"/>
  <c r="D29" i="115"/>
  <c r="D28" i="115"/>
  <c r="D27" i="115"/>
  <c r="D21" i="115"/>
  <c r="D20" i="115"/>
  <c r="D19" i="115"/>
  <c r="D18" i="115"/>
  <c r="D17" i="115"/>
  <c r="D16" i="115"/>
  <c r="D10" i="115"/>
  <c r="D9" i="115"/>
  <c r="D8" i="115"/>
  <c r="D7" i="115"/>
  <c r="D6" i="115"/>
  <c r="D5" i="115"/>
  <c r="E26" i="115"/>
  <c r="E15" i="115"/>
  <c r="E4" i="115"/>
  <c r="D155" i="89" l="1"/>
  <c r="D154" i="89"/>
  <c r="C199" i="89"/>
  <c r="D55" i="90" s="1"/>
  <c r="C198" i="89"/>
  <c r="D54" i="90" s="1"/>
  <c r="D198" i="89"/>
  <c r="E54" i="90" s="1"/>
  <c r="E197" i="89"/>
  <c r="F53" i="90" s="1"/>
  <c r="D196" i="89"/>
  <c r="E52" i="90" s="1"/>
  <c r="E196" i="89"/>
  <c r="F52" i="90" s="1"/>
  <c r="D197" i="89"/>
  <c r="E53" i="90" s="1"/>
  <c r="C197" i="89"/>
  <c r="D53" i="90" s="1"/>
  <c r="C196" i="89"/>
  <c r="D52" i="90" s="1"/>
  <c r="E17" i="103" s="1"/>
  <c r="D60" i="89"/>
  <c r="E60" i="89"/>
  <c r="E72" i="89" s="1"/>
  <c r="E180" i="89" s="1"/>
  <c r="F60" i="89"/>
  <c r="F72" i="89" s="1"/>
  <c r="F180" i="89" s="1"/>
  <c r="D51" i="90"/>
  <c r="E16" i="103" s="1"/>
  <c r="E11" i="103"/>
  <c r="C70" i="89"/>
  <c r="C178" i="89" s="1"/>
  <c r="G72" i="89"/>
  <c r="G180" i="89" s="1"/>
  <c r="C73" i="89"/>
  <c r="C181" i="89" s="1"/>
  <c r="E10" i="103"/>
  <c r="E14" i="103"/>
  <c r="C69" i="89"/>
  <c r="C177" i="89" s="1"/>
  <c r="D37" i="115"/>
  <c r="I14" i="103"/>
  <c r="F14" i="103"/>
  <c r="G14" i="103"/>
  <c r="H14" i="103"/>
  <c r="F13" i="103"/>
  <c r="G13" i="103"/>
  <c r="H13" i="103"/>
  <c r="I13" i="103"/>
  <c r="D72" i="89"/>
  <c r="D180" i="89" s="1"/>
  <c r="G12" i="103"/>
  <c r="H12" i="103"/>
  <c r="I12" i="103"/>
  <c r="F12" i="103"/>
  <c r="D71" i="89"/>
  <c r="D179" i="89" s="1"/>
  <c r="H11" i="103"/>
  <c r="I11" i="103"/>
  <c r="F11" i="103"/>
  <c r="G11" i="103"/>
  <c r="I10" i="103"/>
  <c r="F10" i="103"/>
  <c r="G10" i="103"/>
  <c r="H10" i="103"/>
  <c r="H154" i="103"/>
  <c r="H153" i="103" s="1"/>
  <c r="G155" i="103"/>
  <c r="H151" i="103"/>
  <c r="H150" i="103" s="1"/>
  <c r="G152" i="103"/>
  <c r="F152" i="103"/>
  <c r="D185" i="89"/>
  <c r="G185" i="89"/>
  <c r="F185" i="89"/>
  <c r="E185" i="89"/>
  <c r="K81" i="84"/>
  <c r="K83" i="84" s="1"/>
  <c r="K84" i="84" s="1"/>
  <c r="J17" i="152"/>
  <c r="D7" i="153"/>
  <c r="H43" i="153" s="1"/>
  <c r="E48" i="152"/>
  <c r="B9" i="152"/>
  <c r="B100" i="152"/>
  <c r="F9" i="153"/>
  <c r="H9" i="153" s="1"/>
  <c r="D146" i="152"/>
  <c r="B195" i="152"/>
  <c r="H17" i="152"/>
  <c r="F9" i="152"/>
  <c r="H48" i="152"/>
  <c r="D44" i="152" s="1"/>
  <c r="H44" i="152" s="1"/>
  <c r="D259" i="152" s="1" a="1"/>
  <c r="D259" i="152" s="1"/>
  <c r="D17" i="152"/>
  <c r="E82" i="152"/>
  <c r="D95" i="153"/>
  <c r="B137" i="153"/>
  <c r="F11" i="153"/>
  <c r="H11" i="153" s="1"/>
  <c r="E43" i="153"/>
  <c r="E77" i="153"/>
  <c r="B9" i="153"/>
  <c r="B136" i="153"/>
  <c r="H82" i="150"/>
  <c r="D79" i="150" s="1"/>
  <c r="H79" i="150" s="1"/>
  <c r="E260" i="150" s="1" a="1"/>
  <c r="E260" i="150" s="1"/>
  <c r="D62" i="150"/>
  <c r="H62" i="150" s="1"/>
  <c r="E243" i="150" s="1" a="1"/>
  <c r="E243" i="150" s="1"/>
  <c r="F8" i="150"/>
  <c r="F9" i="151"/>
  <c r="H9" i="151" s="1"/>
  <c r="F15" i="150"/>
  <c r="H15" i="150" s="1"/>
  <c r="D17" i="150"/>
  <c r="F7" i="150"/>
  <c r="H7" i="150" s="1"/>
  <c r="B9" i="150"/>
  <c r="F10" i="150"/>
  <c r="H10" i="150" s="1"/>
  <c r="F8" i="151"/>
  <c r="H8" i="151" s="1"/>
  <c r="F14" i="150"/>
  <c r="H14" i="150" s="1"/>
  <c r="F13" i="150"/>
  <c r="H13" i="150" s="1"/>
  <c r="D11" i="151"/>
  <c r="D12" i="151" s="1"/>
  <c r="E48" i="150"/>
  <c r="H48" i="150"/>
  <c r="D100" i="150"/>
  <c r="D146" i="150"/>
  <c r="B195" i="150"/>
  <c r="D147" i="150"/>
  <c r="B196" i="150"/>
  <c r="F12" i="150"/>
  <c r="H12" i="150" s="1"/>
  <c r="F16" i="150"/>
  <c r="H16" i="150" s="1"/>
  <c r="D99" i="150"/>
  <c r="D96" i="151"/>
  <c r="H96" i="151" s="1"/>
  <c r="B138" i="151"/>
  <c r="E94" i="151"/>
  <c r="F94" i="151" s="1"/>
  <c r="E96" i="151"/>
  <c r="F96" i="151" s="1"/>
  <c r="D97" i="151"/>
  <c r="B180" i="151"/>
  <c r="D136" i="151"/>
  <c r="H136" i="151" s="1"/>
  <c r="D137" i="151"/>
  <c r="B181" i="151"/>
  <c r="D94" i="151"/>
  <c r="D95" i="151"/>
  <c r="E97" i="151"/>
  <c r="F97" i="151" s="1"/>
  <c r="E138" i="151"/>
  <c r="F138" i="151" s="1"/>
  <c r="G138" i="151" s="1"/>
  <c r="B139" i="151"/>
  <c r="B11" i="151"/>
  <c r="B98" i="151" s="1"/>
  <c r="E95" i="151"/>
  <c r="F95" i="151" s="1"/>
  <c r="D11" i="147"/>
  <c r="H43" i="147" s="1"/>
  <c r="D9" i="147"/>
  <c r="D96" i="147" s="1"/>
  <c r="G202" i="146"/>
  <c r="I202" i="146" s="1"/>
  <c r="J202" i="146" s="1"/>
  <c r="F108" i="148"/>
  <c r="H108" i="148"/>
  <c r="D195" i="148"/>
  <c r="D8" i="149"/>
  <c r="F8" i="149" s="1"/>
  <c r="H8" i="149" s="1"/>
  <c r="F13" i="148"/>
  <c r="H13" i="148" s="1"/>
  <c r="D10" i="149"/>
  <c r="F10" i="149" s="1"/>
  <c r="H10" i="149" s="1"/>
  <c r="F15" i="148"/>
  <c r="H15" i="148" s="1"/>
  <c r="D17" i="148"/>
  <c r="H48" i="148"/>
  <c r="E100" i="148"/>
  <c r="F100" i="148" s="1"/>
  <c r="E104" i="148"/>
  <c r="D99" i="148"/>
  <c r="D103" i="148"/>
  <c r="D107" i="148"/>
  <c r="D146" i="148"/>
  <c r="D148" i="148"/>
  <c r="B197" i="148"/>
  <c r="D150" i="148"/>
  <c r="B199" i="148"/>
  <c r="D152" i="148"/>
  <c r="B201" i="148"/>
  <c r="D154" i="148"/>
  <c r="B203" i="148"/>
  <c r="F8" i="148"/>
  <c r="F9" i="149"/>
  <c r="H9" i="149" s="1"/>
  <c r="F12" i="148"/>
  <c r="H12" i="148" s="1"/>
  <c r="F14" i="148"/>
  <c r="H14" i="148" s="1"/>
  <c r="F16" i="148"/>
  <c r="H16" i="148" s="1"/>
  <c r="E107" i="148"/>
  <c r="F107" i="148" s="1"/>
  <c r="E103" i="148"/>
  <c r="F103" i="148" s="1"/>
  <c r="D100" i="148"/>
  <c r="H100" i="148" s="1"/>
  <c r="E99" i="148"/>
  <c r="F99" i="148" s="1"/>
  <c r="E154" i="148"/>
  <c r="F154" i="148" s="1"/>
  <c r="G154" i="148" s="1"/>
  <c r="E152" i="148"/>
  <c r="F152" i="148" s="1"/>
  <c r="G152" i="148" s="1"/>
  <c r="E150" i="148"/>
  <c r="F150" i="148" s="1"/>
  <c r="G150" i="148" s="1"/>
  <c r="E149" i="148"/>
  <c r="F149" i="148" s="1"/>
  <c r="G149" i="148" s="1"/>
  <c r="E148" i="148"/>
  <c r="F148" i="148" s="1"/>
  <c r="G148" i="148" s="1"/>
  <c r="E146" i="148"/>
  <c r="F146" i="148" s="1"/>
  <c r="G146" i="148" s="1"/>
  <c r="D105" i="148"/>
  <c r="H105" i="148" s="1"/>
  <c r="B147" i="148"/>
  <c r="E147" i="148" s="1"/>
  <c r="F147" i="148" s="1"/>
  <c r="G147" i="148" s="1"/>
  <c r="B149" i="148"/>
  <c r="B151" i="148"/>
  <c r="E151" i="148" s="1"/>
  <c r="F151" i="148" s="1"/>
  <c r="G151" i="148" s="1"/>
  <c r="B153" i="148"/>
  <c r="B155" i="148"/>
  <c r="E155" i="148" s="1"/>
  <c r="F155" i="148" s="1"/>
  <c r="D138" i="149"/>
  <c r="B182" i="149"/>
  <c r="E77" i="149"/>
  <c r="H43" i="149"/>
  <c r="E43" i="149"/>
  <c r="F11" i="149"/>
  <c r="H11" i="149" s="1"/>
  <c r="E82" i="148"/>
  <c r="D12" i="149"/>
  <c r="E48" i="148"/>
  <c r="B181" i="149"/>
  <c r="D137" i="149"/>
  <c r="E95" i="149"/>
  <c r="F95" i="149" s="1"/>
  <c r="D96" i="149"/>
  <c r="H96" i="149" s="1"/>
  <c r="E97" i="149"/>
  <c r="F97" i="149" s="1"/>
  <c r="E98" i="149"/>
  <c r="F98" i="149" s="1"/>
  <c r="E137" i="149"/>
  <c r="F137" i="149" s="1"/>
  <c r="G137" i="149" s="1"/>
  <c r="E138" i="149"/>
  <c r="F138" i="149" s="1"/>
  <c r="G138" i="149" s="1"/>
  <c r="E139" i="149"/>
  <c r="F139" i="149" s="1"/>
  <c r="G139" i="149" s="1"/>
  <c r="E96" i="149"/>
  <c r="F96" i="149" s="1"/>
  <c r="D97" i="149"/>
  <c r="H97" i="149" s="1"/>
  <c r="D136" i="149"/>
  <c r="H136" i="149" s="1"/>
  <c r="E94" i="149"/>
  <c r="F94" i="149" s="1"/>
  <c r="F99" i="149" s="1"/>
  <c r="D95" i="149"/>
  <c r="H95" i="149" s="1"/>
  <c r="D98" i="149"/>
  <c r="H98" i="149" s="1"/>
  <c r="B139" i="149"/>
  <c r="B140" i="149"/>
  <c r="E140" i="149" s="1"/>
  <c r="F140" i="149" s="1"/>
  <c r="B180" i="149"/>
  <c r="H102" i="146"/>
  <c r="F11" i="147"/>
  <c r="H11" i="147" s="1"/>
  <c r="D204" i="146"/>
  <c r="H204" i="146" s="1"/>
  <c r="D97" i="147"/>
  <c r="F10" i="147"/>
  <c r="H10" i="147" s="1"/>
  <c r="F16" i="146"/>
  <c r="H16" i="146" s="1"/>
  <c r="B146" i="146"/>
  <c r="E155" i="146"/>
  <c r="F155" i="146" s="1"/>
  <c r="E154" i="146"/>
  <c r="F154" i="146" s="1"/>
  <c r="G154" i="146" s="1"/>
  <c r="E153" i="146"/>
  <c r="F153" i="146" s="1"/>
  <c r="G153" i="146" s="1"/>
  <c r="E152" i="146"/>
  <c r="F152" i="146" s="1"/>
  <c r="G152" i="146" s="1"/>
  <c r="E150" i="146"/>
  <c r="F150" i="146" s="1"/>
  <c r="G150" i="146" s="1"/>
  <c r="E149" i="146"/>
  <c r="F149" i="146" s="1"/>
  <c r="G149" i="146" s="1"/>
  <c r="E148" i="146"/>
  <c r="F148" i="146" s="1"/>
  <c r="G148" i="146" s="1"/>
  <c r="E106" i="146"/>
  <c r="F106" i="146" s="1"/>
  <c r="B147" i="146"/>
  <c r="E100" i="146"/>
  <c r="F100" i="146" s="1"/>
  <c r="B148" i="146"/>
  <c r="D101" i="146"/>
  <c r="B151" i="146"/>
  <c r="E104" i="146"/>
  <c r="F104" i="146" s="1"/>
  <c r="B152" i="146"/>
  <c r="D105" i="146"/>
  <c r="H105" i="146" s="1"/>
  <c r="B198" i="146"/>
  <c r="F9" i="147"/>
  <c r="H9" i="147" s="1"/>
  <c r="F15" i="146"/>
  <c r="H15" i="146" s="1"/>
  <c r="H48" i="146"/>
  <c r="D38" i="146" s="1"/>
  <c r="H38" i="146" s="1"/>
  <c r="D253" i="146" s="1" a="1"/>
  <c r="D253" i="146" s="1"/>
  <c r="D99" i="146"/>
  <c r="D100" i="146"/>
  <c r="H100" i="146" s="1"/>
  <c r="E101" i="146"/>
  <c r="F101" i="146" s="1"/>
  <c r="D103" i="146"/>
  <c r="D104" i="146"/>
  <c r="H104" i="146" s="1"/>
  <c r="E105" i="146"/>
  <c r="F105" i="146" s="1"/>
  <c r="D150" i="146"/>
  <c r="D155" i="146"/>
  <c r="D199" i="146"/>
  <c r="H199" i="146" s="1"/>
  <c r="F8" i="147"/>
  <c r="H8" i="147" s="1"/>
  <c r="F8" i="146"/>
  <c r="F14" i="146"/>
  <c r="H14" i="146" s="1"/>
  <c r="D17" i="146"/>
  <c r="E99" i="146"/>
  <c r="F99" i="146" s="1"/>
  <c r="F109" i="146" s="1"/>
  <c r="E102" i="146"/>
  <c r="F102" i="146" s="1"/>
  <c r="E103" i="146"/>
  <c r="F103" i="146" s="1"/>
  <c r="B154" i="146"/>
  <c r="D107" i="146"/>
  <c r="H107" i="146" s="1"/>
  <c r="H106" i="146"/>
  <c r="D94" i="147"/>
  <c r="F13" i="146"/>
  <c r="H13" i="146" s="1"/>
  <c r="H17" i="146" s="1"/>
  <c r="D27" i="146"/>
  <c r="H27" i="146" s="1"/>
  <c r="D242" i="146" s="1" a="1"/>
  <c r="D242" i="146" s="1"/>
  <c r="D42" i="146"/>
  <c r="H42" i="146" s="1"/>
  <c r="D257" i="146" s="1" a="1"/>
  <c r="D257" i="146" s="1"/>
  <c r="E82" i="146"/>
  <c r="E107" i="146"/>
  <c r="F107" i="146" s="1"/>
  <c r="B181" i="147"/>
  <c r="D137" i="147"/>
  <c r="D136" i="147"/>
  <c r="H136" i="147" s="1"/>
  <c r="B180" i="147"/>
  <c r="E108" i="146"/>
  <c r="F108" i="146" s="1"/>
  <c r="E96" i="147"/>
  <c r="F96" i="147" s="1"/>
  <c r="B138" i="147"/>
  <c r="E97" i="147"/>
  <c r="F97" i="147" s="1"/>
  <c r="F99" i="147" s="1"/>
  <c r="E95" i="147"/>
  <c r="F95" i="147" s="1"/>
  <c r="E136" i="147"/>
  <c r="B183" i="147"/>
  <c r="D139" i="147"/>
  <c r="B140" i="147"/>
  <c r="E98" i="147"/>
  <c r="F98" i="147" s="1"/>
  <c r="E137" i="147"/>
  <c r="F137" i="147" s="1"/>
  <c r="G137" i="147" s="1"/>
  <c r="E139" i="147"/>
  <c r="F139" i="147" s="1"/>
  <c r="G139" i="147" s="1"/>
  <c r="G94" i="70"/>
  <c r="F94" i="70"/>
  <c r="E94" i="70"/>
  <c r="D4" i="115"/>
  <c r="G139" i="103" s="1"/>
  <c r="D26" i="115"/>
  <c r="D15" i="115"/>
  <c r="G142" i="103" s="1"/>
  <c r="G141" i="103" s="1"/>
  <c r="H148" i="103" l="1"/>
  <c r="H147" i="103" s="1"/>
  <c r="E20" i="103"/>
  <c r="D41" i="90"/>
  <c r="E8" i="103" s="1"/>
  <c r="F70" i="90"/>
  <c r="F38" i="90"/>
  <c r="E19" i="103"/>
  <c r="D40" i="90"/>
  <c r="E7" i="103" s="1"/>
  <c r="D76" i="90"/>
  <c r="E39" i="103" s="1"/>
  <c r="D38" i="90"/>
  <c r="F19" i="103"/>
  <c r="E40" i="90"/>
  <c r="E76" i="90"/>
  <c r="F39" i="103" s="1"/>
  <c r="F73" i="90"/>
  <c r="G36" i="103" s="1"/>
  <c r="G18" i="103"/>
  <c r="F39" i="90"/>
  <c r="G6" i="103" s="1"/>
  <c r="F17" i="103"/>
  <c r="E38" i="90"/>
  <c r="E70" i="90"/>
  <c r="G17" i="103"/>
  <c r="F18" i="103"/>
  <c r="E73" i="90"/>
  <c r="F36" i="103" s="1"/>
  <c r="E39" i="90"/>
  <c r="E18" i="103"/>
  <c r="D39" i="90"/>
  <c r="E6" i="103" s="1"/>
  <c r="D73" i="90"/>
  <c r="E36" i="103" s="1"/>
  <c r="D37" i="90"/>
  <c r="F51" i="90"/>
  <c r="E51" i="90"/>
  <c r="F7" i="103"/>
  <c r="F6" i="103"/>
  <c r="I154" i="103"/>
  <c r="I153" i="103" s="1"/>
  <c r="H155" i="103"/>
  <c r="I151" i="103"/>
  <c r="I150" i="103" s="1"/>
  <c r="H152" i="103"/>
  <c r="J12" i="153"/>
  <c r="D12" i="153"/>
  <c r="D42" i="152"/>
  <c r="H42" i="152" s="1"/>
  <c r="D257" i="152" s="1" a="1"/>
  <c r="D257" i="152" s="1"/>
  <c r="F8" i="153"/>
  <c r="H8" i="153" s="1"/>
  <c r="H12" i="153" s="1"/>
  <c r="D94" i="153"/>
  <c r="D61" i="150"/>
  <c r="H61" i="150" s="1"/>
  <c r="E242" i="150" s="1" a="1"/>
  <c r="E242" i="150" s="1"/>
  <c r="D77" i="150"/>
  <c r="H77" i="150" s="1"/>
  <c r="E258" i="150" s="1" a="1"/>
  <c r="E258" i="150" s="1"/>
  <c r="J17" i="150"/>
  <c r="D66" i="150"/>
  <c r="H66" i="150" s="1"/>
  <c r="E247" i="150" s="1" a="1"/>
  <c r="E247" i="150" s="1"/>
  <c r="D60" i="150"/>
  <c r="H60" i="150" s="1"/>
  <c r="E241" i="150" s="1" a="1"/>
  <c r="E241" i="150" s="1"/>
  <c r="D65" i="150"/>
  <c r="H65" i="150" s="1"/>
  <c r="E246" i="150" s="1" a="1"/>
  <c r="E246" i="150" s="1"/>
  <c r="D81" i="150"/>
  <c r="H81" i="150" s="1"/>
  <c r="E262" i="150" s="1" a="1"/>
  <c r="E262" i="150" s="1"/>
  <c r="D70" i="150"/>
  <c r="H70" i="150" s="1"/>
  <c r="E251" i="150" s="1" a="1"/>
  <c r="E251" i="150" s="1"/>
  <c r="D68" i="150"/>
  <c r="H68" i="150" s="1"/>
  <c r="E249" i="150" s="1" a="1"/>
  <c r="E249" i="150" s="1"/>
  <c r="D69" i="150"/>
  <c r="H69" i="150" s="1"/>
  <c r="E250" i="150" s="1" a="1"/>
  <c r="E250" i="150" s="1"/>
  <c r="D78" i="150"/>
  <c r="H78" i="150" s="1"/>
  <c r="E259" i="150" s="1" a="1"/>
  <c r="E259" i="150" s="1"/>
  <c r="D76" i="150"/>
  <c r="H76" i="150" s="1"/>
  <c r="E257" i="150" s="1" a="1"/>
  <c r="E257" i="150" s="1"/>
  <c r="D73" i="150"/>
  <c r="H73" i="150" s="1"/>
  <c r="E254" i="150" s="1" a="1"/>
  <c r="E254" i="150" s="1"/>
  <c r="D29" i="152"/>
  <c r="H29" i="152" s="1"/>
  <c r="D244" i="152" s="1" a="1"/>
  <c r="D244" i="152" s="1"/>
  <c r="D37" i="152"/>
  <c r="H37" i="152" s="1"/>
  <c r="D252" i="152" s="1" a="1"/>
  <c r="D252" i="152" s="1"/>
  <c r="D45" i="152"/>
  <c r="H45" i="152" s="1"/>
  <c r="D260" i="152" s="1" a="1"/>
  <c r="D260" i="152" s="1"/>
  <c r="D30" i="152"/>
  <c r="H30" i="152" s="1"/>
  <c r="D245" i="152" s="1" a="1"/>
  <c r="D245" i="152" s="1"/>
  <c r="D38" i="152"/>
  <c r="H38" i="152" s="1"/>
  <c r="D253" i="152" s="1" a="1"/>
  <c r="D253" i="152" s="1"/>
  <c r="D46" i="152"/>
  <c r="H46" i="152" s="1"/>
  <c r="D261" i="152" s="1" a="1"/>
  <c r="D261" i="152" s="1"/>
  <c r="D41" i="153"/>
  <c r="H41" i="153" s="1"/>
  <c r="D241" i="153" s="1" a="1"/>
  <c r="D241" i="153" s="1"/>
  <c r="D39" i="153"/>
  <c r="H39" i="153" s="1"/>
  <c r="D239" i="153" s="1" a="1"/>
  <c r="D239" i="153" s="1"/>
  <c r="D37" i="153"/>
  <c r="H37" i="153" s="1"/>
  <c r="D237" i="153" s="1" a="1"/>
  <c r="D237" i="153" s="1"/>
  <c r="D35" i="153"/>
  <c r="H35" i="153" s="1"/>
  <c r="D235" i="153" s="1" a="1"/>
  <c r="D235" i="153" s="1"/>
  <c r="D33" i="153"/>
  <c r="H33" i="153" s="1"/>
  <c r="D233" i="153" s="1" a="1"/>
  <c r="D233" i="153" s="1"/>
  <c r="D31" i="153"/>
  <c r="H31" i="153" s="1"/>
  <c r="D231" i="153" s="1" a="1"/>
  <c r="D231" i="153" s="1"/>
  <c r="D29" i="153"/>
  <c r="H29" i="153" s="1"/>
  <c r="D229" i="153" s="1" a="1"/>
  <c r="D229" i="153" s="1"/>
  <c r="D27" i="153"/>
  <c r="H27" i="153" s="1"/>
  <c r="D227" i="153" s="1" a="1"/>
  <c r="D227" i="153" s="1"/>
  <c r="D25" i="153"/>
  <c r="H25" i="153" s="1"/>
  <c r="D225" i="153" s="1" a="1"/>
  <c r="D225" i="153" s="1"/>
  <c r="D23" i="153"/>
  <c r="H23" i="153" s="1"/>
  <c r="D223" i="153" s="1" a="1"/>
  <c r="D223" i="153" s="1"/>
  <c r="D21" i="153"/>
  <c r="H21" i="153" s="1"/>
  <c r="D221" i="153" s="1" a="1"/>
  <c r="D221" i="153" s="1"/>
  <c r="D36" i="153"/>
  <c r="H36" i="153" s="1"/>
  <c r="D236" i="153" s="1" a="1"/>
  <c r="D236" i="153" s="1"/>
  <c r="D28" i="153"/>
  <c r="H28" i="153" s="1"/>
  <c r="D228" i="153" s="1" a="1"/>
  <c r="D228" i="153" s="1"/>
  <c r="D42" i="153"/>
  <c r="H42" i="153" s="1"/>
  <c r="D242" i="153" s="1" a="1"/>
  <c r="D242" i="153" s="1"/>
  <c r="D34" i="153"/>
  <c r="H34" i="153" s="1"/>
  <c r="D234" i="153" s="1" a="1"/>
  <c r="D234" i="153" s="1"/>
  <c r="D26" i="153"/>
  <c r="H26" i="153" s="1"/>
  <c r="D226" i="153" s="1" a="1"/>
  <c r="D226" i="153" s="1"/>
  <c r="D40" i="153"/>
  <c r="H40" i="153" s="1"/>
  <c r="D240" i="153" s="1" a="1"/>
  <c r="D240" i="153" s="1"/>
  <c r="D32" i="153"/>
  <c r="H32" i="153" s="1"/>
  <c r="D232" i="153" s="1" a="1"/>
  <c r="D232" i="153" s="1"/>
  <c r="D24" i="153"/>
  <c r="H24" i="153" s="1"/>
  <c r="D224" i="153" s="1" a="1"/>
  <c r="D224" i="153" s="1"/>
  <c r="D38" i="153"/>
  <c r="H38" i="153" s="1"/>
  <c r="D238" i="153" s="1" a="1"/>
  <c r="D238" i="153" s="1"/>
  <c r="D30" i="153"/>
  <c r="H30" i="153" s="1"/>
  <c r="D230" i="153" s="1" a="1"/>
  <c r="D230" i="153" s="1"/>
  <c r="D22" i="153"/>
  <c r="H22" i="153" s="1"/>
  <c r="D222" i="153" s="1" a="1"/>
  <c r="D222" i="153" s="1"/>
  <c r="D33" i="152"/>
  <c r="H33" i="152" s="1"/>
  <c r="D248" i="152" s="1" a="1"/>
  <c r="D248" i="152" s="1"/>
  <c r="D26" i="152"/>
  <c r="H26" i="152" s="1"/>
  <c r="D241" i="152" s="1" a="1"/>
  <c r="D241" i="152" s="1"/>
  <c r="D34" i="152"/>
  <c r="H34" i="152" s="1"/>
  <c r="D249" i="152" s="1" a="1"/>
  <c r="D249" i="152" s="1"/>
  <c r="B10" i="153"/>
  <c r="B96" i="153"/>
  <c r="H77" i="153"/>
  <c r="D72" i="153" s="1"/>
  <c r="H72" i="153" s="1"/>
  <c r="E238" i="153" s="1" a="1"/>
  <c r="E238" i="153" s="1"/>
  <c r="D76" i="153"/>
  <c r="H76" i="153" s="1"/>
  <c r="E242" i="153" s="1" a="1"/>
  <c r="E242" i="153" s="1"/>
  <c r="D74" i="153"/>
  <c r="H74" i="153" s="1"/>
  <c r="E240" i="153" s="1" a="1"/>
  <c r="E240" i="153" s="1"/>
  <c r="D70" i="153"/>
  <c r="H70" i="153" s="1"/>
  <c r="E236" i="153" s="1" a="1"/>
  <c r="E236" i="153" s="1"/>
  <c r="D68" i="153"/>
  <c r="H68" i="153" s="1"/>
  <c r="E234" i="153" s="1" a="1"/>
  <c r="E234" i="153" s="1"/>
  <c r="D66" i="153"/>
  <c r="H66" i="153" s="1"/>
  <c r="E232" i="153" s="1" a="1"/>
  <c r="E232" i="153" s="1"/>
  <c r="D62" i="153"/>
  <c r="H62" i="153" s="1"/>
  <c r="E228" i="153" s="1" a="1"/>
  <c r="E228" i="153" s="1"/>
  <c r="D60" i="153"/>
  <c r="H60" i="153" s="1"/>
  <c r="E226" i="153" s="1" a="1"/>
  <c r="E226" i="153" s="1"/>
  <c r="D58" i="153"/>
  <c r="H58" i="153" s="1"/>
  <c r="E224" i="153" s="1" a="1"/>
  <c r="E224" i="153" s="1"/>
  <c r="D71" i="153"/>
  <c r="H71" i="153" s="1"/>
  <c r="E237" i="153" s="1" a="1"/>
  <c r="E237" i="153" s="1"/>
  <c r="D63" i="153"/>
  <c r="H63" i="153" s="1"/>
  <c r="E229" i="153" s="1" a="1"/>
  <c r="E229" i="153" s="1"/>
  <c r="D55" i="153"/>
  <c r="H55" i="153" s="1"/>
  <c r="E221" i="153" s="1" a="1"/>
  <c r="E221" i="153" s="1"/>
  <c r="D61" i="153"/>
  <c r="H61" i="153" s="1"/>
  <c r="E227" i="153" s="1" a="1"/>
  <c r="E227" i="153" s="1"/>
  <c r="D75" i="153"/>
  <c r="H75" i="153" s="1"/>
  <c r="E241" i="153" s="1" a="1"/>
  <c r="E241" i="153" s="1"/>
  <c r="D67" i="153"/>
  <c r="H67" i="153" s="1"/>
  <c r="E233" i="153" s="1" a="1"/>
  <c r="E233" i="153" s="1"/>
  <c r="D59" i="153"/>
  <c r="H59" i="153" s="1"/>
  <c r="E225" i="153" s="1" a="1"/>
  <c r="E225" i="153" s="1"/>
  <c r="D73" i="153"/>
  <c r="H73" i="153" s="1"/>
  <c r="E239" i="153" s="1" a="1"/>
  <c r="E239" i="153" s="1"/>
  <c r="D65" i="153"/>
  <c r="H65" i="153" s="1"/>
  <c r="E231" i="153" s="1" a="1"/>
  <c r="E231" i="153" s="1"/>
  <c r="D57" i="153"/>
  <c r="H57" i="153" s="1"/>
  <c r="E223" i="153" s="1" a="1"/>
  <c r="E223" i="153" s="1"/>
  <c r="D195" i="152"/>
  <c r="D31" i="152"/>
  <c r="H31" i="152" s="1"/>
  <c r="D246" i="152" s="1" a="1"/>
  <c r="D246" i="152" s="1"/>
  <c r="D39" i="152"/>
  <c r="H39" i="152" s="1"/>
  <c r="D254" i="152" s="1" a="1"/>
  <c r="D254" i="152" s="1"/>
  <c r="D47" i="152"/>
  <c r="H47" i="152" s="1"/>
  <c r="D262" i="152" s="1" a="1"/>
  <c r="D262" i="152" s="1"/>
  <c r="D32" i="152"/>
  <c r="H32" i="152" s="1"/>
  <c r="D247" i="152" s="1" a="1"/>
  <c r="D247" i="152" s="1"/>
  <c r="D40" i="152"/>
  <c r="H40" i="152" s="1"/>
  <c r="D255" i="152" s="1" a="1"/>
  <c r="D255" i="152" s="1"/>
  <c r="B181" i="153"/>
  <c r="D137" i="153"/>
  <c r="D75" i="152"/>
  <c r="H75" i="152" s="1"/>
  <c r="E256" i="152" s="1" a="1"/>
  <c r="E256" i="152" s="1"/>
  <c r="D73" i="152"/>
  <c r="H73" i="152" s="1"/>
  <c r="E254" i="152" s="1" a="1"/>
  <c r="E254" i="152" s="1"/>
  <c r="D65" i="152"/>
  <c r="H65" i="152" s="1"/>
  <c r="E246" i="152" s="1" a="1"/>
  <c r="E246" i="152" s="1"/>
  <c r="D63" i="152"/>
  <c r="H63" i="152" s="1"/>
  <c r="E244" i="152" s="1" a="1"/>
  <c r="E244" i="152" s="1"/>
  <c r="D76" i="152"/>
  <c r="H76" i="152" s="1"/>
  <c r="E257" i="152" s="1" a="1"/>
  <c r="E257" i="152" s="1"/>
  <c r="D72" i="152"/>
  <c r="H72" i="152" s="1"/>
  <c r="E253" i="152" s="1" a="1"/>
  <c r="E253" i="152" s="1"/>
  <c r="D64" i="152"/>
  <c r="H64" i="152" s="1"/>
  <c r="E245" i="152" s="1" a="1"/>
  <c r="E245" i="152" s="1"/>
  <c r="D62" i="152"/>
  <c r="H62" i="152" s="1"/>
  <c r="E243" i="152" s="1" a="1"/>
  <c r="E243" i="152" s="1"/>
  <c r="H82" i="152"/>
  <c r="D77" i="152" s="1"/>
  <c r="H77" i="152" s="1"/>
  <c r="E258" i="152" s="1" a="1"/>
  <c r="E258" i="152" s="1"/>
  <c r="D41" i="152"/>
  <c r="H41" i="152" s="1"/>
  <c r="D256" i="152" s="1" a="1"/>
  <c r="D256" i="152" s="1"/>
  <c r="D100" i="152"/>
  <c r="B147" i="152"/>
  <c r="B180" i="153"/>
  <c r="D136" i="153"/>
  <c r="H136" i="153" s="1"/>
  <c r="D27" i="152"/>
  <c r="H27" i="152" s="1"/>
  <c r="D242" i="152" s="1" a="1"/>
  <c r="D242" i="152" s="1"/>
  <c r="D35" i="152"/>
  <c r="H35" i="152" s="1"/>
  <c r="D250" i="152" s="1" a="1"/>
  <c r="D250" i="152" s="1"/>
  <c r="D43" i="152"/>
  <c r="H43" i="152" s="1"/>
  <c r="D258" i="152" s="1" a="1"/>
  <c r="D258" i="152" s="1"/>
  <c r="D28" i="152"/>
  <c r="H28" i="152" s="1"/>
  <c r="D243" i="152" s="1" a="1"/>
  <c r="D243" i="152" s="1"/>
  <c r="D36" i="152"/>
  <c r="H36" i="152" s="1"/>
  <c r="D251" i="152" s="1" a="1"/>
  <c r="D251" i="152" s="1"/>
  <c r="B101" i="152"/>
  <c r="B10" i="152"/>
  <c r="H94" i="151"/>
  <c r="D98" i="151"/>
  <c r="B140" i="151"/>
  <c r="E98" i="151"/>
  <c r="F98" i="151" s="1"/>
  <c r="F99" i="151" s="1"/>
  <c r="E136" i="151"/>
  <c r="D181" i="151"/>
  <c r="H97" i="151"/>
  <c r="E137" i="151"/>
  <c r="F137" i="151" s="1"/>
  <c r="G137" i="151" s="1"/>
  <c r="H137" i="151" s="1"/>
  <c r="J137" i="151" s="1"/>
  <c r="K137" i="151" s="1"/>
  <c r="D196" i="150"/>
  <c r="G196" i="150" s="1"/>
  <c r="I196" i="150" s="1"/>
  <c r="J196" i="150" s="1"/>
  <c r="D74" i="150"/>
  <c r="H74" i="150" s="1"/>
  <c r="E255" i="150" s="1" a="1"/>
  <c r="E255" i="150" s="1"/>
  <c r="D64" i="150"/>
  <c r="H64" i="150" s="1"/>
  <c r="E245" i="150" s="1" a="1"/>
  <c r="E245" i="150" s="1"/>
  <c r="D80" i="150"/>
  <c r="H80" i="150" s="1"/>
  <c r="E261" i="150" s="1" a="1"/>
  <c r="E261" i="150" s="1"/>
  <c r="D67" i="150"/>
  <c r="H67" i="150" s="1"/>
  <c r="E248" i="150" s="1" a="1"/>
  <c r="E248" i="150" s="1"/>
  <c r="D75" i="150"/>
  <c r="H75" i="150" s="1"/>
  <c r="E256" i="150" s="1" a="1"/>
  <c r="E256" i="150" s="1"/>
  <c r="D180" i="151"/>
  <c r="B182" i="151"/>
  <c r="D138" i="151"/>
  <c r="H138" i="151" s="1"/>
  <c r="J138" i="151" s="1"/>
  <c r="K138" i="151" s="1"/>
  <c r="B183" i="151"/>
  <c r="D139" i="151"/>
  <c r="H95" i="151"/>
  <c r="E139" i="151"/>
  <c r="F139" i="151" s="1"/>
  <c r="G139" i="151" s="1"/>
  <c r="H139" i="151" s="1"/>
  <c r="J139" i="151" s="1"/>
  <c r="K139" i="151" s="1"/>
  <c r="D195" i="150"/>
  <c r="D46" i="150"/>
  <c r="H46" i="150" s="1"/>
  <c r="D261" i="150" s="1" a="1"/>
  <c r="D261" i="150" s="1"/>
  <c r="D45" i="150"/>
  <c r="H45" i="150" s="1"/>
  <c r="D260" i="150" s="1" a="1"/>
  <c r="D260" i="150" s="1"/>
  <c r="D42" i="150"/>
  <c r="H42" i="150" s="1"/>
  <c r="D257" i="150" s="1" a="1"/>
  <c r="D257" i="150" s="1"/>
  <c r="D37" i="150"/>
  <c r="H37" i="150" s="1"/>
  <c r="D252" i="150" s="1" a="1"/>
  <c r="D252" i="150" s="1"/>
  <c r="D34" i="150"/>
  <c r="H34" i="150" s="1"/>
  <c r="D249" i="150" s="1" a="1"/>
  <c r="D249" i="150" s="1"/>
  <c r="D29" i="150"/>
  <c r="H29" i="150" s="1"/>
  <c r="D244" i="150" s="1" a="1"/>
  <c r="D244" i="150" s="1"/>
  <c r="D26" i="150"/>
  <c r="H26" i="150" s="1"/>
  <c r="D241" i="150" s="1" a="1"/>
  <c r="D241" i="150" s="1"/>
  <c r="D44" i="150"/>
  <c r="H44" i="150" s="1"/>
  <c r="D259" i="150" s="1" a="1"/>
  <c r="D259" i="150" s="1"/>
  <c r="D39" i="150"/>
  <c r="H39" i="150" s="1"/>
  <c r="D254" i="150" s="1" a="1"/>
  <c r="D254" i="150" s="1"/>
  <c r="D36" i="150"/>
  <c r="H36" i="150" s="1"/>
  <c r="D251" i="150" s="1" a="1"/>
  <c r="D251" i="150" s="1"/>
  <c r="D31" i="150"/>
  <c r="H31" i="150" s="1"/>
  <c r="D246" i="150" s="1" a="1"/>
  <c r="D246" i="150" s="1"/>
  <c r="D28" i="150"/>
  <c r="H28" i="150" s="1"/>
  <c r="D243" i="150" s="1" a="1"/>
  <c r="D243" i="150" s="1"/>
  <c r="D47" i="150"/>
  <c r="H47" i="150" s="1"/>
  <c r="D262" i="150" s="1" a="1"/>
  <c r="D262" i="150" s="1"/>
  <c r="D41" i="150"/>
  <c r="H41" i="150" s="1"/>
  <c r="D256" i="150" s="1" a="1"/>
  <c r="D256" i="150" s="1"/>
  <c r="D38" i="150"/>
  <c r="H38" i="150" s="1"/>
  <c r="D253" i="150" s="1" a="1"/>
  <c r="D253" i="150" s="1"/>
  <c r="D33" i="150"/>
  <c r="H33" i="150" s="1"/>
  <c r="D248" i="150" s="1" a="1"/>
  <c r="D248" i="150" s="1"/>
  <c r="D30" i="150"/>
  <c r="H30" i="150" s="1"/>
  <c r="D245" i="150" s="1" a="1"/>
  <c r="D245" i="150" s="1"/>
  <c r="D43" i="150"/>
  <c r="H43" i="150" s="1"/>
  <c r="D258" i="150" s="1" a="1"/>
  <c r="D258" i="150" s="1"/>
  <c r="D40" i="150"/>
  <c r="H40" i="150" s="1"/>
  <c r="D255" i="150" s="1" a="1"/>
  <c r="D255" i="150" s="1"/>
  <c r="D35" i="150"/>
  <c r="H35" i="150" s="1"/>
  <c r="D250" i="150" s="1" a="1"/>
  <c r="D250" i="150" s="1"/>
  <c r="D32" i="150"/>
  <c r="H32" i="150" s="1"/>
  <c r="D247" i="150" s="1" a="1"/>
  <c r="D247" i="150" s="1"/>
  <c r="D27" i="150"/>
  <c r="H27" i="150" s="1"/>
  <c r="D242" i="150" s="1" a="1"/>
  <c r="D242" i="150" s="1"/>
  <c r="B101" i="150"/>
  <c r="B10" i="150"/>
  <c r="D72" i="150"/>
  <c r="H72" i="150" s="1"/>
  <c r="E253" i="150" s="1" a="1"/>
  <c r="E253" i="150" s="1"/>
  <c r="D63" i="150"/>
  <c r="H63" i="150" s="1"/>
  <c r="E244" i="150" s="1" a="1"/>
  <c r="E244" i="150" s="1"/>
  <c r="D71" i="150"/>
  <c r="H71" i="150" s="1"/>
  <c r="E252" i="150" s="1" a="1"/>
  <c r="E252" i="150" s="1"/>
  <c r="F11" i="151"/>
  <c r="H11" i="151" s="1"/>
  <c r="H12" i="151" s="1"/>
  <c r="E43" i="151"/>
  <c r="E77" i="151"/>
  <c r="H43" i="151"/>
  <c r="H17" i="150"/>
  <c r="H138" i="149"/>
  <c r="J138" i="149" s="1"/>
  <c r="K138" i="149" s="1"/>
  <c r="H137" i="149"/>
  <c r="J137" i="149" s="1"/>
  <c r="K137" i="149" s="1"/>
  <c r="H17" i="148"/>
  <c r="E43" i="147"/>
  <c r="D98" i="147"/>
  <c r="H98" i="147" s="1"/>
  <c r="E77" i="147"/>
  <c r="H77" i="147" s="1"/>
  <c r="H137" i="147"/>
  <c r="J137" i="147" s="1"/>
  <c r="K137" i="147" s="1"/>
  <c r="D39" i="146"/>
  <c r="H39" i="146" s="1"/>
  <c r="D254" i="146" s="1" a="1"/>
  <c r="D254" i="146" s="1"/>
  <c r="D12" i="147"/>
  <c r="D41" i="146"/>
  <c r="H41" i="146" s="1"/>
  <c r="D256" i="146" s="1" a="1"/>
  <c r="D256" i="146" s="1"/>
  <c r="D30" i="146"/>
  <c r="H30" i="146" s="1"/>
  <c r="D245" i="146" s="1" a="1"/>
  <c r="D245" i="146" s="1"/>
  <c r="H139" i="147"/>
  <c r="J139" i="147" s="1"/>
  <c r="K139" i="147" s="1"/>
  <c r="D34" i="146"/>
  <c r="H34" i="146" s="1"/>
  <c r="D249" i="146" s="1" a="1"/>
  <c r="D249" i="146" s="1"/>
  <c r="D36" i="146"/>
  <c r="H36" i="146" s="1"/>
  <c r="D251" i="146" s="1" a="1"/>
  <c r="D251" i="146" s="1"/>
  <c r="G204" i="146"/>
  <c r="I204" i="146" s="1"/>
  <c r="D26" i="146"/>
  <c r="H26" i="146" s="1"/>
  <c r="D241" i="146" s="1" a="1"/>
  <c r="D241" i="146" s="1"/>
  <c r="D47" i="146"/>
  <c r="H47" i="146" s="1"/>
  <c r="D262" i="146" s="1" a="1"/>
  <c r="D262" i="146" s="1"/>
  <c r="D31" i="146"/>
  <c r="H31" i="146" s="1"/>
  <c r="D246" i="146" s="1" a="1"/>
  <c r="D246" i="146" s="1"/>
  <c r="D33" i="146"/>
  <c r="H33" i="146" s="1"/>
  <c r="D248" i="146" s="1" a="1"/>
  <c r="D248" i="146" s="1"/>
  <c r="D46" i="146"/>
  <c r="H46" i="146" s="1"/>
  <c r="D261" i="146" s="1" a="1"/>
  <c r="D261" i="146" s="1"/>
  <c r="D29" i="146"/>
  <c r="H29" i="146" s="1"/>
  <c r="D244" i="146" s="1" a="1"/>
  <c r="D244" i="146" s="1"/>
  <c r="D44" i="146"/>
  <c r="H44" i="146" s="1"/>
  <c r="D259" i="146" s="1" a="1"/>
  <c r="D259" i="146" s="1"/>
  <c r="G155" i="148"/>
  <c r="F141" i="149"/>
  <c r="G140" i="149"/>
  <c r="B183" i="149"/>
  <c r="D139" i="149"/>
  <c r="H94" i="149"/>
  <c r="H99" i="149" s="1"/>
  <c r="B198" i="148"/>
  <c r="D149" i="148"/>
  <c r="D201" i="148"/>
  <c r="D197" i="148"/>
  <c r="H103" i="148"/>
  <c r="J17" i="148"/>
  <c r="H139" i="149"/>
  <c r="J139" i="149" s="1"/>
  <c r="K139" i="149" s="1"/>
  <c r="D181" i="149"/>
  <c r="D42" i="149"/>
  <c r="H42" i="149" s="1"/>
  <c r="D242" i="149" s="1" a="1"/>
  <c r="D242" i="149" s="1"/>
  <c r="D40" i="149"/>
  <c r="H40" i="149" s="1"/>
  <c r="D240" i="149" s="1" a="1"/>
  <c r="D240" i="149" s="1"/>
  <c r="D38" i="149"/>
  <c r="H38" i="149" s="1"/>
  <c r="D238" i="149" s="1" a="1"/>
  <c r="D238" i="149" s="1"/>
  <c r="D36" i="149"/>
  <c r="H36" i="149" s="1"/>
  <c r="D236" i="149" s="1" a="1"/>
  <c r="D236" i="149" s="1"/>
  <c r="D34" i="149"/>
  <c r="H34" i="149" s="1"/>
  <c r="D234" i="149" s="1" a="1"/>
  <c r="D234" i="149" s="1"/>
  <c r="D32" i="149"/>
  <c r="H32" i="149" s="1"/>
  <c r="D232" i="149" s="1" a="1"/>
  <c r="D232" i="149" s="1"/>
  <c r="D30" i="149"/>
  <c r="H30" i="149" s="1"/>
  <c r="D230" i="149" s="1" a="1"/>
  <c r="D230" i="149" s="1"/>
  <c r="D28" i="149"/>
  <c r="H28" i="149" s="1"/>
  <c r="D228" i="149" s="1" a="1"/>
  <c r="D228" i="149" s="1"/>
  <c r="D26" i="149"/>
  <c r="H26" i="149" s="1"/>
  <c r="D226" i="149" s="1" a="1"/>
  <c r="D226" i="149" s="1"/>
  <c r="D24" i="149"/>
  <c r="H24" i="149" s="1"/>
  <c r="D224" i="149" s="1" a="1"/>
  <c r="D224" i="149" s="1"/>
  <c r="D22" i="149"/>
  <c r="H22" i="149" s="1"/>
  <c r="D222" i="149" s="1" a="1"/>
  <c r="D222" i="149" s="1"/>
  <c r="D41" i="149"/>
  <c r="H41" i="149" s="1"/>
  <c r="D241" i="149" s="1" a="1"/>
  <c r="D241" i="149" s="1"/>
  <c r="D39" i="149"/>
  <c r="H39" i="149" s="1"/>
  <c r="D239" i="149" s="1" a="1"/>
  <c r="D239" i="149" s="1"/>
  <c r="D37" i="149"/>
  <c r="H37" i="149" s="1"/>
  <c r="D237" i="149" s="1" a="1"/>
  <c r="D237" i="149" s="1"/>
  <c r="D35" i="149"/>
  <c r="H35" i="149" s="1"/>
  <c r="D235" i="149" s="1" a="1"/>
  <c r="D235" i="149" s="1"/>
  <c r="D33" i="149"/>
  <c r="H33" i="149" s="1"/>
  <c r="D233" i="149" s="1" a="1"/>
  <c r="D233" i="149" s="1"/>
  <c r="D31" i="149"/>
  <c r="H31" i="149" s="1"/>
  <c r="D231" i="149" s="1" a="1"/>
  <c r="D231" i="149" s="1"/>
  <c r="D29" i="149"/>
  <c r="H29" i="149" s="1"/>
  <c r="D229" i="149" s="1" a="1"/>
  <c r="D229" i="149" s="1"/>
  <c r="D27" i="149"/>
  <c r="H27" i="149" s="1"/>
  <c r="D227" i="149" s="1" a="1"/>
  <c r="D227" i="149" s="1"/>
  <c r="D25" i="149"/>
  <c r="H25" i="149" s="1"/>
  <c r="D225" i="149" s="1" a="1"/>
  <c r="D225" i="149" s="1"/>
  <c r="D23" i="149"/>
  <c r="H23" i="149" s="1"/>
  <c r="D223" i="149" s="1" a="1"/>
  <c r="D223" i="149" s="1"/>
  <c r="D21" i="149"/>
  <c r="H21" i="149" s="1"/>
  <c r="D221" i="149" s="1" a="1"/>
  <c r="D221" i="149" s="1"/>
  <c r="D99" i="149"/>
  <c r="D155" i="148"/>
  <c r="B204" i="148"/>
  <c r="D147" i="148"/>
  <c r="H147" i="148" s="1"/>
  <c r="J147" i="148" s="1"/>
  <c r="K147" i="148" s="1"/>
  <c r="B196" i="148"/>
  <c r="H148" i="148"/>
  <c r="J148" i="148" s="1"/>
  <c r="K148" i="148" s="1"/>
  <c r="H152" i="148"/>
  <c r="J152" i="148" s="1"/>
  <c r="K152" i="148" s="1"/>
  <c r="F109" i="148"/>
  <c r="H99" i="148"/>
  <c r="D109" i="148"/>
  <c r="H12" i="149"/>
  <c r="J12" i="149"/>
  <c r="D180" i="149"/>
  <c r="D182" i="149"/>
  <c r="B202" i="148"/>
  <c r="D153" i="148"/>
  <c r="H149" i="148"/>
  <c r="J149" i="148" s="1"/>
  <c r="K149" i="148" s="1"/>
  <c r="E153" i="148"/>
  <c r="F153" i="148" s="1"/>
  <c r="G153" i="148" s="1"/>
  <c r="D203" i="148"/>
  <c r="D199" i="148"/>
  <c r="F104" i="148"/>
  <c r="H104" i="148"/>
  <c r="D140" i="149"/>
  <c r="B184" i="149"/>
  <c r="E181" i="149" s="1"/>
  <c r="K100" i="149"/>
  <c r="D46" i="148"/>
  <c r="H46" i="148" s="1"/>
  <c r="D261" i="148" s="1" a="1"/>
  <c r="D261" i="148" s="1"/>
  <c r="D44" i="148"/>
  <c r="H44" i="148" s="1"/>
  <c r="D259" i="148" s="1" a="1"/>
  <c r="D259" i="148" s="1"/>
  <c r="D42" i="148"/>
  <c r="H42" i="148" s="1"/>
  <c r="D257" i="148" s="1" a="1"/>
  <c r="D257" i="148" s="1"/>
  <c r="D40" i="148"/>
  <c r="H40" i="148" s="1"/>
  <c r="D255" i="148" s="1" a="1"/>
  <c r="D255" i="148" s="1"/>
  <c r="D38" i="148"/>
  <c r="H38" i="148" s="1"/>
  <c r="D253" i="148" s="1" a="1"/>
  <c r="D253" i="148" s="1"/>
  <c r="D36" i="148"/>
  <c r="H36" i="148" s="1"/>
  <c r="D251" i="148" s="1" a="1"/>
  <c r="D251" i="148" s="1"/>
  <c r="D34" i="148"/>
  <c r="H34" i="148" s="1"/>
  <c r="D249" i="148" s="1" a="1"/>
  <c r="D249" i="148" s="1"/>
  <c r="D32" i="148"/>
  <c r="H32" i="148" s="1"/>
  <c r="D247" i="148" s="1" a="1"/>
  <c r="D247" i="148" s="1"/>
  <c r="D30" i="148"/>
  <c r="H30" i="148" s="1"/>
  <c r="D245" i="148" s="1" a="1"/>
  <c r="D245" i="148" s="1"/>
  <c r="D28" i="148"/>
  <c r="H28" i="148" s="1"/>
  <c r="D243" i="148" s="1" a="1"/>
  <c r="D243" i="148" s="1"/>
  <c r="D26" i="148"/>
  <c r="H26" i="148" s="1"/>
  <c r="D241" i="148" s="1" a="1"/>
  <c r="D241" i="148" s="1"/>
  <c r="D47" i="148"/>
  <c r="H47" i="148" s="1"/>
  <c r="D262" i="148" s="1" a="1"/>
  <c r="D262" i="148" s="1"/>
  <c r="D45" i="148"/>
  <c r="H45" i="148" s="1"/>
  <c r="D260" i="148" s="1" a="1"/>
  <c r="D260" i="148" s="1"/>
  <c r="D43" i="148"/>
  <c r="H43" i="148" s="1"/>
  <c r="D258" i="148" s="1" a="1"/>
  <c r="D258" i="148" s="1"/>
  <c r="D41" i="148"/>
  <c r="H41" i="148" s="1"/>
  <c r="D256" i="148" s="1" a="1"/>
  <c r="D256" i="148" s="1"/>
  <c r="D39" i="148"/>
  <c r="H39" i="148" s="1"/>
  <c r="D254" i="148" s="1" a="1"/>
  <c r="D254" i="148" s="1"/>
  <c r="D37" i="148"/>
  <c r="H37" i="148" s="1"/>
  <c r="D252" i="148" s="1" a="1"/>
  <c r="D252" i="148" s="1"/>
  <c r="D35" i="148"/>
  <c r="H35" i="148" s="1"/>
  <c r="D250" i="148" s="1" a="1"/>
  <c r="D250" i="148" s="1"/>
  <c r="D33" i="148"/>
  <c r="H33" i="148" s="1"/>
  <c r="D248" i="148" s="1" a="1"/>
  <c r="D248" i="148" s="1"/>
  <c r="D31" i="148"/>
  <c r="H31" i="148" s="1"/>
  <c r="D246" i="148" s="1" a="1"/>
  <c r="D246" i="148" s="1"/>
  <c r="D29" i="148"/>
  <c r="H29" i="148" s="1"/>
  <c r="D244" i="148" s="1" a="1"/>
  <c r="D244" i="148" s="1"/>
  <c r="D27" i="148"/>
  <c r="H27" i="148" s="1"/>
  <c r="D242" i="148" s="1" a="1"/>
  <c r="D242" i="148" s="1"/>
  <c r="D70" i="148"/>
  <c r="H70" i="148" s="1"/>
  <c r="E251" i="148" s="1" a="1"/>
  <c r="E251" i="148" s="1"/>
  <c r="H82" i="148"/>
  <c r="D75" i="148" s="1"/>
  <c r="H75" i="148" s="1"/>
  <c r="E256" i="148" s="1" a="1"/>
  <c r="E256" i="148" s="1"/>
  <c r="H77" i="149"/>
  <c r="D75" i="149" s="1"/>
  <c r="H75" i="149" s="1"/>
  <c r="E241" i="149" s="1" a="1"/>
  <c r="E241" i="149" s="1"/>
  <c r="D151" i="148"/>
  <c r="H151" i="148" s="1"/>
  <c r="J151" i="148" s="1"/>
  <c r="K151" i="148" s="1"/>
  <c r="B200" i="148"/>
  <c r="E203" i="148" s="1"/>
  <c r="H146" i="148"/>
  <c r="J146" i="148" s="1"/>
  <c r="K146" i="148" s="1"/>
  <c r="H150" i="148"/>
  <c r="J150" i="148" s="1"/>
  <c r="K150" i="148" s="1"/>
  <c r="H154" i="148"/>
  <c r="J154" i="148" s="1"/>
  <c r="K154" i="148" s="1"/>
  <c r="H107" i="148"/>
  <c r="G195" i="148"/>
  <c r="I195" i="148" s="1"/>
  <c r="J195" i="148" s="1"/>
  <c r="D140" i="147"/>
  <c r="B184" i="147"/>
  <c r="D138" i="147"/>
  <c r="B182" i="147"/>
  <c r="D180" i="147"/>
  <c r="E180" i="147"/>
  <c r="D99" i="147"/>
  <c r="H94" i="147"/>
  <c r="H99" i="146"/>
  <c r="D109" i="146"/>
  <c r="B196" i="146"/>
  <c r="D147" i="146"/>
  <c r="B195" i="146"/>
  <c r="D146" i="146"/>
  <c r="H150" i="146" s="1"/>
  <c r="J150" i="146" s="1"/>
  <c r="K150" i="146" s="1"/>
  <c r="E138" i="147"/>
  <c r="F138" i="147" s="1"/>
  <c r="G138" i="147" s="1"/>
  <c r="B203" i="146"/>
  <c r="D154" i="146"/>
  <c r="J12" i="147"/>
  <c r="H12" i="147"/>
  <c r="H103" i="146"/>
  <c r="D45" i="146"/>
  <c r="H45" i="146" s="1"/>
  <c r="D260" i="146" s="1" a="1"/>
  <c r="D260" i="146" s="1"/>
  <c r="D37" i="146"/>
  <c r="H37" i="146" s="1"/>
  <c r="D252" i="146" s="1" a="1"/>
  <c r="D252" i="146" s="1"/>
  <c r="D40" i="146"/>
  <c r="H40" i="146" s="1"/>
  <c r="D255" i="146" s="1" a="1"/>
  <c r="D255" i="146" s="1"/>
  <c r="D32" i="146"/>
  <c r="H32" i="146" s="1"/>
  <c r="D247" i="146" s="1" a="1"/>
  <c r="D247" i="146" s="1"/>
  <c r="D35" i="146"/>
  <c r="H35" i="146" s="1"/>
  <c r="D250" i="146" s="1" a="1"/>
  <c r="D250" i="146" s="1"/>
  <c r="B201" i="146"/>
  <c r="D152" i="146"/>
  <c r="H152" i="146" s="1"/>
  <c r="J152" i="146" s="1"/>
  <c r="K152" i="146" s="1"/>
  <c r="H101" i="146"/>
  <c r="J17" i="146"/>
  <c r="E183" i="147"/>
  <c r="D183" i="147"/>
  <c r="E140" i="147"/>
  <c r="F140" i="147" s="1"/>
  <c r="B197" i="146"/>
  <c r="E198" i="146" s="1"/>
  <c r="D148" i="146"/>
  <c r="H148" i="146" s="1"/>
  <c r="J148" i="146" s="1"/>
  <c r="K148" i="146" s="1"/>
  <c r="E146" i="146"/>
  <c r="F146" i="146" s="1"/>
  <c r="G146" i="146" s="1"/>
  <c r="H146" i="146" s="1"/>
  <c r="J146" i="146" s="1"/>
  <c r="K146" i="146" s="1"/>
  <c r="H96" i="147"/>
  <c r="E181" i="147"/>
  <c r="D181" i="147"/>
  <c r="G199" i="146"/>
  <c r="I199" i="146" s="1"/>
  <c r="J199" i="146" s="1"/>
  <c r="H82" i="146"/>
  <c r="D77" i="146" s="1"/>
  <c r="H77" i="146" s="1"/>
  <c r="E258" i="146" s="1" a="1"/>
  <c r="E258" i="146" s="1"/>
  <c r="H108" i="146"/>
  <c r="H95" i="147"/>
  <c r="D43" i="146"/>
  <c r="H43" i="146" s="1"/>
  <c r="D258" i="146" s="1" a="1"/>
  <c r="D258" i="146" s="1"/>
  <c r="D28" i="146"/>
  <c r="H28" i="146" s="1"/>
  <c r="D243" i="146" s="1" a="1"/>
  <c r="D243" i="146" s="1"/>
  <c r="D198" i="146"/>
  <c r="B200" i="146"/>
  <c r="D151" i="146"/>
  <c r="E147" i="146"/>
  <c r="F147" i="146" s="1"/>
  <c r="G147" i="146" s="1"/>
  <c r="E151" i="146"/>
  <c r="F151" i="146" s="1"/>
  <c r="G151" i="146" s="1"/>
  <c r="F156" i="146"/>
  <c r="G155" i="146"/>
  <c r="H97" i="147"/>
  <c r="J204" i="146"/>
  <c r="D41" i="147"/>
  <c r="H41" i="147" s="1"/>
  <c r="D241" i="147" s="1" a="1"/>
  <c r="D241" i="147" s="1"/>
  <c r="D39" i="147"/>
  <c r="H39" i="147" s="1"/>
  <c r="D239" i="147" s="1" a="1"/>
  <c r="D239" i="147" s="1"/>
  <c r="D37" i="147"/>
  <c r="H37" i="147" s="1"/>
  <c r="D237" i="147" s="1" a="1"/>
  <c r="D237" i="147" s="1"/>
  <c r="D35" i="147"/>
  <c r="H35" i="147" s="1"/>
  <c r="D235" i="147" s="1" a="1"/>
  <c r="D235" i="147" s="1"/>
  <c r="D33" i="147"/>
  <c r="H33" i="147" s="1"/>
  <c r="D233" i="147" s="1" a="1"/>
  <c r="D233" i="147" s="1"/>
  <c r="D31" i="147"/>
  <c r="H31" i="147" s="1"/>
  <c r="D231" i="147" s="1" a="1"/>
  <c r="D231" i="147" s="1"/>
  <c r="D29" i="147"/>
  <c r="H29" i="147" s="1"/>
  <c r="D229" i="147" s="1" a="1"/>
  <c r="D229" i="147" s="1"/>
  <c r="D27" i="147"/>
  <c r="H27" i="147" s="1"/>
  <c r="D227" i="147" s="1" a="1"/>
  <c r="D227" i="147" s="1"/>
  <c r="D25" i="147"/>
  <c r="H25" i="147" s="1"/>
  <c r="D225" i="147" s="1" a="1"/>
  <c r="D225" i="147" s="1"/>
  <c r="D23" i="147"/>
  <c r="H23" i="147" s="1"/>
  <c r="D223" i="147" s="1" a="1"/>
  <c r="D223" i="147" s="1"/>
  <c r="D21" i="147"/>
  <c r="H21" i="147" s="1"/>
  <c r="D221" i="147" s="1" a="1"/>
  <c r="D221" i="147" s="1"/>
  <c r="D42" i="147"/>
  <c r="H42" i="147" s="1"/>
  <c r="D242" i="147" s="1" a="1"/>
  <c r="D242" i="147" s="1"/>
  <c r="D34" i="147"/>
  <c r="H34" i="147" s="1"/>
  <c r="D234" i="147" s="1" a="1"/>
  <c r="D234" i="147" s="1"/>
  <c r="D26" i="147"/>
  <c r="H26" i="147" s="1"/>
  <c r="D226" i="147" s="1" a="1"/>
  <c r="D226" i="147" s="1"/>
  <c r="D28" i="147"/>
  <c r="H28" i="147" s="1"/>
  <c r="D228" i="147" s="1" a="1"/>
  <c r="D228" i="147" s="1"/>
  <c r="D40" i="147"/>
  <c r="H40" i="147" s="1"/>
  <c r="D240" i="147" s="1" a="1"/>
  <c r="D240" i="147" s="1"/>
  <c r="D32" i="147"/>
  <c r="H32" i="147" s="1"/>
  <c r="D232" i="147" s="1" a="1"/>
  <c r="D232" i="147" s="1"/>
  <c r="D24" i="147"/>
  <c r="H24" i="147" s="1"/>
  <c r="D224" i="147" s="1" a="1"/>
  <c r="D224" i="147" s="1"/>
  <c r="D38" i="147"/>
  <c r="H38" i="147" s="1"/>
  <c r="D238" i="147" s="1" a="1"/>
  <c r="D238" i="147" s="1"/>
  <c r="D30" i="147"/>
  <c r="H30" i="147" s="1"/>
  <c r="D230" i="147" s="1" a="1"/>
  <c r="D230" i="147" s="1"/>
  <c r="D22" i="147"/>
  <c r="H22" i="147" s="1"/>
  <c r="D222" i="147" s="1" a="1"/>
  <c r="D222" i="147" s="1"/>
  <c r="D36" i="147"/>
  <c r="H36" i="147" s="1"/>
  <c r="D236" i="147" s="1" a="1"/>
  <c r="D236" i="147" s="1"/>
  <c r="G149" i="103" l="1"/>
  <c r="G147" i="103"/>
  <c r="H145" i="103"/>
  <c r="H144" i="103" s="1"/>
  <c r="G144" i="103"/>
  <c r="F16" i="103"/>
  <c r="E37" i="90"/>
  <c r="G16" i="103"/>
  <c r="F37" i="90"/>
  <c r="G146" i="103"/>
  <c r="H149" i="103"/>
  <c r="I148" i="103"/>
  <c r="I147" i="103" s="1"/>
  <c r="I155" i="103"/>
  <c r="I152" i="103"/>
  <c r="D68" i="152"/>
  <c r="H68" i="152" s="1"/>
  <c r="E249" i="152" s="1" a="1"/>
  <c r="E249" i="152" s="1"/>
  <c r="D78" i="152"/>
  <c r="H78" i="152" s="1"/>
  <c r="E259" i="152" s="1" a="1"/>
  <c r="E259" i="152" s="1"/>
  <c r="D67" i="152"/>
  <c r="H67" i="152" s="1"/>
  <c r="E248" i="152" s="1" a="1"/>
  <c r="E248" i="152" s="1"/>
  <c r="D79" i="152"/>
  <c r="H79" i="152" s="1"/>
  <c r="E260" i="152" s="1" a="1"/>
  <c r="E260" i="152" s="1"/>
  <c r="D60" i="152"/>
  <c r="H60" i="152" s="1"/>
  <c r="E241" i="152" s="1" a="1"/>
  <c r="E241" i="152" s="1"/>
  <c r="D70" i="152"/>
  <c r="H70" i="152" s="1"/>
  <c r="E251" i="152" s="1" a="1"/>
  <c r="E251" i="152" s="1"/>
  <c r="D80" i="152"/>
  <c r="H80" i="152" s="1"/>
  <c r="E261" i="152" s="1" a="1"/>
  <c r="E261" i="152" s="1"/>
  <c r="D71" i="152"/>
  <c r="H71" i="152" s="1"/>
  <c r="E252" i="152" s="1" a="1"/>
  <c r="E252" i="152" s="1"/>
  <c r="D81" i="152"/>
  <c r="H81" i="152" s="1"/>
  <c r="E262" i="152" s="1" a="1"/>
  <c r="E262" i="152" s="1"/>
  <c r="B11" i="152"/>
  <c r="B102" i="152"/>
  <c r="G195" i="152"/>
  <c r="I195" i="152" s="1"/>
  <c r="J195" i="152" s="1"/>
  <c r="D101" i="152"/>
  <c r="B148" i="152"/>
  <c r="D180" i="153"/>
  <c r="D66" i="152"/>
  <c r="H66" i="152" s="1"/>
  <c r="E247" i="152" s="1" a="1"/>
  <c r="E247" i="152" s="1"/>
  <c r="D74" i="152"/>
  <c r="H74" i="152" s="1"/>
  <c r="E255" i="152" s="1" a="1"/>
  <c r="E255" i="152" s="1"/>
  <c r="D61" i="152"/>
  <c r="H61" i="152" s="1"/>
  <c r="E242" i="152" s="1" a="1"/>
  <c r="E242" i="152" s="1"/>
  <c r="D69" i="152"/>
  <c r="H69" i="152" s="1"/>
  <c r="E250" i="152" s="1" a="1"/>
  <c r="E250" i="152" s="1"/>
  <c r="D181" i="153"/>
  <c r="D69" i="153"/>
  <c r="H69" i="153" s="1"/>
  <c r="E235" i="153" s="1" a="1"/>
  <c r="E235" i="153" s="1"/>
  <c r="D56" i="153"/>
  <c r="H56" i="153" s="1"/>
  <c r="E222" i="153" s="1" a="1"/>
  <c r="E222" i="153" s="1"/>
  <c r="D64" i="153"/>
  <c r="H64" i="153" s="1"/>
  <c r="E230" i="153" s="1" a="1"/>
  <c r="E230" i="153" s="1"/>
  <c r="B138" i="153"/>
  <c r="D96" i="153"/>
  <c r="B97" i="153"/>
  <c r="E96" i="153" s="1"/>
  <c r="F96" i="153" s="1"/>
  <c r="B11" i="153"/>
  <c r="B98" i="153" s="1"/>
  <c r="D147" i="152"/>
  <c r="B196" i="152"/>
  <c r="H77" i="151"/>
  <c r="D70" i="151" s="1"/>
  <c r="H70" i="151" s="1"/>
  <c r="E236" i="151" s="1" a="1"/>
  <c r="E236" i="151" s="1"/>
  <c r="D62" i="151"/>
  <c r="H62" i="151" s="1"/>
  <c r="E228" i="151" s="1" a="1"/>
  <c r="E228" i="151" s="1"/>
  <c r="D64" i="151"/>
  <c r="H64" i="151" s="1"/>
  <c r="E230" i="151" s="1" a="1"/>
  <c r="E230" i="151" s="1"/>
  <c r="D71" i="151"/>
  <c r="H71" i="151" s="1"/>
  <c r="E237" i="151" s="1" a="1"/>
  <c r="E237" i="151" s="1"/>
  <c r="D55" i="151"/>
  <c r="H55" i="151" s="1"/>
  <c r="E221" i="151" s="1" a="1"/>
  <c r="E221" i="151" s="1"/>
  <c r="D65" i="151"/>
  <c r="H65" i="151" s="1"/>
  <c r="E231" i="151" s="1" a="1"/>
  <c r="E231" i="151" s="1"/>
  <c r="B11" i="150"/>
  <c r="B102" i="150"/>
  <c r="G180" i="151"/>
  <c r="I180" i="151" s="1"/>
  <c r="H180" i="151"/>
  <c r="J12" i="151"/>
  <c r="D40" i="151"/>
  <c r="H40" i="151" s="1"/>
  <c r="D240" i="151" s="1" a="1"/>
  <c r="D240" i="151" s="1"/>
  <c r="D35" i="151"/>
  <c r="H35" i="151" s="1"/>
  <c r="D235" i="151" s="1" a="1"/>
  <c r="D235" i="151" s="1"/>
  <c r="D32" i="151"/>
  <c r="H32" i="151" s="1"/>
  <c r="D232" i="151" s="1" a="1"/>
  <c r="D232" i="151" s="1"/>
  <c r="D27" i="151"/>
  <c r="H27" i="151" s="1"/>
  <c r="D227" i="151" s="1" a="1"/>
  <c r="D227" i="151" s="1"/>
  <c r="D24" i="151"/>
  <c r="H24" i="151" s="1"/>
  <c r="D224" i="151" s="1" a="1"/>
  <c r="D224" i="151" s="1"/>
  <c r="D42" i="151"/>
  <c r="H42" i="151" s="1"/>
  <c r="D242" i="151" s="1" a="1"/>
  <c r="D242" i="151" s="1"/>
  <c r="D37" i="151"/>
  <c r="H37" i="151" s="1"/>
  <c r="D237" i="151" s="1" a="1"/>
  <c r="D237" i="151" s="1"/>
  <c r="D34" i="151"/>
  <c r="H34" i="151" s="1"/>
  <c r="D234" i="151" s="1" a="1"/>
  <c r="D234" i="151" s="1"/>
  <c r="D29" i="151"/>
  <c r="H29" i="151" s="1"/>
  <c r="D229" i="151" s="1" a="1"/>
  <c r="D229" i="151" s="1"/>
  <c r="D26" i="151"/>
  <c r="H26" i="151" s="1"/>
  <c r="D226" i="151" s="1" a="1"/>
  <c r="D226" i="151" s="1"/>
  <c r="D21" i="151"/>
  <c r="H21" i="151" s="1"/>
  <c r="D221" i="151" s="1" a="1"/>
  <c r="D221" i="151" s="1"/>
  <c r="D39" i="151"/>
  <c r="H39" i="151" s="1"/>
  <c r="D239" i="151" s="1" a="1"/>
  <c r="D239" i="151" s="1"/>
  <c r="D36" i="151"/>
  <c r="H36" i="151" s="1"/>
  <c r="D236" i="151" s="1" a="1"/>
  <c r="D236" i="151" s="1"/>
  <c r="D31" i="151"/>
  <c r="H31" i="151" s="1"/>
  <c r="D231" i="151" s="1" a="1"/>
  <c r="D231" i="151" s="1"/>
  <c r="D28" i="151"/>
  <c r="H28" i="151" s="1"/>
  <c r="D228" i="151" s="1" a="1"/>
  <c r="D228" i="151" s="1"/>
  <c r="D23" i="151"/>
  <c r="H23" i="151" s="1"/>
  <c r="D223" i="151" s="1" a="1"/>
  <c r="D223" i="151" s="1"/>
  <c r="D41" i="151"/>
  <c r="H41" i="151" s="1"/>
  <c r="D241" i="151" s="1" a="1"/>
  <c r="D241" i="151" s="1"/>
  <c r="D38" i="151"/>
  <c r="H38" i="151" s="1"/>
  <c r="D238" i="151" s="1" a="1"/>
  <c r="D238" i="151" s="1"/>
  <c r="D33" i="151"/>
  <c r="H33" i="151" s="1"/>
  <c r="D233" i="151" s="1" a="1"/>
  <c r="D233" i="151" s="1"/>
  <c r="D30" i="151"/>
  <c r="H30" i="151" s="1"/>
  <c r="D230" i="151" s="1" a="1"/>
  <c r="D230" i="151" s="1"/>
  <c r="D25" i="151"/>
  <c r="H25" i="151" s="1"/>
  <c r="D225" i="151" s="1" a="1"/>
  <c r="D225" i="151" s="1"/>
  <c r="D22" i="151"/>
  <c r="H22" i="151" s="1"/>
  <c r="D222" i="151" s="1" a="1"/>
  <c r="D222" i="151" s="1"/>
  <c r="B148" i="150"/>
  <c r="D101" i="150"/>
  <c r="G195" i="150"/>
  <c r="I195" i="150" s="1"/>
  <c r="J195" i="150" s="1"/>
  <c r="D183" i="151"/>
  <c r="E181" i="151"/>
  <c r="B184" i="151"/>
  <c r="E182" i="151" s="1"/>
  <c r="D140" i="151"/>
  <c r="E140" i="151"/>
  <c r="F140" i="151" s="1"/>
  <c r="D182" i="151"/>
  <c r="H181" i="151"/>
  <c r="J181" i="151" s="1"/>
  <c r="G181" i="151"/>
  <c r="I181" i="151" s="1"/>
  <c r="H98" i="151"/>
  <c r="H99" i="151" s="1"/>
  <c r="G100" i="151" s="1"/>
  <c r="D99" i="151"/>
  <c r="D68" i="149"/>
  <c r="H68" i="149" s="1"/>
  <c r="E234" i="149" s="1" a="1"/>
  <c r="E234" i="149" s="1"/>
  <c r="D61" i="149"/>
  <c r="H61" i="149" s="1"/>
  <c r="E227" i="149" s="1" a="1"/>
  <c r="E227" i="149" s="1"/>
  <c r="D65" i="148"/>
  <c r="H65" i="148" s="1"/>
  <c r="E246" i="148" s="1" a="1"/>
  <c r="E246" i="148" s="1"/>
  <c r="D56" i="149"/>
  <c r="H56" i="149" s="1"/>
  <c r="E222" i="149" s="1" a="1"/>
  <c r="E222" i="149" s="1"/>
  <c r="D72" i="149"/>
  <c r="H72" i="149" s="1"/>
  <c r="E238" i="149" s="1" a="1"/>
  <c r="E238" i="149" s="1"/>
  <c r="D65" i="149"/>
  <c r="H65" i="149" s="1"/>
  <c r="E231" i="149" s="1" a="1"/>
  <c r="E231" i="149" s="1"/>
  <c r="D62" i="148"/>
  <c r="H62" i="148" s="1"/>
  <c r="E243" i="148" s="1" a="1"/>
  <c r="E243" i="148" s="1"/>
  <c r="D73" i="148"/>
  <c r="H73" i="148" s="1"/>
  <c r="E254" i="148" s="1" a="1"/>
  <c r="E254" i="148" s="1"/>
  <c r="D60" i="149"/>
  <c r="H60" i="149" s="1"/>
  <c r="E226" i="149" s="1" a="1"/>
  <c r="E226" i="149" s="1"/>
  <c r="D76" i="149"/>
  <c r="H76" i="149" s="1"/>
  <c r="E242" i="149" s="1" a="1"/>
  <c r="E242" i="149" s="1"/>
  <c r="D69" i="149"/>
  <c r="H69" i="149" s="1"/>
  <c r="E235" i="149" s="1" a="1"/>
  <c r="E235" i="149" s="1"/>
  <c r="D81" i="148"/>
  <c r="H81" i="148" s="1"/>
  <c r="E262" i="148" s="1" a="1"/>
  <c r="E262" i="148" s="1"/>
  <c r="D64" i="149"/>
  <c r="H64" i="149" s="1"/>
  <c r="E230" i="149" s="1" a="1"/>
  <c r="E230" i="149" s="1"/>
  <c r="D57" i="149"/>
  <c r="H57" i="149" s="1"/>
  <c r="E223" i="149" s="1" a="1"/>
  <c r="E223" i="149" s="1"/>
  <c r="D73" i="149"/>
  <c r="H73" i="149" s="1"/>
  <c r="E239" i="149" s="1" a="1"/>
  <c r="E239" i="149" s="1"/>
  <c r="D78" i="148"/>
  <c r="H78" i="148" s="1"/>
  <c r="E259" i="148" s="1" a="1"/>
  <c r="E259" i="148" s="1"/>
  <c r="H153" i="148"/>
  <c r="J153" i="148" s="1"/>
  <c r="K153" i="148" s="1"/>
  <c r="D70" i="147"/>
  <c r="H70" i="147" s="1"/>
  <c r="E236" i="147" s="1" a="1"/>
  <c r="E236" i="147" s="1"/>
  <c r="D73" i="147"/>
  <c r="H73" i="147" s="1"/>
  <c r="E239" i="147" s="1" a="1"/>
  <c r="E239" i="147" s="1"/>
  <c r="D76" i="147"/>
  <c r="H76" i="147" s="1"/>
  <c r="E242" i="147" s="1" a="1"/>
  <c r="E242" i="147" s="1"/>
  <c r="D79" i="146"/>
  <c r="H79" i="146" s="1"/>
  <c r="E260" i="146" s="1" a="1"/>
  <c r="E260" i="146" s="1"/>
  <c r="D65" i="147"/>
  <c r="H65" i="147" s="1"/>
  <c r="E231" i="147" s="1" a="1"/>
  <c r="E231" i="147" s="1"/>
  <c r="D56" i="147"/>
  <c r="H56" i="147" s="1"/>
  <c r="E222" i="147" s="1" a="1"/>
  <c r="E222" i="147" s="1"/>
  <c r="D63" i="147"/>
  <c r="H63" i="147" s="1"/>
  <c r="E229" i="147" s="1" a="1"/>
  <c r="E229" i="147" s="1"/>
  <c r="D73" i="146"/>
  <c r="H73" i="146" s="1"/>
  <c r="E254" i="146" s="1" a="1"/>
  <c r="E254" i="146" s="1"/>
  <c r="D55" i="147"/>
  <c r="H55" i="147" s="1"/>
  <c r="E221" i="147" s="1" a="1"/>
  <c r="E221" i="147" s="1"/>
  <c r="D75" i="146"/>
  <c r="H75" i="146" s="1"/>
  <c r="E256" i="146" s="1" a="1"/>
  <c r="E256" i="146" s="1"/>
  <c r="D66" i="146"/>
  <c r="H66" i="146" s="1"/>
  <c r="E247" i="146" s="1" a="1"/>
  <c r="E247" i="146" s="1"/>
  <c r="D63" i="146"/>
  <c r="H63" i="146" s="1"/>
  <c r="E244" i="146" s="1" a="1"/>
  <c r="E244" i="146" s="1"/>
  <c r="D75" i="147"/>
  <c r="H75" i="147" s="1"/>
  <c r="E241" i="147" s="1" a="1"/>
  <c r="E241" i="147" s="1"/>
  <c r="D66" i="147"/>
  <c r="H66" i="147" s="1"/>
  <c r="E232" i="147" s="1" a="1"/>
  <c r="E232" i="147" s="1"/>
  <c r="D71" i="147"/>
  <c r="H71" i="147" s="1"/>
  <c r="E237" i="147" s="1" a="1"/>
  <c r="E237" i="147" s="1"/>
  <c r="D59" i="147"/>
  <c r="H59" i="147" s="1"/>
  <c r="E225" i="147" s="1" a="1"/>
  <c r="E225" i="147" s="1"/>
  <c r="D61" i="147"/>
  <c r="H61" i="147" s="1"/>
  <c r="E227" i="147" s="1" a="1"/>
  <c r="E227" i="147" s="1"/>
  <c r="D58" i="147"/>
  <c r="H58" i="147" s="1"/>
  <c r="E224" i="147" s="1" a="1"/>
  <c r="E224" i="147" s="1"/>
  <c r="D68" i="147"/>
  <c r="H68" i="147" s="1"/>
  <c r="E234" i="147" s="1" a="1"/>
  <c r="E234" i="147" s="1"/>
  <c r="D57" i="147"/>
  <c r="H57" i="147" s="1"/>
  <c r="E223" i="147" s="1" a="1"/>
  <c r="E223" i="147" s="1"/>
  <c r="D67" i="147"/>
  <c r="H67" i="147" s="1"/>
  <c r="E233" i="147" s="1" a="1"/>
  <c r="E233" i="147" s="1"/>
  <c r="D69" i="147"/>
  <c r="H69" i="147" s="1"/>
  <c r="E235" i="147" s="1" a="1"/>
  <c r="E235" i="147" s="1"/>
  <c r="D60" i="147"/>
  <c r="H60" i="147" s="1"/>
  <c r="E226" i="147" s="1" a="1"/>
  <c r="E226" i="147" s="1"/>
  <c r="D72" i="147"/>
  <c r="H72" i="147" s="1"/>
  <c r="E238" i="147" s="1" a="1"/>
  <c r="E238" i="147" s="1"/>
  <c r="D64" i="147"/>
  <c r="H64" i="147" s="1"/>
  <c r="E230" i="147" s="1" a="1"/>
  <c r="E230" i="147" s="1"/>
  <c r="D74" i="147"/>
  <c r="H74" i="147" s="1"/>
  <c r="E240" i="147" s="1" a="1"/>
  <c r="E240" i="147" s="1"/>
  <c r="D78" i="146"/>
  <c r="H78" i="146" s="1"/>
  <c r="E259" i="146" s="1" a="1"/>
  <c r="E259" i="146" s="1"/>
  <c r="D68" i="146"/>
  <c r="H68" i="146" s="1"/>
  <c r="E249" i="146" s="1" a="1"/>
  <c r="E249" i="146" s="1"/>
  <c r="D69" i="146"/>
  <c r="H69" i="146" s="1"/>
  <c r="E250" i="146" s="1" a="1"/>
  <c r="E250" i="146" s="1"/>
  <c r="D64" i="146"/>
  <c r="H64" i="146" s="1"/>
  <c r="E245" i="146" s="1" a="1"/>
  <c r="E245" i="146" s="1"/>
  <c r="D65" i="146"/>
  <c r="H65" i="146" s="1"/>
  <c r="E246" i="146" s="1" a="1"/>
  <c r="E246" i="146" s="1"/>
  <c r="D81" i="146"/>
  <c r="H81" i="146" s="1"/>
  <c r="E262" i="146" s="1" a="1"/>
  <c r="E262" i="146" s="1"/>
  <c r="D71" i="146"/>
  <c r="H71" i="146" s="1"/>
  <c r="E252" i="146" s="1" a="1"/>
  <c r="E252" i="146" s="1"/>
  <c r="D80" i="146"/>
  <c r="H80" i="146" s="1"/>
  <c r="E261" i="146" s="1" a="1"/>
  <c r="E261" i="146" s="1"/>
  <c r="D74" i="146"/>
  <c r="H74" i="146" s="1"/>
  <c r="E255" i="146" s="1" a="1"/>
  <c r="E255" i="146" s="1"/>
  <c r="D62" i="146"/>
  <c r="H62" i="146" s="1"/>
  <c r="E243" i="146" s="1" a="1"/>
  <c r="E243" i="146" s="1"/>
  <c r="D67" i="146"/>
  <c r="H67" i="146" s="1"/>
  <c r="E248" i="146" s="1" a="1"/>
  <c r="E248" i="146" s="1"/>
  <c r="D72" i="146"/>
  <c r="H72" i="146" s="1"/>
  <c r="E253" i="146" s="1" a="1"/>
  <c r="E253" i="146" s="1"/>
  <c r="D70" i="146"/>
  <c r="H70" i="146" s="1"/>
  <c r="E251" i="146" s="1" a="1"/>
  <c r="E251" i="146" s="1"/>
  <c r="D60" i="146"/>
  <c r="H60" i="146" s="1"/>
  <c r="E241" i="146" s="1" a="1"/>
  <c r="E241" i="146" s="1"/>
  <c r="D76" i="146"/>
  <c r="H76" i="146" s="1"/>
  <c r="E257" i="146" s="1" a="1"/>
  <c r="E257" i="146" s="1"/>
  <c r="D61" i="146"/>
  <c r="H61" i="146" s="1"/>
  <c r="E242" i="146" s="1" a="1"/>
  <c r="E242" i="146" s="1"/>
  <c r="F203" i="148"/>
  <c r="F181" i="149"/>
  <c r="D66" i="148"/>
  <c r="H66" i="148" s="1"/>
  <c r="E247" i="148" s="1" a="1"/>
  <c r="E247" i="148" s="1"/>
  <c r="D74" i="148"/>
  <c r="H74" i="148" s="1"/>
  <c r="E255" i="148" s="1" a="1"/>
  <c r="E255" i="148" s="1"/>
  <c r="D61" i="148"/>
  <c r="H61" i="148" s="1"/>
  <c r="E242" i="148" s="1" a="1"/>
  <c r="E242" i="148" s="1"/>
  <c r="D69" i="148"/>
  <c r="H69" i="148" s="1"/>
  <c r="E250" i="148" s="1" a="1"/>
  <c r="E250" i="148" s="1"/>
  <c r="D77" i="148"/>
  <c r="H77" i="148" s="1"/>
  <c r="E258" i="148" s="1" a="1"/>
  <c r="E258" i="148" s="1"/>
  <c r="H203" i="148"/>
  <c r="G203" i="148"/>
  <c r="I203" i="148" s="1"/>
  <c r="E180" i="149"/>
  <c r="H181" i="149"/>
  <c r="G181" i="149"/>
  <c r="I181" i="149" s="1"/>
  <c r="H201" i="148"/>
  <c r="G201" i="148"/>
  <c r="I201" i="148" s="1"/>
  <c r="D62" i="149"/>
  <c r="H62" i="149" s="1"/>
  <c r="E228" i="149" s="1" a="1"/>
  <c r="E228" i="149" s="1"/>
  <c r="D70" i="149"/>
  <c r="H70" i="149" s="1"/>
  <c r="E236" i="149" s="1" a="1"/>
  <c r="E236" i="149" s="1"/>
  <c r="D55" i="149"/>
  <c r="H55" i="149" s="1"/>
  <c r="E221" i="149" s="1" a="1"/>
  <c r="E221" i="149" s="1"/>
  <c r="D63" i="149"/>
  <c r="H63" i="149" s="1"/>
  <c r="E229" i="149" s="1" a="1"/>
  <c r="E229" i="149" s="1"/>
  <c r="D71" i="149"/>
  <c r="H71" i="149" s="1"/>
  <c r="E237" i="149" s="1" a="1"/>
  <c r="E237" i="149" s="1"/>
  <c r="D60" i="148"/>
  <c r="H60" i="148" s="1"/>
  <c r="E241" i="148" s="1" a="1"/>
  <c r="E241" i="148" s="1"/>
  <c r="D68" i="148"/>
  <c r="H68" i="148" s="1"/>
  <c r="E249" i="148" s="1" a="1"/>
  <c r="E249" i="148" s="1"/>
  <c r="D76" i="148"/>
  <c r="H76" i="148" s="1"/>
  <c r="E257" i="148" s="1" a="1"/>
  <c r="E257" i="148" s="1"/>
  <c r="D63" i="148"/>
  <c r="H63" i="148" s="1"/>
  <c r="E244" i="148" s="1" a="1"/>
  <c r="E244" i="148" s="1"/>
  <c r="D71" i="148"/>
  <c r="H71" i="148" s="1"/>
  <c r="E252" i="148" s="1" a="1"/>
  <c r="E252" i="148" s="1"/>
  <c r="D79" i="148"/>
  <c r="H79" i="148" s="1"/>
  <c r="E260" i="148" s="1" a="1"/>
  <c r="E260" i="148" s="1"/>
  <c r="E202" i="148"/>
  <c r="D202" i="148"/>
  <c r="H180" i="149"/>
  <c r="G180" i="149"/>
  <c r="I180" i="149" s="1"/>
  <c r="H109" i="148"/>
  <c r="G110" i="148" s="1"/>
  <c r="D196" i="148"/>
  <c r="E196" i="148"/>
  <c r="E195" i="148"/>
  <c r="E197" i="148"/>
  <c r="E183" i="149"/>
  <c r="D183" i="149"/>
  <c r="D185" i="149" s="1"/>
  <c r="E184" i="149"/>
  <c r="D184" i="149"/>
  <c r="H199" i="148"/>
  <c r="G199" i="148"/>
  <c r="I199" i="148" s="1"/>
  <c r="E182" i="149"/>
  <c r="K110" i="148"/>
  <c r="H197" i="148"/>
  <c r="J197" i="148" s="1"/>
  <c r="G197" i="148"/>
  <c r="I197" i="148" s="1"/>
  <c r="E198" i="148"/>
  <c r="D198" i="148"/>
  <c r="G141" i="149"/>
  <c r="H140" i="149"/>
  <c r="J140" i="149" s="1"/>
  <c r="G156" i="148"/>
  <c r="H155" i="148"/>
  <c r="J155" i="148" s="1"/>
  <c r="E200" i="148"/>
  <c r="D200" i="148"/>
  <c r="D58" i="149"/>
  <c r="H58" i="149" s="1"/>
  <c r="E224" i="149" s="1" a="1"/>
  <c r="E224" i="149" s="1"/>
  <c r="D66" i="149"/>
  <c r="H66" i="149" s="1"/>
  <c r="E232" i="149" s="1" a="1"/>
  <c r="E232" i="149" s="1"/>
  <c r="D74" i="149"/>
  <c r="H74" i="149" s="1"/>
  <c r="E240" i="149" s="1" a="1"/>
  <c r="E240" i="149" s="1"/>
  <c r="D59" i="149"/>
  <c r="H59" i="149" s="1"/>
  <c r="E225" i="149" s="1" a="1"/>
  <c r="E225" i="149" s="1"/>
  <c r="D67" i="149"/>
  <c r="H67" i="149" s="1"/>
  <c r="E233" i="149" s="1" a="1"/>
  <c r="E233" i="149" s="1"/>
  <c r="D64" i="148"/>
  <c r="H64" i="148" s="1"/>
  <c r="E245" i="148" s="1" a="1"/>
  <c r="E245" i="148" s="1"/>
  <c r="D72" i="148"/>
  <c r="H72" i="148" s="1"/>
  <c r="E253" i="148" s="1" a="1"/>
  <c r="E253" i="148" s="1"/>
  <c r="D80" i="148"/>
  <c r="H80" i="148" s="1"/>
  <c r="E261" i="148" s="1" a="1"/>
  <c r="E261" i="148" s="1"/>
  <c r="D67" i="148"/>
  <c r="H67" i="148" s="1"/>
  <c r="E248" i="148" s="1" a="1"/>
  <c r="E248" i="148" s="1"/>
  <c r="E199" i="148"/>
  <c r="H182" i="149"/>
  <c r="J182" i="149" s="1"/>
  <c r="G182" i="149"/>
  <c r="I182" i="149" s="1"/>
  <c r="E204" i="148"/>
  <c r="D204" i="148"/>
  <c r="E201" i="148"/>
  <c r="G100" i="149"/>
  <c r="F156" i="148"/>
  <c r="F198" i="146"/>
  <c r="D200" i="146"/>
  <c r="E200" i="146"/>
  <c r="E203" i="146"/>
  <c r="D203" i="146"/>
  <c r="H151" i="146"/>
  <c r="J151" i="146" s="1"/>
  <c r="K151" i="146" s="1"/>
  <c r="H181" i="147"/>
  <c r="G181" i="147"/>
  <c r="I181" i="147" s="1"/>
  <c r="F141" i="147"/>
  <c r="G140" i="147"/>
  <c r="H153" i="146"/>
  <c r="J153" i="146" s="1"/>
  <c r="K153" i="146" s="1"/>
  <c r="E201" i="146"/>
  <c r="D201" i="146"/>
  <c r="E195" i="146"/>
  <c r="D195" i="146"/>
  <c r="E204" i="146"/>
  <c r="E202" i="146"/>
  <c r="E199" i="146"/>
  <c r="E196" i="146"/>
  <c r="D196" i="146"/>
  <c r="G196" i="146" s="1"/>
  <c r="I196" i="146" s="1"/>
  <c r="J196" i="146" s="1"/>
  <c r="H109" i="146"/>
  <c r="G110" i="146" s="1"/>
  <c r="H99" i="147"/>
  <c r="G100" i="147" s="1"/>
  <c r="F180" i="147"/>
  <c r="E184" i="147"/>
  <c r="D184" i="147"/>
  <c r="H147" i="146"/>
  <c r="J147" i="146" s="1"/>
  <c r="K147" i="146" s="1"/>
  <c r="F181" i="147"/>
  <c r="H154" i="146"/>
  <c r="J154" i="146" s="1"/>
  <c r="K154" i="146" s="1"/>
  <c r="E197" i="146"/>
  <c r="D197" i="146"/>
  <c r="H183" i="147"/>
  <c r="G183" i="147"/>
  <c r="I183" i="147" s="1"/>
  <c r="H149" i="146"/>
  <c r="J149" i="146" s="1"/>
  <c r="K149" i="146" s="1"/>
  <c r="H180" i="147"/>
  <c r="G180" i="147"/>
  <c r="I180" i="147" s="1"/>
  <c r="H198" i="146"/>
  <c r="G198" i="146"/>
  <c r="I198" i="146" s="1"/>
  <c r="H155" i="146"/>
  <c r="J155" i="146" s="1"/>
  <c r="G156" i="146"/>
  <c r="F183" i="147"/>
  <c r="H138" i="147"/>
  <c r="J138" i="147" s="1"/>
  <c r="K138" i="147" s="1"/>
  <c r="D62" i="147"/>
  <c r="H62" i="147" s="1"/>
  <c r="E228" i="147" s="1" a="1"/>
  <c r="E228" i="147" s="1"/>
  <c r="D182" i="147"/>
  <c r="E182" i="147"/>
  <c r="E185" i="147" s="1"/>
  <c r="H146" i="103" l="1"/>
  <c r="I145" i="103"/>
  <c r="I144" i="103" s="1"/>
  <c r="I149" i="103"/>
  <c r="K100" i="151"/>
  <c r="D58" i="151"/>
  <c r="H58" i="151" s="1"/>
  <c r="E224" i="151" s="1" a="1"/>
  <c r="E224" i="151" s="1"/>
  <c r="D69" i="151"/>
  <c r="H69" i="151" s="1"/>
  <c r="E235" i="151" s="1" a="1"/>
  <c r="E235" i="151" s="1"/>
  <c r="D68" i="151"/>
  <c r="H68" i="151" s="1"/>
  <c r="E234" i="151" s="1" a="1"/>
  <c r="E234" i="151" s="1"/>
  <c r="D74" i="151"/>
  <c r="H74" i="151" s="1"/>
  <c r="E240" i="151" s="1" a="1"/>
  <c r="E240" i="151" s="1"/>
  <c r="D67" i="151"/>
  <c r="H67" i="151" s="1"/>
  <c r="E233" i="151" s="1" a="1"/>
  <c r="E233" i="151" s="1"/>
  <c r="E94" i="153"/>
  <c r="B140" i="153"/>
  <c r="D98" i="153"/>
  <c r="D99" i="153" s="1"/>
  <c r="E98" i="153"/>
  <c r="F98" i="153" s="1"/>
  <c r="E140" i="153"/>
  <c r="F140" i="153" s="1"/>
  <c r="H180" i="153"/>
  <c r="G180" i="153"/>
  <c r="I180" i="153" s="1"/>
  <c r="D148" i="152"/>
  <c r="B197" i="152"/>
  <c r="D102" i="152"/>
  <c r="B149" i="152"/>
  <c r="B139" i="153"/>
  <c r="D97" i="153"/>
  <c r="E97" i="153"/>
  <c r="F97" i="153" s="1"/>
  <c r="E136" i="153"/>
  <c r="E138" i="153"/>
  <c r="F138" i="153" s="1"/>
  <c r="G138" i="153" s="1"/>
  <c r="H96" i="153"/>
  <c r="H181" i="153"/>
  <c r="J181" i="153" s="1"/>
  <c r="G181" i="153"/>
  <c r="I181" i="153" s="1"/>
  <c r="B103" i="152"/>
  <c r="B12" i="152"/>
  <c r="D196" i="152"/>
  <c r="E137" i="153"/>
  <c r="F137" i="153" s="1"/>
  <c r="G137" i="153" s="1"/>
  <c r="H137" i="153" s="1"/>
  <c r="J137" i="153" s="1"/>
  <c r="K137" i="153" s="1"/>
  <c r="E95" i="153"/>
  <c r="B182" i="153"/>
  <c r="D138" i="153"/>
  <c r="F182" i="151"/>
  <c r="D122" i="151"/>
  <c r="H122" i="151" s="1"/>
  <c r="F238" i="151" s="1" a="1"/>
  <c r="F238" i="151" s="1"/>
  <c r="D119" i="151"/>
  <c r="H119" i="151" s="1"/>
  <c r="F235" i="151" s="1" a="1"/>
  <c r="F235" i="151" s="1"/>
  <c r="D114" i="151"/>
  <c r="H114" i="151" s="1"/>
  <c r="F230" i="151" s="1" a="1"/>
  <c r="F230" i="151" s="1"/>
  <c r="D111" i="151"/>
  <c r="H111" i="151" s="1"/>
  <c r="F227" i="151" s="1" a="1"/>
  <c r="F227" i="151" s="1"/>
  <c r="D106" i="151"/>
  <c r="H106" i="151" s="1"/>
  <c r="F222" i="151" s="1" a="1"/>
  <c r="F222" i="151" s="1"/>
  <c r="D124" i="151"/>
  <c r="H124" i="151" s="1"/>
  <c r="F240" i="151" s="1" a="1"/>
  <c r="F240" i="151" s="1"/>
  <c r="D121" i="151"/>
  <c r="H121" i="151" s="1"/>
  <c r="F237" i="151" s="1" a="1"/>
  <c r="F237" i="151" s="1"/>
  <c r="D116" i="151"/>
  <c r="H116" i="151" s="1"/>
  <c r="F232" i="151" s="1" a="1"/>
  <c r="F232" i="151" s="1"/>
  <c r="D113" i="151"/>
  <c r="H113" i="151" s="1"/>
  <c r="F229" i="151" s="1" a="1"/>
  <c r="F229" i="151" s="1"/>
  <c r="D108" i="151"/>
  <c r="H108" i="151" s="1"/>
  <c r="F224" i="151" s="1" a="1"/>
  <c r="F224" i="151" s="1"/>
  <c r="D105" i="151"/>
  <c r="H105" i="151" s="1"/>
  <c r="F221" i="151" s="1" a="1"/>
  <c r="F221" i="151" s="1"/>
  <c r="D126" i="151"/>
  <c r="H126" i="151" s="1"/>
  <c r="F242" i="151" s="1" a="1"/>
  <c r="F242" i="151" s="1"/>
  <c r="D123" i="151"/>
  <c r="H123" i="151" s="1"/>
  <c r="F239" i="151" s="1" a="1"/>
  <c r="F239" i="151" s="1"/>
  <c r="D118" i="151"/>
  <c r="H118" i="151" s="1"/>
  <c r="F234" i="151" s="1" a="1"/>
  <c r="F234" i="151" s="1"/>
  <c r="D115" i="151"/>
  <c r="H115" i="151" s="1"/>
  <c r="F231" i="151" s="1" a="1"/>
  <c r="F231" i="151" s="1"/>
  <c r="D110" i="151"/>
  <c r="H110" i="151" s="1"/>
  <c r="F226" i="151" s="1" a="1"/>
  <c r="F226" i="151" s="1"/>
  <c r="D107" i="151"/>
  <c r="H107" i="151" s="1"/>
  <c r="F223" i="151" s="1" a="1"/>
  <c r="F223" i="151" s="1"/>
  <c r="D125" i="151"/>
  <c r="H125" i="151" s="1"/>
  <c r="F241" i="151" s="1" a="1"/>
  <c r="F241" i="151" s="1"/>
  <c r="D120" i="151"/>
  <c r="H120" i="151" s="1"/>
  <c r="F236" i="151" s="1" a="1"/>
  <c r="F236" i="151" s="1"/>
  <c r="D117" i="151"/>
  <c r="H117" i="151" s="1"/>
  <c r="F233" i="151" s="1" a="1"/>
  <c r="F233" i="151" s="1"/>
  <c r="D112" i="151"/>
  <c r="H112" i="151" s="1"/>
  <c r="F228" i="151" s="1" a="1"/>
  <c r="F228" i="151" s="1"/>
  <c r="D109" i="151"/>
  <c r="H109" i="151" s="1"/>
  <c r="F225" i="151" s="1" a="1"/>
  <c r="F225" i="151" s="1"/>
  <c r="D148" i="150"/>
  <c r="B197" i="150"/>
  <c r="D60" i="151"/>
  <c r="H60" i="151" s="1"/>
  <c r="E226" i="151" s="1" a="1"/>
  <c r="E226" i="151" s="1"/>
  <c r="D76" i="151"/>
  <c r="H76" i="151" s="1"/>
  <c r="E242" i="151" s="1" a="1"/>
  <c r="E242" i="151" s="1"/>
  <c r="D66" i="151"/>
  <c r="H66" i="151" s="1"/>
  <c r="E232" i="151" s="1" a="1"/>
  <c r="E232" i="151" s="1"/>
  <c r="D61" i="151"/>
  <c r="H61" i="151" s="1"/>
  <c r="E227" i="151" s="1" a="1"/>
  <c r="E227" i="151" s="1"/>
  <c r="D59" i="151"/>
  <c r="H59" i="151" s="1"/>
  <c r="E225" i="151" s="1" a="1"/>
  <c r="E225" i="151" s="1"/>
  <c r="D75" i="151"/>
  <c r="H75" i="151" s="1"/>
  <c r="E241" i="151" s="1" a="1"/>
  <c r="E241" i="151" s="1"/>
  <c r="H183" i="151"/>
  <c r="J183" i="151" s="1"/>
  <c r="G183" i="151"/>
  <c r="I183" i="151" s="1"/>
  <c r="E184" i="151"/>
  <c r="D184" i="151"/>
  <c r="D185" i="151" s="1"/>
  <c r="E180" i="151"/>
  <c r="J180" i="151"/>
  <c r="D102" i="150"/>
  <c r="B149" i="150"/>
  <c r="B103" i="150"/>
  <c r="B12" i="150"/>
  <c r="F181" i="151"/>
  <c r="K181" i="151"/>
  <c r="H182" i="151"/>
  <c r="G182" i="151"/>
  <c r="I182" i="151" s="1"/>
  <c r="G140" i="151"/>
  <c r="F141" i="151"/>
  <c r="E183" i="151"/>
  <c r="D57" i="151"/>
  <c r="H57" i="151" s="1"/>
  <c r="E223" i="151" s="1" a="1"/>
  <c r="E223" i="151" s="1"/>
  <c r="D73" i="151"/>
  <c r="H73" i="151" s="1"/>
  <c r="E239" i="151" s="1" a="1"/>
  <c r="E239" i="151" s="1"/>
  <c r="D63" i="151"/>
  <c r="H63" i="151" s="1"/>
  <c r="E229" i="151" s="1" a="1"/>
  <c r="E229" i="151" s="1"/>
  <c r="D56" i="151"/>
  <c r="H56" i="151" s="1"/>
  <c r="E222" i="151" s="1" a="1"/>
  <c r="E222" i="151" s="1"/>
  <c r="D72" i="151"/>
  <c r="H72" i="151" s="1"/>
  <c r="E238" i="151" s="1" a="1"/>
  <c r="E238" i="151" s="1"/>
  <c r="J180" i="147"/>
  <c r="K110" i="146"/>
  <c r="D131" i="146" s="1"/>
  <c r="H131" i="146" s="1"/>
  <c r="F257" i="146" s="1" a="1"/>
  <c r="F257" i="146" s="1"/>
  <c r="D124" i="149"/>
  <c r="H124" i="149" s="1"/>
  <c r="F240" i="149" s="1" a="1"/>
  <c r="F240" i="149" s="1"/>
  <c r="D120" i="149"/>
  <c r="H120" i="149" s="1"/>
  <c r="F236" i="149" s="1" a="1"/>
  <c r="F236" i="149" s="1"/>
  <c r="D116" i="149"/>
  <c r="H116" i="149" s="1"/>
  <c r="F232" i="149" s="1" a="1"/>
  <c r="F232" i="149" s="1"/>
  <c r="D112" i="149"/>
  <c r="H112" i="149" s="1"/>
  <c r="F228" i="149" s="1" a="1"/>
  <c r="F228" i="149" s="1"/>
  <c r="D108" i="149"/>
  <c r="H108" i="149" s="1"/>
  <c r="F224" i="149" s="1" a="1"/>
  <c r="F224" i="149" s="1"/>
  <c r="D123" i="149"/>
  <c r="H123" i="149" s="1"/>
  <c r="F239" i="149" s="1" a="1"/>
  <c r="F239" i="149" s="1"/>
  <c r="D119" i="149"/>
  <c r="H119" i="149" s="1"/>
  <c r="F235" i="149" s="1" a="1"/>
  <c r="F235" i="149" s="1"/>
  <c r="D115" i="149"/>
  <c r="H115" i="149" s="1"/>
  <c r="F231" i="149" s="1" a="1"/>
  <c r="F231" i="149" s="1"/>
  <c r="D111" i="149"/>
  <c r="H111" i="149" s="1"/>
  <c r="F227" i="149" s="1" a="1"/>
  <c r="F227" i="149" s="1"/>
  <c r="D107" i="149"/>
  <c r="H107" i="149" s="1"/>
  <c r="F223" i="149" s="1" a="1"/>
  <c r="F223" i="149" s="1"/>
  <c r="D126" i="149"/>
  <c r="H126" i="149" s="1"/>
  <c r="F242" i="149" s="1" a="1"/>
  <c r="F242" i="149" s="1"/>
  <c r="D122" i="149"/>
  <c r="H122" i="149" s="1"/>
  <c r="F238" i="149" s="1" a="1"/>
  <c r="F238" i="149" s="1"/>
  <c r="D118" i="149"/>
  <c r="H118" i="149" s="1"/>
  <c r="F234" i="149" s="1" a="1"/>
  <c r="F234" i="149" s="1"/>
  <c r="D114" i="149"/>
  <c r="H114" i="149" s="1"/>
  <c r="F230" i="149" s="1" a="1"/>
  <c r="F230" i="149" s="1"/>
  <c r="D110" i="149"/>
  <c r="H110" i="149" s="1"/>
  <c r="F226" i="149" s="1" a="1"/>
  <c r="F226" i="149" s="1"/>
  <c r="D106" i="149"/>
  <c r="H106" i="149" s="1"/>
  <c r="F222" i="149" s="1" a="1"/>
  <c r="F222" i="149" s="1"/>
  <c r="D125" i="149"/>
  <c r="H125" i="149" s="1"/>
  <c r="F241" i="149" s="1" a="1"/>
  <c r="F241" i="149" s="1"/>
  <c r="D121" i="149"/>
  <c r="H121" i="149" s="1"/>
  <c r="F237" i="149" s="1" a="1"/>
  <c r="F237" i="149" s="1"/>
  <c r="D117" i="149"/>
  <c r="H117" i="149" s="1"/>
  <c r="F233" i="149" s="1" a="1"/>
  <c r="F233" i="149" s="1"/>
  <c r="D113" i="149"/>
  <c r="H113" i="149" s="1"/>
  <c r="F229" i="149" s="1" a="1"/>
  <c r="F229" i="149" s="1"/>
  <c r="D109" i="149"/>
  <c r="H109" i="149" s="1"/>
  <c r="F225" i="149" s="1" a="1"/>
  <c r="F225" i="149" s="1"/>
  <c r="D105" i="149"/>
  <c r="H105" i="149" s="1"/>
  <c r="F221" i="149" s="1" a="1"/>
  <c r="F221" i="149" s="1"/>
  <c r="H204" i="148"/>
  <c r="G204" i="148"/>
  <c r="I204" i="148" s="1"/>
  <c r="F199" i="148"/>
  <c r="H200" i="148"/>
  <c r="G200" i="148"/>
  <c r="I200" i="148" s="1"/>
  <c r="K140" i="149"/>
  <c r="K141" i="149" s="1"/>
  <c r="J141" i="149"/>
  <c r="H184" i="149"/>
  <c r="G184" i="149"/>
  <c r="I184" i="149" s="1"/>
  <c r="F183" i="149"/>
  <c r="F196" i="148"/>
  <c r="J181" i="149"/>
  <c r="K181" i="149" s="1"/>
  <c r="J203" i="148"/>
  <c r="K203" i="148" s="1"/>
  <c r="F201" i="148"/>
  <c r="F204" i="148"/>
  <c r="F200" i="148"/>
  <c r="K182" i="149"/>
  <c r="F182" i="149"/>
  <c r="F184" i="149"/>
  <c r="K197" i="148"/>
  <c r="F197" i="148"/>
  <c r="G196" i="148"/>
  <c r="I196" i="148" s="1"/>
  <c r="J196" i="148" s="1"/>
  <c r="K196" i="148" s="1"/>
  <c r="D205" i="148"/>
  <c r="J180" i="149"/>
  <c r="K155" i="148"/>
  <c r="K156" i="148" s="1"/>
  <c r="J156" i="148"/>
  <c r="H198" i="148"/>
  <c r="J198" i="148" s="1"/>
  <c r="G198" i="148"/>
  <c r="I198" i="148" s="1"/>
  <c r="D136" i="148"/>
  <c r="H136" i="148" s="1"/>
  <c r="F262" i="148" s="1" a="1"/>
  <c r="F262" i="148" s="1"/>
  <c r="D134" i="148"/>
  <c r="H134" i="148" s="1"/>
  <c r="F260" i="148" s="1" a="1"/>
  <c r="F260" i="148" s="1"/>
  <c r="D130" i="148"/>
  <c r="H130" i="148" s="1"/>
  <c r="F256" i="148" s="1" a="1"/>
  <c r="F256" i="148" s="1"/>
  <c r="D126" i="148"/>
  <c r="H126" i="148" s="1"/>
  <c r="F252" i="148" s="1" a="1"/>
  <c r="F252" i="148" s="1"/>
  <c r="D122" i="148"/>
  <c r="H122" i="148" s="1"/>
  <c r="F248" i="148" s="1" a="1"/>
  <c r="F248" i="148" s="1"/>
  <c r="D118" i="148"/>
  <c r="H118" i="148" s="1"/>
  <c r="F244" i="148" s="1" a="1"/>
  <c r="F244" i="148" s="1"/>
  <c r="D133" i="148"/>
  <c r="H133" i="148" s="1"/>
  <c r="F259" i="148" s="1" a="1"/>
  <c r="F259" i="148" s="1"/>
  <c r="D129" i="148"/>
  <c r="H129" i="148" s="1"/>
  <c r="F255" i="148" s="1" a="1"/>
  <c r="F255" i="148" s="1"/>
  <c r="D125" i="148"/>
  <c r="H125" i="148" s="1"/>
  <c r="F251" i="148" s="1" a="1"/>
  <c r="F251" i="148" s="1"/>
  <c r="D121" i="148"/>
  <c r="H121" i="148" s="1"/>
  <c r="F247" i="148" s="1" a="1"/>
  <c r="F247" i="148" s="1"/>
  <c r="D117" i="148"/>
  <c r="H117" i="148" s="1"/>
  <c r="F243" i="148" s="1" a="1"/>
  <c r="F243" i="148" s="1"/>
  <c r="D132" i="148"/>
  <c r="H132" i="148" s="1"/>
  <c r="F258" i="148" s="1" a="1"/>
  <c r="F258" i="148" s="1"/>
  <c r="D128" i="148"/>
  <c r="H128" i="148" s="1"/>
  <c r="F254" i="148" s="1" a="1"/>
  <c r="F254" i="148" s="1"/>
  <c r="D124" i="148"/>
  <c r="H124" i="148" s="1"/>
  <c r="F250" i="148" s="1" a="1"/>
  <c r="F250" i="148" s="1"/>
  <c r="D120" i="148"/>
  <c r="H120" i="148" s="1"/>
  <c r="F246" i="148" s="1" a="1"/>
  <c r="F246" i="148" s="1"/>
  <c r="D116" i="148"/>
  <c r="H116" i="148" s="1"/>
  <c r="F242" i="148" s="1" a="1"/>
  <c r="F242" i="148" s="1"/>
  <c r="D135" i="148"/>
  <c r="H135" i="148" s="1"/>
  <c r="F261" i="148" s="1" a="1"/>
  <c r="F261" i="148" s="1"/>
  <c r="D131" i="148"/>
  <c r="H131" i="148" s="1"/>
  <c r="F257" i="148" s="1" a="1"/>
  <c r="F257" i="148" s="1"/>
  <c r="D127" i="148"/>
  <c r="H127" i="148" s="1"/>
  <c r="F253" i="148" s="1" a="1"/>
  <c r="F253" i="148" s="1"/>
  <c r="D123" i="148"/>
  <c r="H123" i="148" s="1"/>
  <c r="F249" i="148" s="1" a="1"/>
  <c r="F249" i="148" s="1"/>
  <c r="D119" i="148"/>
  <c r="H119" i="148" s="1"/>
  <c r="F245" i="148" s="1" a="1"/>
  <c r="F245" i="148" s="1"/>
  <c r="D115" i="148"/>
  <c r="H115" i="148" s="1"/>
  <c r="F241" i="148" s="1" a="1"/>
  <c r="F241" i="148" s="1"/>
  <c r="H202" i="148"/>
  <c r="J202" i="148" s="1"/>
  <c r="G202" i="148"/>
  <c r="I202" i="148" s="1"/>
  <c r="J201" i="148"/>
  <c r="K201" i="148" s="1"/>
  <c r="E185" i="149"/>
  <c r="F180" i="149"/>
  <c r="F185" i="149" s="1"/>
  <c r="K180" i="149"/>
  <c r="J157" i="148"/>
  <c r="E157" i="148"/>
  <c r="K198" i="148"/>
  <c r="F198" i="148"/>
  <c r="J199" i="148"/>
  <c r="K199" i="148" s="1"/>
  <c r="H183" i="149"/>
  <c r="G183" i="149"/>
  <c r="I183" i="149" s="1"/>
  <c r="E205" i="148"/>
  <c r="K195" i="148"/>
  <c r="F195" i="148"/>
  <c r="F205" i="148" s="1"/>
  <c r="K202" i="148"/>
  <c r="F202" i="148"/>
  <c r="G186" i="147"/>
  <c r="H201" i="146"/>
  <c r="G201" i="146"/>
  <c r="I201" i="146" s="1"/>
  <c r="J198" i="146"/>
  <c r="K198" i="146" s="1"/>
  <c r="J183" i="147"/>
  <c r="K183" i="147" s="1"/>
  <c r="H184" i="147"/>
  <c r="G184" i="147"/>
  <c r="I184" i="147" s="1"/>
  <c r="K196" i="146"/>
  <c r="F196" i="146"/>
  <c r="D205" i="146"/>
  <c r="G195" i="146"/>
  <c r="I195" i="146" s="1"/>
  <c r="J195" i="146" s="1"/>
  <c r="K195" i="146" s="1"/>
  <c r="F201" i="146"/>
  <c r="H203" i="146"/>
  <c r="G203" i="146"/>
  <c r="I203" i="146" s="1"/>
  <c r="H200" i="146"/>
  <c r="G200" i="146"/>
  <c r="I200" i="146" s="1"/>
  <c r="J156" i="146"/>
  <c r="K155" i="146"/>
  <c r="K156" i="146" s="1"/>
  <c r="H197" i="146"/>
  <c r="G197" i="146"/>
  <c r="I197" i="146" s="1"/>
  <c r="F184" i="147"/>
  <c r="K199" i="146"/>
  <c r="F199" i="146"/>
  <c r="F195" i="146"/>
  <c r="E205" i="146"/>
  <c r="J181" i="147"/>
  <c r="K181" i="147" s="1"/>
  <c r="F203" i="146"/>
  <c r="H182" i="147"/>
  <c r="G182" i="147"/>
  <c r="I182" i="147" s="1"/>
  <c r="D185" i="147"/>
  <c r="F204" i="146"/>
  <c r="K204" i="146"/>
  <c r="F200" i="146"/>
  <c r="F182" i="147"/>
  <c r="F185" i="147" s="1"/>
  <c r="F197" i="146"/>
  <c r="K180" i="147"/>
  <c r="D135" i="146"/>
  <c r="H135" i="146" s="1"/>
  <c r="F261" i="146" s="1" a="1"/>
  <c r="F261" i="146" s="1"/>
  <c r="D133" i="146"/>
  <c r="H133" i="146" s="1"/>
  <c r="F259" i="146" s="1" a="1"/>
  <c r="F259" i="146" s="1"/>
  <c r="D127" i="146"/>
  <c r="H127" i="146" s="1"/>
  <c r="F253" i="146" s="1" a="1"/>
  <c r="F253" i="146" s="1"/>
  <c r="D119" i="146"/>
  <c r="H119" i="146" s="1"/>
  <c r="F245" i="146" s="1" a="1"/>
  <c r="F245" i="146" s="1"/>
  <c r="D117" i="146"/>
  <c r="H117" i="146" s="1"/>
  <c r="F243" i="146" s="1" a="1"/>
  <c r="F243" i="146" s="1"/>
  <c r="D134" i="146"/>
  <c r="H134" i="146" s="1"/>
  <c r="F260" i="146" s="1" a="1"/>
  <c r="F260" i="146" s="1"/>
  <c r="D126" i="146"/>
  <c r="H126" i="146" s="1"/>
  <c r="F252" i="146" s="1" a="1"/>
  <c r="F252" i="146" s="1"/>
  <c r="D124" i="146"/>
  <c r="H124" i="146" s="1"/>
  <c r="F250" i="146" s="1" a="1"/>
  <c r="F250" i="146" s="1"/>
  <c r="D118" i="146"/>
  <c r="H118" i="146" s="1"/>
  <c r="F244" i="146" s="1" a="1"/>
  <c r="F244" i="146" s="1"/>
  <c r="F202" i="146"/>
  <c r="K202" i="146"/>
  <c r="G141" i="147"/>
  <c r="H140" i="147"/>
  <c r="J140" i="147" s="1"/>
  <c r="K100" i="147"/>
  <c r="D125" i="147" s="1"/>
  <c r="H125" i="147" s="1"/>
  <c r="F241" i="147" s="1" a="1"/>
  <c r="F241" i="147" s="1"/>
  <c r="I146" i="103"/>
  <c r="F94" i="153" l="1"/>
  <c r="H94" i="153"/>
  <c r="D182" i="153"/>
  <c r="H97" i="153"/>
  <c r="D197" i="152"/>
  <c r="J180" i="153"/>
  <c r="B184" i="153"/>
  <c r="D140" i="153"/>
  <c r="B104" i="152"/>
  <c r="B13" i="152"/>
  <c r="F95" i="153"/>
  <c r="H95" i="153"/>
  <c r="G196" i="152"/>
  <c r="I196" i="152" s="1"/>
  <c r="J196" i="152" s="1"/>
  <c r="H138" i="153"/>
  <c r="J138" i="153" s="1"/>
  <c r="K138" i="153" s="1"/>
  <c r="B183" i="153"/>
  <c r="E182" i="153" s="1"/>
  <c r="D139" i="153"/>
  <c r="B198" i="152"/>
  <c r="D149" i="152"/>
  <c r="G140" i="153"/>
  <c r="D103" i="152"/>
  <c r="B150" i="152"/>
  <c r="H98" i="153"/>
  <c r="E139" i="153"/>
  <c r="F139" i="153" s="1"/>
  <c r="G139" i="153" s="1"/>
  <c r="H184" i="151"/>
  <c r="J184" i="151" s="1"/>
  <c r="K184" i="151" s="1"/>
  <c r="G184" i="151"/>
  <c r="I184" i="151" s="1"/>
  <c r="D197" i="150"/>
  <c r="F183" i="151"/>
  <c r="K183" i="151"/>
  <c r="J182" i="151"/>
  <c r="K182" i="151" s="1"/>
  <c r="F184" i="151"/>
  <c r="B104" i="150"/>
  <c r="B13" i="150"/>
  <c r="B198" i="150"/>
  <c r="D149" i="150"/>
  <c r="H140" i="151"/>
  <c r="J140" i="151" s="1"/>
  <c r="G141" i="151"/>
  <c r="B150" i="150"/>
  <c r="D103" i="150"/>
  <c r="E185" i="151"/>
  <c r="K180" i="151"/>
  <c r="F180" i="151"/>
  <c r="F185" i="151" s="1"/>
  <c r="J142" i="149"/>
  <c r="D164" i="149" s="1"/>
  <c r="H164" i="149" s="1"/>
  <c r="G238" i="149" s="1" a="1"/>
  <c r="G238" i="149" s="1"/>
  <c r="J238" i="149" s="1"/>
  <c r="E142" i="149"/>
  <c r="D168" i="149" s="1"/>
  <c r="H168" i="149" s="1"/>
  <c r="G242" i="149" s="1" a="1"/>
  <c r="G242" i="149" s="1"/>
  <c r="J242" i="149" s="1"/>
  <c r="J157" i="146"/>
  <c r="D116" i="146"/>
  <c r="H116" i="146" s="1"/>
  <c r="F242" i="146" s="1" a="1"/>
  <c r="F242" i="146" s="1"/>
  <c r="D132" i="146"/>
  <c r="H132" i="146" s="1"/>
  <c r="F258" i="146" s="1" a="1"/>
  <c r="F258" i="146" s="1"/>
  <c r="D125" i="146"/>
  <c r="H125" i="146" s="1"/>
  <c r="F251" i="146" s="1" a="1"/>
  <c r="F251" i="146" s="1"/>
  <c r="D120" i="146"/>
  <c r="H120" i="146" s="1"/>
  <c r="F246" i="146" s="1" a="1"/>
  <c r="F246" i="146" s="1"/>
  <c r="D128" i="146"/>
  <c r="H128" i="146" s="1"/>
  <c r="F254" i="146" s="1" a="1"/>
  <c r="F254" i="146" s="1"/>
  <c r="D136" i="146"/>
  <c r="H136" i="146" s="1"/>
  <c r="F262" i="146" s="1" a="1"/>
  <c r="F262" i="146" s="1"/>
  <c r="D121" i="146"/>
  <c r="H121" i="146" s="1"/>
  <c r="F247" i="146" s="1" a="1"/>
  <c r="F247" i="146" s="1"/>
  <c r="D129" i="146"/>
  <c r="H129" i="146" s="1"/>
  <c r="F255" i="146" s="1" a="1"/>
  <c r="F255" i="146" s="1"/>
  <c r="D122" i="146"/>
  <c r="H122" i="146" s="1"/>
  <c r="F248" i="146" s="1" a="1"/>
  <c r="F248" i="146" s="1"/>
  <c r="D130" i="146"/>
  <c r="H130" i="146" s="1"/>
  <c r="F256" i="146" s="1" a="1"/>
  <c r="F256" i="146" s="1"/>
  <c r="D115" i="146"/>
  <c r="H115" i="146" s="1"/>
  <c r="F241" i="146" s="1" a="1"/>
  <c r="F241" i="146" s="1"/>
  <c r="D123" i="146"/>
  <c r="H123" i="146" s="1"/>
  <c r="F249" i="146" s="1" a="1"/>
  <c r="F249" i="146" s="1"/>
  <c r="E157" i="146"/>
  <c r="D176" i="146" s="1"/>
  <c r="H176" i="146" s="1"/>
  <c r="G255" i="146" s="1" a="1"/>
  <c r="G255" i="146" s="1"/>
  <c r="D166" i="149"/>
  <c r="H166" i="149" s="1"/>
  <c r="G240" i="149" s="1" a="1"/>
  <c r="G240" i="149" s="1"/>
  <c r="D158" i="149"/>
  <c r="H158" i="149" s="1"/>
  <c r="G232" i="149" s="1" a="1"/>
  <c r="G232" i="149" s="1"/>
  <c r="D150" i="149"/>
  <c r="H150" i="149" s="1"/>
  <c r="G224" i="149" s="1" a="1"/>
  <c r="G224" i="149" s="1"/>
  <c r="D163" i="149"/>
  <c r="H163" i="149" s="1"/>
  <c r="G237" i="149" s="1" a="1"/>
  <c r="G237" i="149" s="1"/>
  <c r="D155" i="149"/>
  <c r="H155" i="149" s="1"/>
  <c r="G229" i="149" s="1" a="1"/>
  <c r="G229" i="149" s="1"/>
  <c r="J229" i="149" s="1"/>
  <c r="D147" i="149"/>
  <c r="H147" i="149" s="1"/>
  <c r="G221" i="149" s="1" a="1"/>
  <c r="G221" i="149" s="1"/>
  <c r="J221" i="149" s="1"/>
  <c r="D183" i="148"/>
  <c r="H183" i="148" s="1"/>
  <c r="G262" i="148" s="1" a="1"/>
  <c r="G262" i="148" s="1"/>
  <c r="D181" i="148"/>
  <c r="H181" i="148" s="1"/>
  <c r="G260" i="148" s="1" a="1"/>
  <c r="G260" i="148" s="1"/>
  <c r="D179" i="148"/>
  <c r="H179" i="148" s="1"/>
  <c r="G258" i="148" s="1" a="1"/>
  <c r="G258" i="148" s="1"/>
  <c r="D177" i="148"/>
  <c r="H177" i="148" s="1"/>
  <c r="G256" i="148" s="1" a="1"/>
  <c r="G256" i="148" s="1"/>
  <c r="D175" i="148"/>
  <c r="H175" i="148" s="1"/>
  <c r="G254" i="148" s="1" a="1"/>
  <c r="G254" i="148" s="1"/>
  <c r="D173" i="148"/>
  <c r="H173" i="148" s="1"/>
  <c r="G252" i="148" s="1" a="1"/>
  <c r="G252" i="148" s="1"/>
  <c r="D171" i="148"/>
  <c r="H171" i="148" s="1"/>
  <c r="G250" i="148" s="1" a="1"/>
  <c r="G250" i="148" s="1"/>
  <c r="D169" i="148"/>
  <c r="H169" i="148" s="1"/>
  <c r="G248" i="148" s="1" a="1"/>
  <c r="G248" i="148" s="1"/>
  <c r="J248" i="148" s="1"/>
  <c r="D167" i="148"/>
  <c r="H167" i="148" s="1"/>
  <c r="G246" i="148" s="1" a="1"/>
  <c r="G246" i="148" s="1"/>
  <c r="D165" i="148"/>
  <c r="H165" i="148" s="1"/>
  <c r="G244" i="148" s="1" a="1"/>
  <c r="G244" i="148" s="1"/>
  <c r="D163" i="148"/>
  <c r="H163" i="148" s="1"/>
  <c r="G242" i="148" s="1" a="1"/>
  <c r="G242" i="148" s="1"/>
  <c r="D182" i="148"/>
  <c r="H182" i="148" s="1"/>
  <c r="G261" i="148" s="1" a="1"/>
  <c r="G261" i="148" s="1"/>
  <c r="D180" i="148"/>
  <c r="H180" i="148" s="1"/>
  <c r="G259" i="148" s="1" a="1"/>
  <c r="G259" i="148" s="1"/>
  <c r="D178" i="148"/>
  <c r="H178" i="148" s="1"/>
  <c r="G257" i="148" s="1" a="1"/>
  <c r="G257" i="148" s="1"/>
  <c r="D176" i="148"/>
  <c r="H176" i="148" s="1"/>
  <c r="G255" i="148" s="1" a="1"/>
  <c r="G255" i="148" s="1"/>
  <c r="D174" i="148"/>
  <c r="H174" i="148" s="1"/>
  <c r="G253" i="148" s="1" a="1"/>
  <c r="G253" i="148" s="1"/>
  <c r="D172" i="148"/>
  <c r="H172" i="148" s="1"/>
  <c r="G251" i="148" s="1" a="1"/>
  <c r="G251" i="148" s="1"/>
  <c r="D170" i="148"/>
  <c r="H170" i="148" s="1"/>
  <c r="G249" i="148" s="1" a="1"/>
  <c r="G249" i="148" s="1"/>
  <c r="D168" i="148"/>
  <c r="H168" i="148" s="1"/>
  <c r="G247" i="148" s="1" a="1"/>
  <c r="G247" i="148" s="1"/>
  <c r="D166" i="148"/>
  <c r="H166" i="148" s="1"/>
  <c r="G245" i="148" s="1" a="1"/>
  <c r="G245" i="148" s="1"/>
  <c r="J245" i="148" s="1"/>
  <c r="D164" i="148"/>
  <c r="H164" i="148" s="1"/>
  <c r="G243" i="148" s="1" a="1"/>
  <c r="G243" i="148" s="1"/>
  <c r="D162" i="148"/>
  <c r="H162" i="148" s="1"/>
  <c r="G241" i="148" s="1" a="1"/>
  <c r="G241" i="148" s="1"/>
  <c r="J261" i="148"/>
  <c r="J254" i="148"/>
  <c r="J251" i="148"/>
  <c r="J262" i="148"/>
  <c r="G206" i="148"/>
  <c r="J249" i="148"/>
  <c r="J242" i="148"/>
  <c r="J258" i="148"/>
  <c r="J255" i="148"/>
  <c r="J252" i="148"/>
  <c r="J184" i="149"/>
  <c r="K184" i="149" s="1"/>
  <c r="J200" i="148"/>
  <c r="K200" i="148" s="1"/>
  <c r="J204" i="148"/>
  <c r="K204" i="148" s="1"/>
  <c r="J232" i="149"/>
  <c r="J253" i="148"/>
  <c r="J246" i="148"/>
  <c r="J243" i="148"/>
  <c r="J259" i="148"/>
  <c r="J256" i="148"/>
  <c r="J237" i="149"/>
  <c r="J183" i="149"/>
  <c r="K183" i="149" s="1"/>
  <c r="G186" i="149"/>
  <c r="J241" i="148"/>
  <c r="J257" i="148"/>
  <c r="J250" i="148"/>
  <c r="J247" i="148"/>
  <c r="J244" i="148"/>
  <c r="J260" i="148"/>
  <c r="J205" i="148"/>
  <c r="J224" i="149"/>
  <c r="J240" i="149"/>
  <c r="D167" i="146"/>
  <c r="H167" i="146" s="1"/>
  <c r="G246" i="146" s="1" a="1"/>
  <c r="G246" i="146" s="1"/>
  <c r="D174" i="146"/>
  <c r="H174" i="146" s="1"/>
  <c r="G253" i="146" s="1" a="1"/>
  <c r="G253" i="146" s="1"/>
  <c r="J253" i="146" s="1"/>
  <c r="D181" i="146"/>
  <c r="H181" i="146" s="1"/>
  <c r="G260" i="146" s="1" a="1"/>
  <c r="G260" i="146" s="1"/>
  <c r="J260" i="146" s="1"/>
  <c r="D123" i="147"/>
  <c r="H123" i="147" s="1"/>
  <c r="F239" i="147" s="1" a="1"/>
  <c r="F239" i="147" s="1"/>
  <c r="D126" i="147"/>
  <c r="H126" i="147" s="1"/>
  <c r="F242" i="147" s="1" a="1"/>
  <c r="F242" i="147" s="1"/>
  <c r="J182" i="147"/>
  <c r="K182" i="147" s="1"/>
  <c r="K185" i="147" s="1"/>
  <c r="D114" i="147"/>
  <c r="H114" i="147" s="1"/>
  <c r="F230" i="147" s="1" a="1"/>
  <c r="F230" i="147" s="1"/>
  <c r="D124" i="147"/>
  <c r="H124" i="147" s="1"/>
  <c r="F240" i="147" s="1" a="1"/>
  <c r="F240" i="147" s="1"/>
  <c r="J184" i="147"/>
  <c r="K184" i="147" s="1"/>
  <c r="F205" i="146"/>
  <c r="D119" i="147"/>
  <c r="H119" i="147" s="1"/>
  <c r="F235" i="147" s="1" a="1"/>
  <c r="F235" i="147" s="1"/>
  <c r="D115" i="147"/>
  <c r="H115" i="147" s="1"/>
  <c r="F231" i="147" s="1" a="1"/>
  <c r="F231" i="147" s="1"/>
  <c r="D118" i="147"/>
  <c r="H118" i="147" s="1"/>
  <c r="F234" i="147" s="1" a="1"/>
  <c r="F234" i="147" s="1"/>
  <c r="D112" i="147"/>
  <c r="H112" i="147" s="1"/>
  <c r="F228" i="147" s="1" a="1"/>
  <c r="F228" i="147" s="1"/>
  <c r="D105" i="147"/>
  <c r="H105" i="147" s="1"/>
  <c r="F221" i="147" s="1" a="1"/>
  <c r="F221" i="147" s="1"/>
  <c r="D121" i="147"/>
  <c r="H121" i="147" s="1"/>
  <c r="F237" i="147" s="1" a="1"/>
  <c r="F237" i="147" s="1"/>
  <c r="J201" i="146"/>
  <c r="K201" i="146" s="1"/>
  <c r="D110" i="147"/>
  <c r="H110" i="147" s="1"/>
  <c r="F226" i="147" s="1" a="1"/>
  <c r="F226" i="147" s="1"/>
  <c r="D120" i="147"/>
  <c r="H120" i="147" s="1"/>
  <c r="F236" i="147" s="1" a="1"/>
  <c r="F236" i="147" s="1"/>
  <c r="D113" i="147"/>
  <c r="H113" i="147" s="1"/>
  <c r="F229" i="147" s="1" a="1"/>
  <c r="F229" i="147" s="1"/>
  <c r="K140" i="147"/>
  <c r="K141" i="147" s="1"/>
  <c r="J141" i="147"/>
  <c r="G206" i="146"/>
  <c r="D111" i="147"/>
  <c r="H111" i="147" s="1"/>
  <c r="F227" i="147" s="1" a="1"/>
  <c r="F227" i="147" s="1"/>
  <c r="D108" i="147"/>
  <c r="H108" i="147" s="1"/>
  <c r="F224" i="147" s="1" a="1"/>
  <c r="F224" i="147" s="1"/>
  <c r="D117" i="147"/>
  <c r="H117" i="147" s="1"/>
  <c r="F233" i="147" s="1" a="1"/>
  <c r="F233" i="147" s="1"/>
  <c r="J203" i="146"/>
  <c r="K203" i="146" s="1"/>
  <c r="D107" i="147"/>
  <c r="H107" i="147" s="1"/>
  <c r="F223" i="147" s="1" a="1"/>
  <c r="F223" i="147" s="1"/>
  <c r="D106" i="147"/>
  <c r="H106" i="147" s="1"/>
  <c r="F222" i="147" s="1" a="1"/>
  <c r="F222" i="147" s="1"/>
  <c r="D122" i="147"/>
  <c r="H122" i="147" s="1"/>
  <c r="F238" i="147" s="1" a="1"/>
  <c r="F238" i="147" s="1"/>
  <c r="D116" i="147"/>
  <c r="H116" i="147" s="1"/>
  <c r="F232" i="147" s="1" a="1"/>
  <c r="F232" i="147" s="1"/>
  <c r="D109" i="147"/>
  <c r="H109" i="147" s="1"/>
  <c r="F225" i="147" s="1" a="1"/>
  <c r="F225" i="147" s="1"/>
  <c r="J197" i="146"/>
  <c r="K197" i="146" s="1"/>
  <c r="J200" i="146"/>
  <c r="K200" i="146" s="1"/>
  <c r="E52" i="113" l="1"/>
  <c r="H139" i="153"/>
  <c r="J139" i="153" s="1"/>
  <c r="K139" i="153" s="1"/>
  <c r="F182" i="153"/>
  <c r="E184" i="153"/>
  <c r="D184" i="153"/>
  <c r="E180" i="153"/>
  <c r="G141" i="153"/>
  <c r="H140" i="153"/>
  <c r="J140" i="153" s="1"/>
  <c r="D104" i="152"/>
  <c r="B151" i="152"/>
  <c r="D150" i="152"/>
  <c r="B199" i="152"/>
  <c r="F141" i="153"/>
  <c r="D183" i="153"/>
  <c r="E183" i="153"/>
  <c r="H197" i="152"/>
  <c r="G197" i="152"/>
  <c r="I197" i="152" s="1"/>
  <c r="E181" i="153"/>
  <c r="H99" i="153"/>
  <c r="G100" i="153" s="1"/>
  <c r="F99" i="153"/>
  <c r="D198" i="152"/>
  <c r="B105" i="152"/>
  <c r="B14" i="152"/>
  <c r="H182" i="153"/>
  <c r="G182" i="153"/>
  <c r="I182" i="153" s="1"/>
  <c r="D185" i="153"/>
  <c r="G186" i="151"/>
  <c r="H197" i="150"/>
  <c r="G197" i="150"/>
  <c r="I197" i="150" s="1"/>
  <c r="B105" i="150"/>
  <c r="B14" i="150"/>
  <c r="D150" i="150"/>
  <c r="B199" i="150"/>
  <c r="D198" i="150"/>
  <c r="K185" i="151"/>
  <c r="K140" i="151"/>
  <c r="K141" i="151" s="1"/>
  <c r="J141" i="151"/>
  <c r="E142" i="151" s="1"/>
  <c r="B151" i="150"/>
  <c r="D104" i="150"/>
  <c r="J185" i="151"/>
  <c r="D151" i="149"/>
  <c r="H151" i="149" s="1"/>
  <c r="G225" i="149" s="1" a="1"/>
  <c r="G225" i="149" s="1"/>
  <c r="J225" i="149" s="1"/>
  <c r="D159" i="149"/>
  <c r="H159" i="149" s="1"/>
  <c r="G233" i="149" s="1" a="1"/>
  <c r="G233" i="149" s="1"/>
  <c r="J233" i="149" s="1"/>
  <c r="D167" i="149"/>
  <c r="H167" i="149" s="1"/>
  <c r="G241" i="149" s="1" a="1"/>
  <c r="G241" i="149" s="1"/>
  <c r="J241" i="149" s="1"/>
  <c r="D154" i="149"/>
  <c r="H154" i="149" s="1"/>
  <c r="G228" i="149" s="1" a="1"/>
  <c r="G228" i="149" s="1"/>
  <c r="J228" i="149" s="1"/>
  <c r="D162" i="149"/>
  <c r="H162" i="149" s="1"/>
  <c r="G236" i="149" s="1" a="1"/>
  <c r="G236" i="149" s="1"/>
  <c r="J236" i="149" s="1"/>
  <c r="D153" i="149"/>
  <c r="H153" i="149" s="1"/>
  <c r="G227" i="149" s="1" a="1"/>
  <c r="G227" i="149" s="1"/>
  <c r="J227" i="149" s="1"/>
  <c r="D161" i="149"/>
  <c r="H161" i="149" s="1"/>
  <c r="G235" i="149" s="1" a="1"/>
  <c r="G235" i="149" s="1"/>
  <c r="J235" i="149" s="1"/>
  <c r="D148" i="149"/>
  <c r="H148" i="149" s="1"/>
  <c r="G222" i="149" s="1" a="1"/>
  <c r="G222" i="149" s="1"/>
  <c r="J222" i="149" s="1"/>
  <c r="D156" i="149"/>
  <c r="H156" i="149" s="1"/>
  <c r="G230" i="149" s="1" a="1"/>
  <c r="G230" i="149" s="1"/>
  <c r="J230" i="149" s="1"/>
  <c r="K185" i="149"/>
  <c r="D149" i="149"/>
  <c r="H149" i="149" s="1"/>
  <c r="G223" i="149" s="1" a="1"/>
  <c r="G223" i="149" s="1"/>
  <c r="J223" i="149" s="1"/>
  <c r="D157" i="149"/>
  <c r="H157" i="149" s="1"/>
  <c r="G231" i="149" s="1" a="1"/>
  <c r="G231" i="149" s="1"/>
  <c r="J231" i="149" s="1"/>
  <c r="D165" i="149"/>
  <c r="H165" i="149" s="1"/>
  <c r="G239" i="149" s="1" a="1"/>
  <c r="G239" i="149" s="1"/>
  <c r="J239" i="149" s="1"/>
  <c r="D152" i="149"/>
  <c r="H152" i="149" s="1"/>
  <c r="G226" i="149" s="1" a="1"/>
  <c r="G226" i="149" s="1"/>
  <c r="J226" i="149" s="1"/>
  <c r="D160" i="149"/>
  <c r="H160" i="149" s="1"/>
  <c r="G234" i="149" s="1" a="1"/>
  <c r="G234" i="149" s="1"/>
  <c r="J234" i="149" s="1"/>
  <c r="K205" i="148"/>
  <c r="J142" i="147"/>
  <c r="J185" i="147"/>
  <c r="J246" i="146"/>
  <c r="J255" i="146"/>
  <c r="D162" i="146"/>
  <c r="H162" i="146" s="1"/>
  <c r="G241" i="146" s="1" a="1"/>
  <c r="G241" i="146" s="1"/>
  <c r="J241" i="146" s="1"/>
  <c r="D171" i="146"/>
  <c r="H171" i="146" s="1"/>
  <c r="G250" i="146" s="1" a="1"/>
  <c r="G250" i="146" s="1"/>
  <c r="J250" i="146" s="1"/>
  <c r="D168" i="146"/>
  <c r="H168" i="146" s="1"/>
  <c r="G247" i="146" s="1" a="1"/>
  <c r="G247" i="146" s="1"/>
  <c r="J247" i="146" s="1"/>
  <c r="D172" i="146"/>
  <c r="H172" i="146" s="1"/>
  <c r="G251" i="146" s="1" a="1"/>
  <c r="G251" i="146" s="1"/>
  <c r="J251" i="146" s="1"/>
  <c r="D183" i="146"/>
  <c r="H183" i="146" s="1"/>
  <c r="G262" i="146" s="1" a="1"/>
  <c r="G262" i="146" s="1"/>
  <c r="J262" i="146" s="1"/>
  <c r="D164" i="146"/>
  <c r="H164" i="146" s="1"/>
  <c r="G243" i="146" s="1" a="1"/>
  <c r="G243" i="146" s="1"/>
  <c r="J243" i="146" s="1"/>
  <c r="D180" i="146"/>
  <c r="H180" i="146" s="1"/>
  <c r="G259" i="146" s="1" a="1"/>
  <c r="G259" i="146" s="1"/>
  <c r="J259" i="146" s="1"/>
  <c r="D178" i="146"/>
  <c r="H178" i="146" s="1"/>
  <c r="G257" i="146" s="1" a="1"/>
  <c r="G257" i="146" s="1"/>
  <c r="J257" i="146" s="1"/>
  <c r="D165" i="146"/>
  <c r="H165" i="146" s="1"/>
  <c r="G244" i="146" s="1" a="1"/>
  <c r="G244" i="146" s="1"/>
  <c r="J244" i="146" s="1"/>
  <c r="D166" i="146"/>
  <c r="H166" i="146" s="1"/>
  <c r="G245" i="146" s="1" a="1"/>
  <c r="G245" i="146" s="1"/>
  <c r="J245" i="146" s="1"/>
  <c r="D182" i="146"/>
  <c r="H182" i="146" s="1"/>
  <c r="G261" i="146" s="1" a="1"/>
  <c r="G261" i="146" s="1"/>
  <c r="J261" i="146" s="1"/>
  <c r="D175" i="146"/>
  <c r="H175" i="146" s="1"/>
  <c r="G254" i="146" s="1" a="1"/>
  <c r="G254" i="146" s="1"/>
  <c r="J254" i="146" s="1"/>
  <c r="D173" i="146"/>
  <c r="H173" i="146" s="1"/>
  <c r="G252" i="146" s="1" a="1"/>
  <c r="G252" i="146" s="1"/>
  <c r="J252" i="146" s="1"/>
  <c r="D169" i="146"/>
  <c r="H169" i="146" s="1"/>
  <c r="G248" i="146" s="1" a="1"/>
  <c r="G248" i="146" s="1"/>
  <c r="J248" i="146" s="1"/>
  <c r="D170" i="146"/>
  <c r="H170" i="146" s="1"/>
  <c r="G249" i="146" s="1" a="1"/>
  <c r="G249" i="146" s="1"/>
  <c r="J249" i="146" s="1"/>
  <c r="D163" i="146"/>
  <c r="H163" i="146" s="1"/>
  <c r="G242" i="146" s="1" a="1"/>
  <c r="G242" i="146" s="1"/>
  <c r="J242" i="146" s="1"/>
  <c r="D179" i="146"/>
  <c r="H179" i="146" s="1"/>
  <c r="G258" i="146" s="1" a="1"/>
  <c r="G258" i="146" s="1"/>
  <c r="J258" i="146" s="1"/>
  <c r="D177" i="146"/>
  <c r="H177" i="146" s="1"/>
  <c r="G256" i="146" s="1" a="1"/>
  <c r="G256" i="146" s="1"/>
  <c r="J256" i="146" s="1"/>
  <c r="K205" i="146"/>
  <c r="K208" i="148"/>
  <c r="H207" i="148"/>
  <c r="J185" i="149"/>
  <c r="K188" i="149" s="1"/>
  <c r="E142" i="147"/>
  <c r="D168" i="147" s="1"/>
  <c r="H168" i="147" s="1"/>
  <c r="G242" i="147" s="1" a="1"/>
  <c r="G242" i="147" s="1"/>
  <c r="J205" i="146"/>
  <c r="K188" i="147"/>
  <c r="H187" i="147"/>
  <c r="F52" i="113" l="1"/>
  <c r="J142" i="151"/>
  <c r="K188" i="151"/>
  <c r="D151" i="152"/>
  <c r="B200" i="152"/>
  <c r="K100" i="153"/>
  <c r="D122" i="153" s="1"/>
  <c r="H122" i="153" s="1"/>
  <c r="F238" i="153" s="1" a="1"/>
  <c r="F238" i="153" s="1"/>
  <c r="J197" i="152"/>
  <c r="D199" i="152"/>
  <c r="E185" i="153"/>
  <c r="K180" i="153"/>
  <c r="F180" i="153"/>
  <c r="B15" i="152"/>
  <c r="B106" i="152"/>
  <c r="F183" i="153"/>
  <c r="H184" i="153"/>
  <c r="G184" i="153"/>
  <c r="I184" i="153" s="1"/>
  <c r="J182" i="153"/>
  <c r="D105" i="152"/>
  <c r="B152" i="152"/>
  <c r="H198" i="152"/>
  <c r="G198" i="152"/>
  <c r="I198" i="152" s="1"/>
  <c r="F181" i="153"/>
  <c r="K181" i="153"/>
  <c r="H183" i="153"/>
  <c r="G183" i="153"/>
  <c r="I183" i="153" s="1"/>
  <c r="K140" i="153"/>
  <c r="K141" i="153" s="1"/>
  <c r="J142" i="153" s="1"/>
  <c r="J141" i="153"/>
  <c r="F184" i="153"/>
  <c r="D167" i="151"/>
  <c r="H167" i="151" s="1"/>
  <c r="G241" i="151" s="1" a="1"/>
  <c r="G241" i="151" s="1"/>
  <c r="D165" i="151"/>
  <c r="H165" i="151" s="1"/>
  <c r="G239" i="151" s="1" a="1"/>
  <c r="G239" i="151" s="1"/>
  <c r="D163" i="151"/>
  <c r="H163" i="151" s="1"/>
  <c r="G237" i="151" s="1" a="1"/>
  <c r="G237" i="151" s="1"/>
  <c r="D161" i="151"/>
  <c r="H161" i="151" s="1"/>
  <c r="G235" i="151" s="1" a="1"/>
  <c r="G235" i="151" s="1"/>
  <c r="D159" i="151"/>
  <c r="H159" i="151" s="1"/>
  <c r="G233" i="151" s="1" a="1"/>
  <c r="G233" i="151" s="1"/>
  <c r="D157" i="151"/>
  <c r="H157" i="151" s="1"/>
  <c r="G231" i="151" s="1" a="1"/>
  <c r="G231" i="151" s="1"/>
  <c r="D155" i="151"/>
  <c r="H155" i="151" s="1"/>
  <c r="G229" i="151" s="1" a="1"/>
  <c r="G229" i="151" s="1"/>
  <c r="D153" i="151"/>
  <c r="H153" i="151" s="1"/>
  <c r="G227" i="151" s="1" a="1"/>
  <c r="G227" i="151" s="1"/>
  <c r="D151" i="151"/>
  <c r="H151" i="151" s="1"/>
  <c r="G225" i="151" s="1" a="1"/>
  <c r="G225" i="151" s="1"/>
  <c r="D149" i="151"/>
  <c r="H149" i="151" s="1"/>
  <c r="G223" i="151" s="1" a="1"/>
  <c r="G223" i="151" s="1"/>
  <c r="D147" i="151"/>
  <c r="H147" i="151" s="1"/>
  <c r="G221" i="151" s="1" a="1"/>
  <c r="G221" i="151" s="1"/>
  <c r="D164" i="151"/>
  <c r="H164" i="151" s="1"/>
  <c r="G238" i="151" s="1" a="1"/>
  <c r="G238" i="151" s="1"/>
  <c r="D156" i="151"/>
  <c r="H156" i="151" s="1"/>
  <c r="G230" i="151" s="1" a="1"/>
  <c r="G230" i="151" s="1"/>
  <c r="D148" i="151"/>
  <c r="H148" i="151" s="1"/>
  <c r="G222" i="151" s="1" a="1"/>
  <c r="G222" i="151" s="1"/>
  <c r="D166" i="151"/>
  <c r="H166" i="151" s="1"/>
  <c r="G240" i="151" s="1" a="1"/>
  <c r="G240" i="151" s="1"/>
  <c r="D158" i="151"/>
  <c r="H158" i="151" s="1"/>
  <c r="G232" i="151" s="1" a="1"/>
  <c r="G232" i="151" s="1"/>
  <c r="D150" i="151"/>
  <c r="H150" i="151" s="1"/>
  <c r="G224" i="151" s="1" a="1"/>
  <c r="G224" i="151" s="1"/>
  <c r="D160" i="151"/>
  <c r="H160" i="151" s="1"/>
  <c r="G234" i="151" s="1" a="1"/>
  <c r="G234" i="151" s="1"/>
  <c r="D152" i="151"/>
  <c r="H152" i="151" s="1"/>
  <c r="G226" i="151" s="1" a="1"/>
  <c r="G226" i="151" s="1"/>
  <c r="D168" i="151"/>
  <c r="H168" i="151" s="1"/>
  <c r="G242" i="151" s="1" a="1"/>
  <c r="G242" i="151" s="1"/>
  <c r="D162" i="151"/>
  <c r="H162" i="151" s="1"/>
  <c r="G236" i="151" s="1" a="1"/>
  <c r="G236" i="151" s="1"/>
  <c r="D154" i="151"/>
  <c r="H154" i="151" s="1"/>
  <c r="G228" i="151" s="1" a="1"/>
  <c r="G228" i="151" s="1"/>
  <c r="D151" i="150"/>
  <c r="B200" i="150"/>
  <c r="B152" i="150"/>
  <c r="D105" i="150"/>
  <c r="H187" i="151"/>
  <c r="D199" i="150"/>
  <c r="H198" i="150"/>
  <c r="G198" i="150"/>
  <c r="I198" i="150" s="1"/>
  <c r="B15" i="150"/>
  <c r="B106" i="150"/>
  <c r="J197" i="150"/>
  <c r="D167" i="147"/>
  <c r="H167" i="147" s="1"/>
  <c r="G241" i="147" s="1" a="1"/>
  <c r="G241" i="147" s="1"/>
  <c r="D162" i="147"/>
  <c r="H162" i="147" s="1"/>
  <c r="G236" i="147" s="1" a="1"/>
  <c r="G236" i="147" s="1"/>
  <c r="J236" i="147" s="1"/>
  <c r="D151" i="147"/>
  <c r="H151" i="147" s="1"/>
  <c r="G225" i="147" s="1" a="1"/>
  <c r="G225" i="147" s="1"/>
  <c r="D159" i="147"/>
  <c r="H159" i="147" s="1"/>
  <c r="G233" i="147" s="1" a="1"/>
  <c r="G233" i="147" s="1"/>
  <c r="D154" i="147"/>
  <c r="H154" i="147" s="1"/>
  <c r="G228" i="147" s="1" a="1"/>
  <c r="G228" i="147" s="1"/>
  <c r="J228" i="147" s="1"/>
  <c r="K208" i="146"/>
  <c r="H207" i="146"/>
  <c r="H187" i="149"/>
  <c r="D232" i="148"/>
  <c r="H232" i="148" s="1"/>
  <c r="H261" i="148" s="1" a="1"/>
  <c r="H261" i="148" s="1"/>
  <c r="I261" i="148" s="1"/>
  <c r="D230" i="148"/>
  <c r="H230" i="148" s="1"/>
  <c r="H259" i="148" s="1" a="1"/>
  <c r="H259" i="148" s="1"/>
  <c r="I259" i="148" s="1"/>
  <c r="D228" i="148"/>
  <c r="H228" i="148" s="1"/>
  <c r="H257" i="148" s="1" a="1"/>
  <c r="H257" i="148" s="1"/>
  <c r="I257" i="148" s="1"/>
  <c r="D226" i="148"/>
  <c r="H226" i="148" s="1"/>
  <c r="H255" i="148" s="1" a="1"/>
  <c r="H255" i="148" s="1"/>
  <c r="I255" i="148" s="1"/>
  <c r="D224" i="148"/>
  <c r="H224" i="148" s="1"/>
  <c r="H253" i="148" s="1" a="1"/>
  <c r="H253" i="148" s="1"/>
  <c r="I253" i="148" s="1"/>
  <c r="D222" i="148"/>
  <c r="H222" i="148" s="1"/>
  <c r="H251" i="148" s="1" a="1"/>
  <c r="H251" i="148" s="1"/>
  <c r="I251" i="148" s="1"/>
  <c r="D220" i="148"/>
  <c r="H220" i="148" s="1"/>
  <c r="H249" i="148" s="1" a="1"/>
  <c r="H249" i="148" s="1"/>
  <c r="I249" i="148" s="1"/>
  <c r="D218" i="148"/>
  <c r="H218" i="148" s="1"/>
  <c r="H247" i="148" s="1" a="1"/>
  <c r="H247" i="148" s="1"/>
  <c r="I247" i="148" s="1"/>
  <c r="D216" i="148"/>
  <c r="H216" i="148" s="1"/>
  <c r="H245" i="148" s="1" a="1"/>
  <c r="H245" i="148" s="1"/>
  <c r="I245" i="148" s="1"/>
  <c r="D214" i="148"/>
  <c r="H214" i="148" s="1"/>
  <c r="H243" i="148" s="1" a="1"/>
  <c r="H243" i="148" s="1"/>
  <c r="I243" i="148" s="1"/>
  <c r="D212" i="148"/>
  <c r="H212" i="148" s="1"/>
  <c r="H241" i="148" s="1" a="1"/>
  <c r="H241" i="148" s="1"/>
  <c r="I241" i="148" s="1"/>
  <c r="D233" i="148"/>
  <c r="H233" i="148" s="1"/>
  <c r="H262" i="148" s="1" a="1"/>
  <c r="H262" i="148" s="1"/>
  <c r="I262" i="148" s="1"/>
  <c r="D231" i="148"/>
  <c r="H231" i="148" s="1"/>
  <c r="H260" i="148" s="1" a="1"/>
  <c r="H260" i="148" s="1"/>
  <c r="I260" i="148" s="1"/>
  <c r="D229" i="148"/>
  <c r="H229" i="148" s="1"/>
  <c r="H258" i="148" s="1" a="1"/>
  <c r="H258" i="148" s="1"/>
  <c r="I258" i="148" s="1"/>
  <c r="D227" i="148"/>
  <c r="H227" i="148" s="1"/>
  <c r="H256" i="148" s="1" a="1"/>
  <c r="H256" i="148" s="1"/>
  <c r="I256" i="148" s="1"/>
  <c r="D225" i="148"/>
  <c r="H225" i="148" s="1"/>
  <c r="H254" i="148" s="1" a="1"/>
  <c r="H254" i="148" s="1"/>
  <c r="I254" i="148" s="1"/>
  <c r="D223" i="148"/>
  <c r="H223" i="148" s="1"/>
  <c r="H252" i="148" s="1" a="1"/>
  <c r="H252" i="148" s="1"/>
  <c r="I252" i="148" s="1"/>
  <c r="D221" i="148"/>
  <c r="H221" i="148" s="1"/>
  <c r="H250" i="148" s="1" a="1"/>
  <c r="H250" i="148" s="1"/>
  <c r="I250" i="148" s="1"/>
  <c r="D219" i="148"/>
  <c r="H219" i="148" s="1"/>
  <c r="H248" i="148" s="1" a="1"/>
  <c r="H248" i="148" s="1"/>
  <c r="I248" i="148" s="1"/>
  <c r="D217" i="148"/>
  <c r="H217" i="148" s="1"/>
  <c r="H246" i="148" s="1" a="1"/>
  <c r="H246" i="148" s="1"/>
  <c r="I246" i="148" s="1"/>
  <c r="D215" i="148"/>
  <c r="H215" i="148" s="1"/>
  <c r="H244" i="148" s="1" a="1"/>
  <c r="H244" i="148" s="1"/>
  <c r="I244" i="148" s="1"/>
  <c r="D213" i="148"/>
  <c r="H213" i="148" s="1"/>
  <c r="H242" i="148" s="1" a="1"/>
  <c r="H242" i="148" s="1"/>
  <c r="I242" i="148" s="1"/>
  <c r="J242" i="147"/>
  <c r="J225" i="147"/>
  <c r="D153" i="147"/>
  <c r="H153" i="147" s="1"/>
  <c r="G227" i="147" s="1" a="1"/>
  <c r="G227" i="147" s="1"/>
  <c r="D161" i="147"/>
  <c r="H161" i="147" s="1"/>
  <c r="G235" i="147" s="1" a="1"/>
  <c r="G235" i="147" s="1"/>
  <c r="D148" i="147"/>
  <c r="H148" i="147" s="1"/>
  <c r="G222" i="147" s="1" a="1"/>
  <c r="G222" i="147" s="1"/>
  <c r="D156" i="147"/>
  <c r="H156" i="147" s="1"/>
  <c r="G230" i="147" s="1" a="1"/>
  <c r="G230" i="147" s="1"/>
  <c r="D164" i="147"/>
  <c r="H164" i="147" s="1"/>
  <c r="G238" i="147" s="1" a="1"/>
  <c r="G238" i="147" s="1"/>
  <c r="D147" i="147"/>
  <c r="H147" i="147" s="1"/>
  <c r="G221" i="147" s="1" a="1"/>
  <c r="G221" i="147" s="1"/>
  <c r="D155" i="147"/>
  <c r="H155" i="147" s="1"/>
  <c r="G229" i="147" s="1" a="1"/>
  <c r="G229" i="147" s="1"/>
  <c r="D163" i="147"/>
  <c r="H163" i="147" s="1"/>
  <c r="G237" i="147" s="1" a="1"/>
  <c r="G237" i="147" s="1"/>
  <c r="D150" i="147"/>
  <c r="H150" i="147" s="1"/>
  <c r="G224" i="147" s="1" a="1"/>
  <c r="G224" i="147" s="1"/>
  <c r="D158" i="147"/>
  <c r="H158" i="147" s="1"/>
  <c r="G232" i="147" s="1" a="1"/>
  <c r="G232" i="147" s="1"/>
  <c r="D166" i="147"/>
  <c r="H166" i="147" s="1"/>
  <c r="G240" i="147" s="1" a="1"/>
  <c r="G240" i="147" s="1"/>
  <c r="D225" i="146"/>
  <c r="H225" i="146" s="1"/>
  <c r="H254" i="146" s="1" a="1"/>
  <c r="H254" i="146" s="1"/>
  <c r="I254" i="146" s="1"/>
  <c r="D218" i="146"/>
  <c r="H218" i="146" s="1"/>
  <c r="H247" i="146" s="1" a="1"/>
  <c r="H247" i="146" s="1"/>
  <c r="I247" i="146" s="1"/>
  <c r="D224" i="146"/>
  <c r="H224" i="146" s="1"/>
  <c r="H253" i="146" s="1" a="1"/>
  <c r="H253" i="146" s="1"/>
  <c r="I253" i="146" s="1"/>
  <c r="D214" i="146"/>
  <c r="H214" i="146" s="1"/>
  <c r="H243" i="146" s="1" a="1"/>
  <c r="H243" i="146" s="1"/>
  <c r="I243" i="146" s="1"/>
  <c r="J241" i="147"/>
  <c r="D208" i="147"/>
  <c r="H208" i="147" s="1"/>
  <c r="H237" i="147" s="1" a="1"/>
  <c r="H237" i="147" s="1"/>
  <c r="D200" i="147"/>
  <c r="H200" i="147" s="1"/>
  <c r="H229" i="147" s="1" a="1"/>
  <c r="H229" i="147" s="1"/>
  <c r="D192" i="147"/>
  <c r="H192" i="147" s="1"/>
  <c r="H221" i="147" s="1" a="1"/>
  <c r="H221" i="147" s="1"/>
  <c r="D206" i="147"/>
  <c r="H206" i="147" s="1"/>
  <c r="H235" i="147" s="1" a="1"/>
  <c r="H235" i="147" s="1"/>
  <c r="D198" i="147"/>
  <c r="H198" i="147" s="1"/>
  <c r="H227" i="147" s="1" a="1"/>
  <c r="H227" i="147" s="1"/>
  <c r="D212" i="147"/>
  <c r="H212" i="147" s="1"/>
  <c r="H241" i="147" s="1" a="1"/>
  <c r="H241" i="147" s="1"/>
  <c r="I241" i="147" s="1"/>
  <c r="D204" i="147"/>
  <c r="H204" i="147" s="1"/>
  <c r="H233" i="147" s="1" a="1"/>
  <c r="H233" i="147" s="1"/>
  <c r="I233" i="147" s="1"/>
  <c r="D196" i="147"/>
  <c r="H196" i="147" s="1"/>
  <c r="H225" i="147" s="1" a="1"/>
  <c r="H225" i="147" s="1"/>
  <c r="I225" i="147" s="1"/>
  <c r="D210" i="147"/>
  <c r="H210" i="147" s="1"/>
  <c r="H239" i="147" s="1" a="1"/>
  <c r="H239" i="147" s="1"/>
  <c r="D202" i="147"/>
  <c r="H202" i="147" s="1"/>
  <c r="H231" i="147" s="1" a="1"/>
  <c r="H231" i="147" s="1"/>
  <c r="D194" i="147"/>
  <c r="H194" i="147" s="1"/>
  <c r="H223" i="147" s="1" a="1"/>
  <c r="H223" i="147" s="1"/>
  <c r="D203" i="147"/>
  <c r="H203" i="147" s="1"/>
  <c r="H232" i="147" s="1" a="1"/>
  <c r="H232" i="147" s="1"/>
  <c r="D193" i="147"/>
  <c r="H193" i="147" s="1"/>
  <c r="H222" i="147" s="1" a="1"/>
  <c r="H222" i="147" s="1"/>
  <c r="D209" i="147"/>
  <c r="H209" i="147" s="1"/>
  <c r="H238" i="147" s="1" a="1"/>
  <c r="H238" i="147" s="1"/>
  <c r="D207" i="147"/>
  <c r="H207" i="147" s="1"/>
  <c r="H236" i="147" s="1" a="1"/>
  <c r="H236" i="147" s="1"/>
  <c r="I236" i="147" s="1"/>
  <c r="D197" i="147"/>
  <c r="H197" i="147" s="1"/>
  <c r="H226" i="147" s="1" a="1"/>
  <c r="H226" i="147" s="1"/>
  <c r="D213" i="147"/>
  <c r="H213" i="147" s="1"/>
  <c r="H242" i="147" s="1" a="1"/>
  <c r="H242" i="147" s="1"/>
  <c r="I242" i="147" s="1"/>
  <c r="D199" i="147"/>
  <c r="H199" i="147" s="1"/>
  <c r="H228" i="147" s="1" a="1"/>
  <c r="H228" i="147" s="1"/>
  <c r="D205" i="147"/>
  <c r="H205" i="147" s="1"/>
  <c r="H234" i="147" s="1" a="1"/>
  <c r="H234" i="147" s="1"/>
  <c r="D195" i="147"/>
  <c r="H195" i="147" s="1"/>
  <c r="H224" i="147" s="1" a="1"/>
  <c r="H224" i="147" s="1"/>
  <c r="D211" i="147"/>
  <c r="H211" i="147" s="1"/>
  <c r="H240" i="147" s="1" a="1"/>
  <c r="H240" i="147" s="1"/>
  <c r="D201" i="147"/>
  <c r="H201" i="147" s="1"/>
  <c r="H230" i="147" s="1" a="1"/>
  <c r="H230" i="147" s="1"/>
  <c r="J233" i="147"/>
  <c r="D149" i="147"/>
  <c r="H149" i="147" s="1"/>
  <c r="G223" i="147" s="1" a="1"/>
  <c r="G223" i="147" s="1"/>
  <c r="D157" i="147"/>
  <c r="H157" i="147" s="1"/>
  <c r="G231" i="147" s="1" a="1"/>
  <c r="G231" i="147" s="1"/>
  <c r="D165" i="147"/>
  <c r="H165" i="147" s="1"/>
  <c r="G239" i="147" s="1" a="1"/>
  <c r="G239" i="147" s="1"/>
  <c r="D152" i="147"/>
  <c r="H152" i="147" s="1"/>
  <c r="G226" i="147" s="1" a="1"/>
  <c r="G226" i="147" s="1"/>
  <c r="D160" i="147"/>
  <c r="H160" i="147" s="1"/>
  <c r="G234" i="147" s="1" a="1"/>
  <c r="G234" i="147" s="1"/>
  <c r="G52" i="113" l="1"/>
  <c r="D107" i="153"/>
  <c r="H107" i="153" s="1"/>
  <c r="F223" i="153" s="1" a="1"/>
  <c r="F223" i="153" s="1"/>
  <c r="D123" i="153"/>
  <c r="H123" i="153" s="1"/>
  <c r="F239" i="153" s="1" a="1"/>
  <c r="F239" i="153" s="1"/>
  <c r="D117" i="153"/>
  <c r="H117" i="153" s="1"/>
  <c r="F233" i="153" s="1" a="1"/>
  <c r="F233" i="153" s="1"/>
  <c r="D108" i="153"/>
  <c r="H108" i="153" s="1"/>
  <c r="F224" i="153" s="1" a="1"/>
  <c r="F224" i="153" s="1"/>
  <c r="D118" i="153"/>
  <c r="H118" i="153" s="1"/>
  <c r="F234" i="153" s="1" a="1"/>
  <c r="F234" i="153" s="1"/>
  <c r="D119" i="153"/>
  <c r="H119" i="153" s="1"/>
  <c r="F235" i="153" s="1" a="1"/>
  <c r="F235" i="153" s="1"/>
  <c r="D106" i="153"/>
  <c r="H106" i="153" s="1"/>
  <c r="F222" i="153" s="1" a="1"/>
  <c r="F222" i="153" s="1"/>
  <c r="D116" i="153"/>
  <c r="H116" i="153" s="1"/>
  <c r="F232" i="153" s="1" a="1"/>
  <c r="F232" i="153" s="1"/>
  <c r="D111" i="153"/>
  <c r="H111" i="153" s="1"/>
  <c r="F227" i="153" s="1" a="1"/>
  <c r="F227" i="153" s="1"/>
  <c r="D105" i="153"/>
  <c r="H105" i="153" s="1"/>
  <c r="F221" i="153" s="1" a="1"/>
  <c r="F221" i="153" s="1"/>
  <c r="D121" i="153"/>
  <c r="H121" i="153" s="1"/>
  <c r="F237" i="153" s="1" a="1"/>
  <c r="F237" i="153" s="1"/>
  <c r="D110" i="153"/>
  <c r="H110" i="153" s="1"/>
  <c r="F226" i="153" s="1" a="1"/>
  <c r="F226" i="153" s="1"/>
  <c r="D120" i="153"/>
  <c r="H120" i="153" s="1"/>
  <c r="F236" i="153" s="1" a="1"/>
  <c r="F236" i="153" s="1"/>
  <c r="D113" i="153"/>
  <c r="H113" i="153" s="1"/>
  <c r="F229" i="153" s="1" a="1"/>
  <c r="F229" i="153" s="1"/>
  <c r="D126" i="153"/>
  <c r="H126" i="153" s="1"/>
  <c r="F242" i="153" s="1" a="1"/>
  <c r="F242" i="153" s="1"/>
  <c r="E142" i="153"/>
  <c r="J184" i="153"/>
  <c r="K184" i="153" s="1"/>
  <c r="D115" i="153"/>
  <c r="H115" i="153" s="1"/>
  <c r="F231" i="153" s="1" a="1"/>
  <c r="F231" i="153" s="1"/>
  <c r="D109" i="153"/>
  <c r="H109" i="153" s="1"/>
  <c r="F225" i="153" s="1" a="1"/>
  <c r="F225" i="153" s="1"/>
  <c r="D125" i="153"/>
  <c r="H125" i="153" s="1"/>
  <c r="F241" i="153" s="1" a="1"/>
  <c r="F241" i="153" s="1"/>
  <c r="D112" i="153"/>
  <c r="H112" i="153" s="1"/>
  <c r="F228" i="153" s="1" a="1"/>
  <c r="F228" i="153" s="1"/>
  <c r="D124" i="153"/>
  <c r="H124" i="153" s="1"/>
  <c r="F240" i="153" s="1" a="1"/>
  <c r="F240" i="153" s="1"/>
  <c r="J198" i="150"/>
  <c r="D168" i="153"/>
  <c r="H168" i="153" s="1"/>
  <c r="G242" i="153" s="1" a="1"/>
  <c r="G242" i="153" s="1"/>
  <c r="D166" i="153"/>
  <c r="H166" i="153" s="1"/>
  <c r="G240" i="153" s="1" a="1"/>
  <c r="G240" i="153" s="1"/>
  <c r="D164" i="153"/>
  <c r="H164" i="153" s="1"/>
  <c r="G238" i="153" s="1" a="1"/>
  <c r="G238" i="153" s="1"/>
  <c r="D162" i="153"/>
  <c r="H162" i="153" s="1"/>
  <c r="G236" i="153" s="1" a="1"/>
  <c r="G236" i="153" s="1"/>
  <c r="D160" i="153"/>
  <c r="H160" i="153" s="1"/>
  <c r="G234" i="153" s="1" a="1"/>
  <c r="G234" i="153" s="1"/>
  <c r="D158" i="153"/>
  <c r="H158" i="153" s="1"/>
  <c r="G232" i="153" s="1" a="1"/>
  <c r="G232" i="153" s="1"/>
  <c r="D156" i="153"/>
  <c r="H156" i="153" s="1"/>
  <c r="G230" i="153" s="1" a="1"/>
  <c r="G230" i="153" s="1"/>
  <c r="D154" i="153"/>
  <c r="H154" i="153" s="1"/>
  <c r="G228" i="153" s="1" a="1"/>
  <c r="G228" i="153" s="1"/>
  <c r="D152" i="153"/>
  <c r="H152" i="153" s="1"/>
  <c r="G226" i="153" s="1" a="1"/>
  <c r="G226" i="153" s="1"/>
  <c r="D150" i="153"/>
  <c r="H150" i="153" s="1"/>
  <c r="G224" i="153" s="1" a="1"/>
  <c r="G224" i="153" s="1"/>
  <c r="D148" i="153"/>
  <c r="H148" i="153" s="1"/>
  <c r="G222" i="153" s="1" a="1"/>
  <c r="G222" i="153" s="1"/>
  <c r="D167" i="153"/>
  <c r="H167" i="153" s="1"/>
  <c r="G241" i="153" s="1" a="1"/>
  <c r="G241" i="153" s="1"/>
  <c r="D159" i="153"/>
  <c r="H159" i="153" s="1"/>
  <c r="G233" i="153" s="1" a="1"/>
  <c r="G233" i="153" s="1"/>
  <c r="D151" i="153"/>
  <c r="H151" i="153" s="1"/>
  <c r="G225" i="153" s="1" a="1"/>
  <c r="G225" i="153" s="1"/>
  <c r="D163" i="153"/>
  <c r="H163" i="153" s="1"/>
  <c r="G237" i="153" s="1" a="1"/>
  <c r="G237" i="153" s="1"/>
  <c r="D155" i="153"/>
  <c r="H155" i="153" s="1"/>
  <c r="G229" i="153" s="1" a="1"/>
  <c r="G229" i="153" s="1"/>
  <c r="D147" i="153"/>
  <c r="H147" i="153" s="1"/>
  <c r="G221" i="153" s="1" a="1"/>
  <c r="G221" i="153" s="1"/>
  <c r="D161" i="153"/>
  <c r="H161" i="153" s="1"/>
  <c r="G235" i="153" s="1" a="1"/>
  <c r="G235" i="153" s="1"/>
  <c r="D153" i="153"/>
  <c r="H153" i="153" s="1"/>
  <c r="G227" i="153" s="1" a="1"/>
  <c r="G227" i="153" s="1"/>
  <c r="D165" i="153"/>
  <c r="H165" i="153" s="1"/>
  <c r="G239" i="153" s="1" a="1"/>
  <c r="G239" i="153" s="1"/>
  <c r="D157" i="153"/>
  <c r="H157" i="153" s="1"/>
  <c r="G231" i="153" s="1" a="1"/>
  <c r="G231" i="153" s="1"/>
  <c r="D149" i="153"/>
  <c r="H149" i="153" s="1"/>
  <c r="G223" i="153" s="1" a="1"/>
  <c r="G223" i="153" s="1"/>
  <c r="J238" i="153"/>
  <c r="J227" i="153"/>
  <c r="J221" i="153"/>
  <c r="J237" i="153"/>
  <c r="J226" i="153"/>
  <c r="J234" i="153"/>
  <c r="J242" i="153"/>
  <c r="H199" i="152"/>
  <c r="G199" i="152"/>
  <c r="I199" i="152" s="1"/>
  <c r="J183" i="153"/>
  <c r="K183" i="153" s="1"/>
  <c r="J198" i="152"/>
  <c r="J231" i="153"/>
  <c r="J225" i="153"/>
  <c r="J241" i="153"/>
  <c r="J228" i="153"/>
  <c r="J236" i="153"/>
  <c r="D106" i="152"/>
  <c r="B153" i="152"/>
  <c r="G186" i="153"/>
  <c r="K182" i="153"/>
  <c r="K185" i="153" s="1"/>
  <c r="J185" i="153"/>
  <c r="J235" i="153"/>
  <c r="J229" i="153"/>
  <c r="J222" i="153"/>
  <c r="D114" i="153"/>
  <c r="H114" i="153" s="1"/>
  <c r="F230" i="153" s="1" a="1"/>
  <c r="F230" i="153" s="1"/>
  <c r="J230" i="153" s="1"/>
  <c r="B107" i="152"/>
  <c r="E106" i="152" s="1"/>
  <c r="F106" i="152" s="1"/>
  <c r="B16" i="152"/>
  <c r="B108" i="152" s="1"/>
  <c r="E99" i="152" s="1"/>
  <c r="D200" i="152"/>
  <c r="D152" i="152"/>
  <c r="B201" i="152"/>
  <c r="J223" i="153"/>
  <c r="J239" i="153"/>
  <c r="J233" i="153"/>
  <c r="J224" i="153"/>
  <c r="J232" i="153"/>
  <c r="J240" i="153"/>
  <c r="F185" i="153"/>
  <c r="H199" i="150"/>
  <c r="G199" i="150"/>
  <c r="I199" i="150" s="1"/>
  <c r="D200" i="150"/>
  <c r="J225" i="151"/>
  <c r="B107" i="150"/>
  <c r="B16" i="150"/>
  <c r="B108" i="150" s="1"/>
  <c r="D209" i="151"/>
  <c r="H209" i="151" s="1"/>
  <c r="H238" i="151" s="1" a="1"/>
  <c r="H238" i="151" s="1"/>
  <c r="D193" i="151"/>
  <c r="H193" i="151" s="1"/>
  <c r="H222" i="151" s="1" a="1"/>
  <c r="H222" i="151" s="1"/>
  <c r="D205" i="151"/>
  <c r="H205" i="151" s="1"/>
  <c r="H234" i="151" s="1" a="1"/>
  <c r="H234" i="151" s="1"/>
  <c r="D201" i="151"/>
  <c r="H201" i="151" s="1"/>
  <c r="H230" i="151" s="1" a="1"/>
  <c r="H230" i="151" s="1"/>
  <c r="D213" i="151"/>
  <c r="H213" i="151" s="1"/>
  <c r="H242" i="151" s="1" a="1"/>
  <c r="H242" i="151" s="1"/>
  <c r="D197" i="151"/>
  <c r="H197" i="151" s="1"/>
  <c r="H226" i="151" s="1" a="1"/>
  <c r="H226" i="151" s="1"/>
  <c r="D206" i="151"/>
  <c r="H206" i="151" s="1"/>
  <c r="H235" i="151" s="1" a="1"/>
  <c r="H235" i="151" s="1"/>
  <c r="D198" i="151"/>
  <c r="H198" i="151" s="1"/>
  <c r="H227" i="151" s="1" a="1"/>
  <c r="H227" i="151" s="1"/>
  <c r="D195" i="151"/>
  <c r="H195" i="151" s="1"/>
  <c r="H224" i="151" s="1" a="1"/>
  <c r="H224" i="151" s="1"/>
  <c r="D211" i="151"/>
  <c r="H211" i="151" s="1"/>
  <c r="H240" i="151" s="1" a="1"/>
  <c r="H240" i="151" s="1"/>
  <c r="D212" i="151"/>
  <c r="H212" i="151" s="1"/>
  <c r="H241" i="151" s="1" a="1"/>
  <c r="H241" i="151" s="1"/>
  <c r="D196" i="151"/>
  <c r="H196" i="151" s="1"/>
  <c r="H225" i="151" s="1" a="1"/>
  <c r="H225" i="151" s="1"/>
  <c r="I225" i="151" s="1"/>
  <c r="D204" i="151"/>
  <c r="H204" i="151" s="1"/>
  <c r="H233" i="151" s="1" a="1"/>
  <c r="H233" i="151" s="1"/>
  <c r="D199" i="151"/>
  <c r="H199" i="151" s="1"/>
  <c r="H228" i="151" s="1" a="1"/>
  <c r="H228" i="151" s="1"/>
  <c r="D210" i="151"/>
  <c r="H210" i="151" s="1"/>
  <c r="H239" i="151" s="1" a="1"/>
  <c r="H239" i="151" s="1"/>
  <c r="D202" i="151"/>
  <c r="H202" i="151" s="1"/>
  <c r="H231" i="151" s="1" a="1"/>
  <c r="H231" i="151" s="1"/>
  <c r="D194" i="151"/>
  <c r="H194" i="151" s="1"/>
  <c r="H223" i="151" s="1" a="1"/>
  <c r="H223" i="151" s="1"/>
  <c r="D203" i="151"/>
  <c r="H203" i="151" s="1"/>
  <c r="H232" i="151" s="1" a="1"/>
  <c r="H232" i="151" s="1"/>
  <c r="D208" i="151"/>
  <c r="H208" i="151" s="1"/>
  <c r="H237" i="151" s="1" a="1"/>
  <c r="H237" i="151" s="1"/>
  <c r="D200" i="151"/>
  <c r="H200" i="151" s="1"/>
  <c r="H229" i="151" s="1" a="1"/>
  <c r="H229" i="151" s="1"/>
  <c r="D192" i="151"/>
  <c r="H192" i="151" s="1"/>
  <c r="H221" i="151" s="1" a="1"/>
  <c r="H221" i="151" s="1"/>
  <c r="D207" i="151"/>
  <c r="H207" i="151" s="1"/>
  <c r="H236" i="151" s="1" a="1"/>
  <c r="H236" i="151" s="1"/>
  <c r="D152" i="150"/>
  <c r="B201" i="150"/>
  <c r="I226" i="151"/>
  <c r="J226" i="151"/>
  <c r="I240" i="151"/>
  <c r="J240" i="151"/>
  <c r="I221" i="151"/>
  <c r="J221" i="151"/>
  <c r="I229" i="151"/>
  <c r="J229" i="151"/>
  <c r="I237" i="151"/>
  <c r="J237" i="151"/>
  <c r="I236" i="151"/>
  <c r="J236" i="151"/>
  <c r="I230" i="151"/>
  <c r="J230" i="151"/>
  <c r="I228" i="151"/>
  <c r="J228" i="151"/>
  <c r="I234" i="151"/>
  <c r="J234" i="151"/>
  <c r="I222" i="151"/>
  <c r="J222" i="151"/>
  <c r="I223" i="151"/>
  <c r="J223" i="151"/>
  <c r="I231" i="151"/>
  <c r="J231" i="151"/>
  <c r="I239" i="151"/>
  <c r="J239" i="151"/>
  <c r="I224" i="151"/>
  <c r="J224" i="151"/>
  <c r="I233" i="151"/>
  <c r="J233" i="151"/>
  <c r="I241" i="151"/>
  <c r="J241" i="151"/>
  <c r="D106" i="150"/>
  <c r="B153" i="150"/>
  <c r="E106" i="150"/>
  <c r="F106" i="150" s="1"/>
  <c r="E104" i="150"/>
  <c r="E102" i="150"/>
  <c r="E153" i="150"/>
  <c r="F153" i="150" s="1"/>
  <c r="G153" i="150" s="1"/>
  <c r="E147" i="150"/>
  <c r="F147" i="150" s="1"/>
  <c r="G147" i="150" s="1"/>
  <c r="H147" i="150" s="1"/>
  <c r="J147" i="150" s="1"/>
  <c r="K147" i="150" s="1"/>
  <c r="I242" i="151"/>
  <c r="J242" i="151"/>
  <c r="I232" i="151"/>
  <c r="J232" i="151"/>
  <c r="I238" i="151"/>
  <c r="J238" i="151"/>
  <c r="I227" i="151"/>
  <c r="J227" i="151"/>
  <c r="I235" i="151"/>
  <c r="J235" i="151"/>
  <c r="I228" i="147"/>
  <c r="D227" i="146"/>
  <c r="H227" i="146" s="1"/>
  <c r="H256" i="146" s="1" a="1"/>
  <c r="H256" i="146" s="1"/>
  <c r="I256" i="146" s="1"/>
  <c r="D228" i="146"/>
  <c r="H228" i="146" s="1"/>
  <c r="H257" i="146" s="1" a="1"/>
  <c r="H257" i="146" s="1"/>
  <c r="I257" i="146" s="1"/>
  <c r="D232" i="146"/>
  <c r="H232" i="146" s="1"/>
  <c r="H261" i="146" s="1" a="1"/>
  <c r="H261" i="146" s="1"/>
  <c r="I261" i="146" s="1"/>
  <c r="D233" i="146"/>
  <c r="H233" i="146" s="1"/>
  <c r="H262" i="146" s="1" a="1"/>
  <c r="H262" i="146" s="1"/>
  <c r="I262" i="146" s="1"/>
  <c r="D223" i="146"/>
  <c r="H223" i="146" s="1"/>
  <c r="H252" i="146" s="1" a="1"/>
  <c r="H252" i="146" s="1"/>
  <c r="I252" i="146" s="1"/>
  <c r="D221" i="146"/>
  <c r="H221" i="146" s="1"/>
  <c r="H250" i="146" s="1" a="1"/>
  <c r="H250" i="146" s="1"/>
  <c r="I250" i="146" s="1"/>
  <c r="D222" i="146"/>
  <c r="H222" i="146" s="1"/>
  <c r="H251" i="146" s="1" a="1"/>
  <c r="H251" i="146" s="1"/>
  <c r="I251" i="146" s="1"/>
  <c r="D215" i="146"/>
  <c r="H215" i="146" s="1"/>
  <c r="H244" i="146" s="1" a="1"/>
  <c r="H244" i="146" s="1"/>
  <c r="I244" i="146" s="1"/>
  <c r="D212" i="146"/>
  <c r="H212" i="146" s="1"/>
  <c r="H241" i="146" s="1" a="1"/>
  <c r="H241" i="146" s="1"/>
  <c r="I241" i="146" s="1"/>
  <c r="D219" i="146"/>
  <c r="H219" i="146" s="1"/>
  <c r="H248" i="146" s="1" a="1"/>
  <c r="H248" i="146" s="1"/>
  <c r="I248" i="146" s="1"/>
  <c r="D217" i="146"/>
  <c r="H217" i="146" s="1"/>
  <c r="H246" i="146" s="1" a="1"/>
  <c r="H246" i="146" s="1"/>
  <c r="I246" i="146" s="1"/>
  <c r="D226" i="146"/>
  <c r="H226" i="146" s="1"/>
  <c r="H255" i="146" s="1" a="1"/>
  <c r="H255" i="146" s="1"/>
  <c r="I255" i="146" s="1"/>
  <c r="D231" i="146"/>
  <c r="H231" i="146" s="1"/>
  <c r="H260" i="146" s="1" a="1"/>
  <c r="H260" i="146" s="1"/>
  <c r="I260" i="146" s="1"/>
  <c r="D213" i="146"/>
  <c r="H213" i="146" s="1"/>
  <c r="H242" i="146" s="1" a="1"/>
  <c r="H242" i="146" s="1"/>
  <c r="I242" i="146" s="1"/>
  <c r="D216" i="146"/>
  <c r="H216" i="146" s="1"/>
  <c r="H245" i="146" s="1" a="1"/>
  <c r="H245" i="146" s="1"/>
  <c r="I245" i="146" s="1"/>
  <c r="D229" i="146"/>
  <c r="H229" i="146" s="1"/>
  <c r="H258" i="146" s="1" a="1"/>
  <c r="H258" i="146" s="1"/>
  <c r="I258" i="146" s="1"/>
  <c r="D230" i="146"/>
  <c r="H230" i="146" s="1"/>
  <c r="H259" i="146" s="1" a="1"/>
  <c r="H259" i="146" s="1"/>
  <c r="I259" i="146" s="1"/>
  <c r="D220" i="146"/>
  <c r="H220" i="146" s="1"/>
  <c r="H249" i="146" s="1" a="1"/>
  <c r="H249" i="146" s="1"/>
  <c r="I249" i="146" s="1"/>
  <c r="D205" i="149"/>
  <c r="H205" i="149" s="1"/>
  <c r="H234" i="149" s="1" a="1"/>
  <c r="H234" i="149" s="1"/>
  <c r="I234" i="149" s="1"/>
  <c r="D194" i="149"/>
  <c r="H194" i="149" s="1"/>
  <c r="H223" i="149" s="1" a="1"/>
  <c r="H223" i="149" s="1"/>
  <c r="I223" i="149" s="1"/>
  <c r="D213" i="149"/>
  <c r="H213" i="149" s="1"/>
  <c r="H242" i="149" s="1" a="1"/>
  <c r="H242" i="149" s="1"/>
  <c r="I242" i="149" s="1"/>
  <c r="D202" i="149"/>
  <c r="H202" i="149" s="1"/>
  <c r="H231" i="149" s="1" a="1"/>
  <c r="H231" i="149" s="1"/>
  <c r="I231" i="149" s="1"/>
  <c r="D210" i="149"/>
  <c r="H210" i="149" s="1"/>
  <c r="H239" i="149" s="1" a="1"/>
  <c r="H239" i="149" s="1"/>
  <c r="I239" i="149" s="1"/>
  <c r="D197" i="149"/>
  <c r="H197" i="149" s="1"/>
  <c r="H226" i="149" s="1" a="1"/>
  <c r="H226" i="149" s="1"/>
  <c r="I226" i="149" s="1"/>
  <c r="D201" i="149"/>
  <c r="H201" i="149" s="1"/>
  <c r="H230" i="149" s="1" a="1"/>
  <c r="H230" i="149" s="1"/>
  <c r="I230" i="149" s="1"/>
  <c r="D196" i="149"/>
  <c r="H196" i="149" s="1"/>
  <c r="H225" i="149" s="1" a="1"/>
  <c r="H225" i="149" s="1"/>
  <c r="I225" i="149" s="1"/>
  <c r="D212" i="149"/>
  <c r="H212" i="149" s="1"/>
  <c r="H241" i="149" s="1" a="1"/>
  <c r="H241" i="149" s="1"/>
  <c r="I241" i="149" s="1"/>
  <c r="D200" i="149"/>
  <c r="H200" i="149" s="1"/>
  <c r="H229" i="149" s="1" a="1"/>
  <c r="H229" i="149" s="1"/>
  <c r="I229" i="149" s="1"/>
  <c r="D206" i="149"/>
  <c r="H206" i="149" s="1"/>
  <c r="H235" i="149" s="1" a="1"/>
  <c r="H235" i="149" s="1"/>
  <c r="I235" i="149" s="1"/>
  <c r="D199" i="149"/>
  <c r="H199" i="149" s="1"/>
  <c r="H228" i="149" s="1" a="1"/>
  <c r="H228" i="149" s="1"/>
  <c r="I228" i="149" s="1"/>
  <c r="D203" i="149"/>
  <c r="H203" i="149" s="1"/>
  <c r="H232" i="149" s="1" a="1"/>
  <c r="H232" i="149" s="1"/>
  <c r="I232" i="149" s="1"/>
  <c r="D193" i="149"/>
  <c r="H193" i="149" s="1"/>
  <c r="H222" i="149" s="1" a="1"/>
  <c r="H222" i="149" s="1"/>
  <c r="I222" i="149" s="1"/>
  <c r="D204" i="149"/>
  <c r="H204" i="149" s="1"/>
  <c r="H233" i="149" s="1" a="1"/>
  <c r="H233" i="149" s="1"/>
  <c r="I233" i="149" s="1"/>
  <c r="D192" i="149"/>
  <c r="H192" i="149" s="1"/>
  <c r="H221" i="149" s="1" a="1"/>
  <c r="H221" i="149" s="1"/>
  <c r="I221" i="149" s="1"/>
  <c r="D208" i="149"/>
  <c r="H208" i="149" s="1"/>
  <c r="H237" i="149" s="1" a="1"/>
  <c r="H237" i="149" s="1"/>
  <c r="I237" i="149" s="1"/>
  <c r="D209" i="149"/>
  <c r="H209" i="149" s="1"/>
  <c r="H238" i="149" s="1" a="1"/>
  <c r="H238" i="149" s="1"/>
  <c r="I238" i="149" s="1"/>
  <c r="D198" i="149"/>
  <c r="H198" i="149" s="1"/>
  <c r="H227" i="149" s="1" a="1"/>
  <c r="H227" i="149" s="1"/>
  <c r="I227" i="149" s="1"/>
  <c r="D207" i="149"/>
  <c r="H207" i="149" s="1"/>
  <c r="H236" i="149" s="1" a="1"/>
  <c r="H236" i="149" s="1"/>
  <c r="I236" i="149" s="1"/>
  <c r="D195" i="149"/>
  <c r="H195" i="149" s="1"/>
  <c r="H224" i="149" s="1" a="1"/>
  <c r="H224" i="149" s="1"/>
  <c r="I224" i="149" s="1"/>
  <c r="D211" i="149"/>
  <c r="H211" i="149" s="1"/>
  <c r="H240" i="149" s="1" a="1"/>
  <c r="H240" i="149" s="1"/>
  <c r="I240" i="149" s="1"/>
  <c r="I231" i="147"/>
  <c r="J231" i="147"/>
  <c r="I240" i="147"/>
  <c r="J240" i="147"/>
  <c r="I229" i="147"/>
  <c r="J229" i="147"/>
  <c r="I238" i="147"/>
  <c r="J238" i="147"/>
  <c r="I227" i="147"/>
  <c r="J227" i="147"/>
  <c r="I237" i="147"/>
  <c r="J237" i="147"/>
  <c r="I223" i="147"/>
  <c r="J223" i="147"/>
  <c r="I226" i="147"/>
  <c r="J226" i="147"/>
  <c r="I232" i="147"/>
  <c r="J232" i="147"/>
  <c r="I221" i="147"/>
  <c r="J221" i="147"/>
  <c r="I230" i="147"/>
  <c r="J230" i="147"/>
  <c r="I235" i="147"/>
  <c r="J235" i="147"/>
  <c r="I234" i="147"/>
  <c r="J234" i="147"/>
  <c r="I239" i="147"/>
  <c r="J239" i="147"/>
  <c r="I224" i="147"/>
  <c r="J224" i="147"/>
  <c r="I222" i="147"/>
  <c r="J222" i="147"/>
  <c r="H52" i="113" l="1"/>
  <c r="K188" i="153"/>
  <c r="H187" i="153"/>
  <c r="F99" i="152"/>
  <c r="H99" i="152"/>
  <c r="E102" i="152"/>
  <c r="B202" i="152"/>
  <c r="D153" i="152"/>
  <c r="E146" i="152"/>
  <c r="F146" i="152" s="1"/>
  <c r="G146" i="152" s="1"/>
  <c r="H146" i="152" s="1"/>
  <c r="J146" i="152" s="1"/>
  <c r="K146" i="152" s="1"/>
  <c r="D201" i="152"/>
  <c r="D108" i="152"/>
  <c r="E108" i="152"/>
  <c r="F108" i="152" s="1"/>
  <c r="B155" i="152"/>
  <c r="E155" i="152"/>
  <c r="F155" i="152" s="1"/>
  <c r="E148" i="152"/>
  <c r="F148" i="152" s="1"/>
  <c r="G148" i="152" s="1"/>
  <c r="H148" i="152" s="1"/>
  <c r="J148" i="152" s="1"/>
  <c r="K148" i="152" s="1"/>
  <c r="E153" i="152"/>
  <c r="F153" i="152" s="1"/>
  <c r="G153" i="152" s="1"/>
  <c r="H153" i="152" s="1"/>
  <c r="J153" i="152" s="1"/>
  <c r="K153" i="152" s="1"/>
  <c r="H200" i="152"/>
  <c r="G200" i="152"/>
  <c r="I200" i="152" s="1"/>
  <c r="E107" i="152"/>
  <c r="F107" i="152" s="1"/>
  <c r="D107" i="152"/>
  <c r="H107" i="152" s="1"/>
  <c r="B154" i="152"/>
  <c r="E154" i="152" s="1"/>
  <c r="F154" i="152" s="1"/>
  <c r="G154" i="152" s="1"/>
  <c r="E152" i="152"/>
  <c r="F152" i="152" s="1"/>
  <c r="G152" i="152" s="1"/>
  <c r="H152" i="152" s="1"/>
  <c r="J152" i="152" s="1"/>
  <c r="K152" i="152" s="1"/>
  <c r="E147" i="152"/>
  <c r="F147" i="152" s="1"/>
  <c r="G147" i="152" s="1"/>
  <c r="H147" i="152" s="1"/>
  <c r="J147" i="152" s="1"/>
  <c r="K147" i="152" s="1"/>
  <c r="E104" i="152"/>
  <c r="E103" i="152"/>
  <c r="E149" i="152"/>
  <c r="F149" i="152" s="1"/>
  <c r="G149" i="152" s="1"/>
  <c r="H149" i="152" s="1"/>
  <c r="J149" i="152" s="1"/>
  <c r="K149" i="152" s="1"/>
  <c r="E101" i="152"/>
  <c r="E105" i="152"/>
  <c r="E151" i="152"/>
  <c r="F151" i="152" s="1"/>
  <c r="G151" i="152" s="1"/>
  <c r="H151" i="152" s="1"/>
  <c r="J151" i="152" s="1"/>
  <c r="K151" i="152" s="1"/>
  <c r="E150" i="152"/>
  <c r="F150" i="152" s="1"/>
  <c r="G150" i="152" s="1"/>
  <c r="H150" i="152" s="1"/>
  <c r="J150" i="152" s="1"/>
  <c r="K150" i="152" s="1"/>
  <c r="H106" i="152"/>
  <c r="E100" i="152"/>
  <c r="J199" i="152"/>
  <c r="B202" i="150"/>
  <c r="D153" i="150"/>
  <c r="F102" i="150"/>
  <c r="H102" i="150"/>
  <c r="H106" i="150"/>
  <c r="D201" i="150"/>
  <c r="B155" i="150"/>
  <c r="D108" i="150"/>
  <c r="E108" i="150"/>
  <c r="F108" i="150" s="1"/>
  <c r="E155" i="150"/>
  <c r="F155" i="150" s="1"/>
  <c r="F104" i="150"/>
  <c r="H104" i="150"/>
  <c r="B154" i="150"/>
  <c r="E107" i="150"/>
  <c r="F107" i="150" s="1"/>
  <c r="D107" i="150"/>
  <c r="H107" i="150" s="1"/>
  <c r="E100" i="150"/>
  <c r="E101" i="150"/>
  <c r="E99" i="150"/>
  <c r="E148" i="150"/>
  <c r="F148" i="150" s="1"/>
  <c r="G148" i="150" s="1"/>
  <c r="H148" i="150" s="1"/>
  <c r="J148" i="150" s="1"/>
  <c r="K148" i="150" s="1"/>
  <c r="E151" i="150"/>
  <c r="F151" i="150" s="1"/>
  <c r="G151" i="150" s="1"/>
  <c r="H151" i="150" s="1"/>
  <c r="J151" i="150" s="1"/>
  <c r="K151" i="150" s="1"/>
  <c r="E149" i="150"/>
  <c r="F149" i="150" s="1"/>
  <c r="G149" i="150" s="1"/>
  <c r="H149" i="150" s="1"/>
  <c r="J149" i="150" s="1"/>
  <c r="K149" i="150" s="1"/>
  <c r="E150" i="150"/>
  <c r="F150" i="150" s="1"/>
  <c r="G150" i="150" s="1"/>
  <c r="H150" i="150" s="1"/>
  <c r="J150" i="150" s="1"/>
  <c r="K150" i="150" s="1"/>
  <c r="E146" i="150"/>
  <c r="F146" i="150" s="1"/>
  <c r="G146" i="150" s="1"/>
  <c r="H146" i="150" s="1"/>
  <c r="J146" i="150" s="1"/>
  <c r="K146" i="150" s="1"/>
  <c r="E103" i="150"/>
  <c r="E152" i="150"/>
  <c r="F152" i="150" s="1"/>
  <c r="G152" i="150" s="1"/>
  <c r="H152" i="150" s="1"/>
  <c r="J152" i="150" s="1"/>
  <c r="K152" i="150" s="1"/>
  <c r="H200" i="150"/>
  <c r="G200" i="150"/>
  <c r="I200" i="150" s="1"/>
  <c r="J199" i="150"/>
  <c r="H153" i="150"/>
  <c r="J153" i="150" s="1"/>
  <c r="K153" i="150" s="1"/>
  <c r="E105" i="150"/>
  <c r="J200" i="152" l="1"/>
  <c r="F100" i="152"/>
  <c r="H100" i="152"/>
  <c r="F101" i="152"/>
  <c r="F109" i="152" s="1"/>
  <c r="H101" i="152"/>
  <c r="D155" i="152"/>
  <c r="B204" i="152"/>
  <c r="F103" i="152"/>
  <c r="H103" i="152"/>
  <c r="D154" i="152"/>
  <c r="H154" i="152" s="1"/>
  <c r="J154" i="152" s="1"/>
  <c r="K154" i="152" s="1"/>
  <c r="B203" i="152"/>
  <c r="H108" i="152"/>
  <c r="D109" i="152"/>
  <c r="H201" i="152"/>
  <c r="J201" i="152" s="1"/>
  <c r="G201" i="152"/>
  <c r="I201" i="152" s="1"/>
  <c r="E202" i="152"/>
  <c r="D202" i="152"/>
  <c r="E200" i="152"/>
  <c r="E198" i="152"/>
  <c r="E196" i="152"/>
  <c r="D199" i="153"/>
  <c r="H199" i="153" s="1"/>
  <c r="H228" i="153" s="1" a="1"/>
  <c r="H228" i="153" s="1"/>
  <c r="I228" i="153" s="1"/>
  <c r="D202" i="153"/>
  <c r="H202" i="153" s="1"/>
  <c r="H231" i="153" s="1" a="1"/>
  <c r="H231" i="153" s="1"/>
  <c r="I231" i="153" s="1"/>
  <c r="D198" i="153"/>
  <c r="H198" i="153" s="1"/>
  <c r="H227" i="153" s="1" a="1"/>
  <c r="H227" i="153" s="1"/>
  <c r="I227" i="153" s="1"/>
  <c r="D203" i="153"/>
  <c r="H203" i="153" s="1"/>
  <c r="H232" i="153" s="1" a="1"/>
  <c r="H232" i="153" s="1"/>
  <c r="I232" i="153" s="1"/>
  <c r="D212" i="153"/>
  <c r="H212" i="153" s="1"/>
  <c r="H241" i="153" s="1" a="1"/>
  <c r="H241" i="153" s="1"/>
  <c r="I241" i="153" s="1"/>
  <c r="D197" i="153"/>
  <c r="H197" i="153" s="1"/>
  <c r="H226" i="153" s="1" a="1"/>
  <c r="H226" i="153" s="1"/>
  <c r="I226" i="153" s="1"/>
  <c r="D193" i="153"/>
  <c r="H193" i="153" s="1"/>
  <c r="H222" i="153" s="1" a="1"/>
  <c r="H222" i="153" s="1"/>
  <c r="I222" i="153" s="1"/>
  <c r="D204" i="153"/>
  <c r="H204" i="153" s="1"/>
  <c r="H233" i="153" s="1" a="1"/>
  <c r="H233" i="153" s="1"/>
  <c r="I233" i="153" s="1"/>
  <c r="D210" i="153"/>
  <c r="H210" i="153" s="1"/>
  <c r="H239" i="153" s="1" a="1"/>
  <c r="H239" i="153" s="1"/>
  <c r="I239" i="153" s="1"/>
  <c r="D194" i="153"/>
  <c r="H194" i="153" s="1"/>
  <c r="H223" i="153" s="1" a="1"/>
  <c r="H223" i="153" s="1"/>
  <c r="I223" i="153" s="1"/>
  <c r="D206" i="153"/>
  <c r="H206" i="153" s="1"/>
  <c r="H235" i="153" s="1" a="1"/>
  <c r="H235" i="153" s="1"/>
  <c r="I235" i="153" s="1"/>
  <c r="D211" i="153"/>
  <c r="H211" i="153" s="1"/>
  <c r="H240" i="153" s="1" a="1"/>
  <c r="H240" i="153" s="1"/>
  <c r="I240" i="153" s="1"/>
  <c r="D195" i="153"/>
  <c r="H195" i="153" s="1"/>
  <c r="H224" i="153" s="1" a="1"/>
  <c r="H224" i="153" s="1"/>
  <c r="I224" i="153" s="1"/>
  <c r="D196" i="153"/>
  <c r="H196" i="153" s="1"/>
  <c r="H225" i="153" s="1" a="1"/>
  <c r="H225" i="153" s="1"/>
  <c r="I225" i="153" s="1"/>
  <c r="D213" i="153"/>
  <c r="H213" i="153" s="1"/>
  <c r="H242" i="153" s="1" a="1"/>
  <c r="H242" i="153" s="1"/>
  <c r="I242" i="153" s="1"/>
  <c r="D209" i="153"/>
  <c r="H209" i="153" s="1"/>
  <c r="H238" i="153" s="1" a="1"/>
  <c r="H238" i="153" s="1"/>
  <c r="I238" i="153" s="1"/>
  <c r="D200" i="153"/>
  <c r="H200" i="153" s="1"/>
  <c r="H229" i="153" s="1" a="1"/>
  <c r="H229" i="153" s="1"/>
  <c r="I229" i="153" s="1"/>
  <c r="D205" i="153"/>
  <c r="H205" i="153" s="1"/>
  <c r="H234" i="153" s="1" a="1"/>
  <c r="H234" i="153" s="1"/>
  <c r="I234" i="153" s="1"/>
  <c r="D201" i="153"/>
  <c r="H201" i="153" s="1"/>
  <c r="H230" i="153" s="1" a="1"/>
  <c r="H230" i="153" s="1"/>
  <c r="I230" i="153" s="1"/>
  <c r="D208" i="153"/>
  <c r="H208" i="153" s="1"/>
  <c r="H237" i="153" s="1" a="1"/>
  <c r="H237" i="153" s="1"/>
  <c r="I237" i="153" s="1"/>
  <c r="D192" i="153"/>
  <c r="H192" i="153" s="1"/>
  <c r="H221" i="153" s="1" a="1"/>
  <c r="H221" i="153" s="1"/>
  <c r="I221" i="153" s="1"/>
  <c r="D207" i="153"/>
  <c r="H207" i="153" s="1"/>
  <c r="H236" i="153" s="1" a="1"/>
  <c r="H236" i="153" s="1"/>
  <c r="I236" i="153" s="1"/>
  <c r="F105" i="152"/>
  <c r="H105" i="152"/>
  <c r="F104" i="152"/>
  <c r="H104" i="152"/>
  <c r="G155" i="152"/>
  <c r="F156" i="152"/>
  <c r="F102" i="152"/>
  <c r="H102" i="152"/>
  <c r="H109" i="152" s="1"/>
  <c r="G110" i="152" s="1"/>
  <c r="F103" i="150"/>
  <c r="H103" i="150"/>
  <c r="F100" i="150"/>
  <c r="H100" i="150"/>
  <c r="H201" i="150"/>
  <c r="G201" i="150"/>
  <c r="I201" i="150" s="1"/>
  <c r="H108" i="150"/>
  <c r="D109" i="150"/>
  <c r="J200" i="150"/>
  <c r="F99" i="150"/>
  <c r="H99" i="150"/>
  <c r="D155" i="150"/>
  <c r="B204" i="150"/>
  <c r="D202" i="150"/>
  <c r="E197" i="150"/>
  <c r="E199" i="150"/>
  <c r="F105" i="150"/>
  <c r="H105" i="150"/>
  <c r="F101" i="150"/>
  <c r="H101" i="150"/>
  <c r="B203" i="150"/>
  <c r="E198" i="150" s="1"/>
  <c r="D154" i="150"/>
  <c r="E154" i="150"/>
  <c r="F154" i="150" s="1"/>
  <c r="G154" i="150" s="1"/>
  <c r="F156" i="150"/>
  <c r="G155" i="150"/>
  <c r="K110" i="152" l="1"/>
  <c r="D130" i="152" s="1"/>
  <c r="H130" i="152" s="1"/>
  <c r="F256" i="152" s="1" a="1"/>
  <c r="F256" i="152" s="1"/>
  <c r="H154" i="150"/>
  <c r="J154" i="150" s="1"/>
  <c r="K154" i="150" s="1"/>
  <c r="D132" i="152"/>
  <c r="H132" i="152" s="1"/>
  <c r="F258" i="152" s="1" a="1"/>
  <c r="F258" i="152" s="1"/>
  <c r="D128" i="152"/>
  <c r="H128" i="152" s="1"/>
  <c r="F254" i="152" s="1" a="1"/>
  <c r="F254" i="152" s="1"/>
  <c r="D126" i="152"/>
  <c r="H126" i="152" s="1"/>
  <c r="F252" i="152" s="1" a="1"/>
  <c r="F252" i="152" s="1"/>
  <c r="D124" i="152"/>
  <c r="H124" i="152" s="1"/>
  <c r="F250" i="152" s="1" a="1"/>
  <c r="F250" i="152" s="1"/>
  <c r="D120" i="152"/>
  <c r="H120" i="152" s="1"/>
  <c r="F246" i="152" s="1" a="1"/>
  <c r="F246" i="152" s="1"/>
  <c r="D118" i="152"/>
  <c r="H118" i="152" s="1"/>
  <c r="F244" i="152" s="1" a="1"/>
  <c r="F244" i="152" s="1"/>
  <c r="D116" i="152"/>
  <c r="H116" i="152" s="1"/>
  <c r="F242" i="152" s="1" a="1"/>
  <c r="F242" i="152" s="1"/>
  <c r="D135" i="152"/>
  <c r="H135" i="152" s="1"/>
  <c r="F261" i="152" s="1" a="1"/>
  <c r="F261" i="152" s="1"/>
  <c r="D127" i="152"/>
  <c r="H127" i="152" s="1"/>
  <c r="F253" i="152" s="1" a="1"/>
  <c r="F253" i="152" s="1"/>
  <c r="D119" i="152"/>
  <c r="H119" i="152" s="1"/>
  <c r="F245" i="152" s="1" a="1"/>
  <c r="F245" i="152" s="1"/>
  <c r="D133" i="152"/>
  <c r="H133" i="152" s="1"/>
  <c r="F259" i="152" s="1" a="1"/>
  <c r="F259" i="152" s="1"/>
  <c r="D125" i="152"/>
  <c r="H125" i="152" s="1"/>
  <c r="F251" i="152" s="1" a="1"/>
  <c r="F251" i="152" s="1"/>
  <c r="D117" i="152"/>
  <c r="H117" i="152" s="1"/>
  <c r="F243" i="152" s="1" a="1"/>
  <c r="F243" i="152" s="1"/>
  <c r="D131" i="152"/>
  <c r="H131" i="152" s="1"/>
  <c r="F257" i="152" s="1" a="1"/>
  <c r="F257" i="152" s="1"/>
  <c r="D123" i="152"/>
  <c r="H123" i="152" s="1"/>
  <c r="F249" i="152" s="1" a="1"/>
  <c r="F249" i="152" s="1"/>
  <c r="D115" i="152"/>
  <c r="H115" i="152" s="1"/>
  <c r="F241" i="152" s="1" a="1"/>
  <c r="F241" i="152" s="1"/>
  <c r="D129" i="152"/>
  <c r="H129" i="152" s="1"/>
  <c r="F255" i="152" s="1" a="1"/>
  <c r="F255" i="152" s="1"/>
  <c r="D121" i="152"/>
  <c r="H121" i="152" s="1"/>
  <c r="F247" i="152" s="1" a="1"/>
  <c r="F247" i="152" s="1"/>
  <c r="K200" i="152"/>
  <c r="F200" i="152"/>
  <c r="H202" i="152"/>
  <c r="G202" i="152"/>
  <c r="I202" i="152" s="1"/>
  <c r="E204" i="152"/>
  <c r="D204" i="152"/>
  <c r="E197" i="152"/>
  <c r="E195" i="152"/>
  <c r="K196" i="152"/>
  <c r="F196" i="152"/>
  <c r="F202" i="152"/>
  <c r="G156" i="152"/>
  <c r="H155" i="152"/>
  <c r="J155" i="152" s="1"/>
  <c r="K198" i="152"/>
  <c r="F198" i="152"/>
  <c r="E203" i="152"/>
  <c r="D203" i="152"/>
  <c r="E201" i="152"/>
  <c r="E199" i="152"/>
  <c r="K198" i="150"/>
  <c r="F198" i="150"/>
  <c r="F199" i="150"/>
  <c r="K199" i="150"/>
  <c r="H202" i="150"/>
  <c r="G202" i="150"/>
  <c r="I202" i="150" s="1"/>
  <c r="H109" i="150"/>
  <c r="K197" i="150"/>
  <c r="F197" i="150"/>
  <c r="E202" i="150"/>
  <c r="F109" i="150"/>
  <c r="K110" i="150" s="1"/>
  <c r="D204" i="150"/>
  <c r="E204" i="150"/>
  <c r="E195" i="150"/>
  <c r="J201" i="150"/>
  <c r="G156" i="150"/>
  <c r="H155" i="150"/>
  <c r="J155" i="150" s="1"/>
  <c r="E203" i="150"/>
  <c r="D203" i="150"/>
  <c r="E201" i="150"/>
  <c r="E200" i="150"/>
  <c r="E196" i="150"/>
  <c r="D134" i="152" l="1"/>
  <c r="H134" i="152" s="1"/>
  <c r="F260" i="152" s="1" a="1"/>
  <c r="F260" i="152" s="1"/>
  <c r="D136" i="152"/>
  <c r="H136" i="152" s="1"/>
  <c r="F262" i="152" s="1" a="1"/>
  <c r="F262" i="152" s="1"/>
  <c r="D122" i="152"/>
  <c r="H122" i="152" s="1"/>
  <c r="F248" i="152" s="1" a="1"/>
  <c r="F248" i="152" s="1"/>
  <c r="H203" i="152"/>
  <c r="G203" i="152"/>
  <c r="I203" i="152" s="1"/>
  <c r="K155" i="152"/>
  <c r="K156" i="152" s="1"/>
  <c r="J157" i="152" s="1"/>
  <c r="J156" i="152"/>
  <c r="E157" i="152" s="1"/>
  <c r="H204" i="152"/>
  <c r="G204" i="152"/>
  <c r="I204" i="152" s="1"/>
  <c r="D205" i="152"/>
  <c r="F203" i="152"/>
  <c r="F204" i="152"/>
  <c r="F199" i="152"/>
  <c r="K199" i="152"/>
  <c r="E205" i="152"/>
  <c r="K195" i="152"/>
  <c r="F195" i="152"/>
  <c r="K201" i="152"/>
  <c r="F201" i="152"/>
  <c r="K197" i="152"/>
  <c r="F197" i="152"/>
  <c r="J202" i="152"/>
  <c r="K202" i="152" s="1"/>
  <c r="K201" i="150"/>
  <c r="F201" i="150"/>
  <c r="H204" i="150"/>
  <c r="G204" i="150"/>
  <c r="I204" i="150" s="1"/>
  <c r="D205" i="150"/>
  <c r="G110" i="150"/>
  <c r="H203" i="150"/>
  <c r="G203" i="150"/>
  <c r="I203" i="150" s="1"/>
  <c r="K196" i="150"/>
  <c r="F196" i="150"/>
  <c r="F203" i="150"/>
  <c r="E205" i="150"/>
  <c r="K195" i="150"/>
  <c r="F195" i="150"/>
  <c r="F202" i="150"/>
  <c r="K200" i="150"/>
  <c r="F200" i="150"/>
  <c r="K155" i="150"/>
  <c r="K156" i="150" s="1"/>
  <c r="J157" i="150" s="1"/>
  <c r="J156" i="150"/>
  <c r="F204" i="150"/>
  <c r="J202" i="150"/>
  <c r="K202" i="150" s="1"/>
  <c r="E157" i="150" l="1"/>
  <c r="G206" i="152"/>
  <c r="D183" i="152"/>
  <c r="H183" i="152" s="1"/>
  <c r="G262" i="152" s="1" a="1"/>
  <c r="G262" i="152" s="1"/>
  <c r="D181" i="152"/>
  <c r="H181" i="152" s="1"/>
  <c r="G260" i="152" s="1" a="1"/>
  <c r="G260" i="152" s="1"/>
  <c r="D179" i="152"/>
  <c r="H179" i="152" s="1"/>
  <c r="G258" i="152" s="1" a="1"/>
  <c r="G258" i="152" s="1"/>
  <c r="D177" i="152"/>
  <c r="H177" i="152" s="1"/>
  <c r="G256" i="152" s="1" a="1"/>
  <c r="G256" i="152" s="1"/>
  <c r="D175" i="152"/>
  <c r="H175" i="152" s="1"/>
  <c r="G254" i="152" s="1" a="1"/>
  <c r="G254" i="152" s="1"/>
  <c r="D173" i="152"/>
  <c r="H173" i="152" s="1"/>
  <c r="G252" i="152" s="1" a="1"/>
  <c r="G252" i="152" s="1"/>
  <c r="D171" i="152"/>
  <c r="H171" i="152" s="1"/>
  <c r="G250" i="152" s="1" a="1"/>
  <c r="G250" i="152" s="1"/>
  <c r="D169" i="152"/>
  <c r="H169" i="152" s="1"/>
  <c r="G248" i="152" s="1" a="1"/>
  <c r="G248" i="152" s="1"/>
  <c r="D167" i="152"/>
  <c r="H167" i="152" s="1"/>
  <c r="G246" i="152" s="1" a="1"/>
  <c r="G246" i="152" s="1"/>
  <c r="D165" i="152"/>
  <c r="H165" i="152" s="1"/>
  <c r="G244" i="152" s="1" a="1"/>
  <c r="G244" i="152" s="1"/>
  <c r="D163" i="152"/>
  <c r="H163" i="152" s="1"/>
  <c r="G242" i="152" s="1" a="1"/>
  <c r="G242" i="152" s="1"/>
  <c r="D182" i="152"/>
  <c r="H182" i="152" s="1"/>
  <c r="G261" i="152" s="1" a="1"/>
  <c r="G261" i="152" s="1"/>
  <c r="D180" i="152"/>
  <c r="H180" i="152" s="1"/>
  <c r="G259" i="152" s="1" a="1"/>
  <c r="G259" i="152" s="1"/>
  <c r="D178" i="152"/>
  <c r="H178" i="152" s="1"/>
  <c r="G257" i="152" s="1" a="1"/>
  <c r="G257" i="152" s="1"/>
  <c r="D176" i="152"/>
  <c r="H176" i="152" s="1"/>
  <c r="G255" i="152" s="1" a="1"/>
  <c r="G255" i="152" s="1"/>
  <c r="D174" i="152"/>
  <c r="H174" i="152" s="1"/>
  <c r="G253" i="152" s="1" a="1"/>
  <c r="G253" i="152" s="1"/>
  <c r="D172" i="152"/>
  <c r="H172" i="152" s="1"/>
  <c r="G251" i="152" s="1" a="1"/>
  <c r="G251" i="152" s="1"/>
  <c r="D170" i="152"/>
  <c r="H170" i="152" s="1"/>
  <c r="G249" i="152" s="1" a="1"/>
  <c r="G249" i="152" s="1"/>
  <c r="D168" i="152"/>
  <c r="H168" i="152" s="1"/>
  <c r="G247" i="152" s="1" a="1"/>
  <c r="G247" i="152" s="1"/>
  <c r="D166" i="152"/>
  <c r="H166" i="152" s="1"/>
  <c r="G245" i="152" s="1" a="1"/>
  <c r="G245" i="152" s="1"/>
  <c r="D164" i="152"/>
  <c r="H164" i="152" s="1"/>
  <c r="G243" i="152" s="1" a="1"/>
  <c r="G243" i="152" s="1"/>
  <c r="D162" i="152"/>
  <c r="H162" i="152" s="1"/>
  <c r="G241" i="152" s="1" a="1"/>
  <c r="G241" i="152" s="1"/>
  <c r="F205" i="152"/>
  <c r="J204" i="152"/>
  <c r="J203" i="152"/>
  <c r="K203" i="152" s="1"/>
  <c r="D183" i="150"/>
  <c r="H183" i="150" s="1"/>
  <c r="G262" i="150" s="1" a="1"/>
  <c r="G262" i="150" s="1"/>
  <c r="D181" i="150"/>
  <c r="H181" i="150" s="1"/>
  <c r="G260" i="150" s="1" a="1"/>
  <c r="G260" i="150" s="1"/>
  <c r="D179" i="150"/>
  <c r="H179" i="150" s="1"/>
  <c r="G258" i="150" s="1" a="1"/>
  <c r="G258" i="150" s="1"/>
  <c r="D177" i="150"/>
  <c r="H177" i="150" s="1"/>
  <c r="G256" i="150" s="1" a="1"/>
  <c r="G256" i="150" s="1"/>
  <c r="D175" i="150"/>
  <c r="H175" i="150" s="1"/>
  <c r="G254" i="150" s="1" a="1"/>
  <c r="G254" i="150" s="1"/>
  <c r="D173" i="150"/>
  <c r="H173" i="150" s="1"/>
  <c r="G252" i="150" s="1" a="1"/>
  <c r="G252" i="150" s="1"/>
  <c r="D171" i="150"/>
  <c r="H171" i="150" s="1"/>
  <c r="G250" i="150" s="1" a="1"/>
  <c r="G250" i="150" s="1"/>
  <c r="D169" i="150"/>
  <c r="H169" i="150" s="1"/>
  <c r="G248" i="150" s="1" a="1"/>
  <c r="G248" i="150" s="1"/>
  <c r="D167" i="150"/>
  <c r="H167" i="150" s="1"/>
  <c r="G246" i="150" s="1" a="1"/>
  <c r="G246" i="150" s="1"/>
  <c r="D165" i="150"/>
  <c r="H165" i="150" s="1"/>
  <c r="G244" i="150" s="1" a="1"/>
  <c r="G244" i="150" s="1"/>
  <c r="D163" i="150"/>
  <c r="H163" i="150" s="1"/>
  <c r="G242" i="150" s="1" a="1"/>
  <c r="G242" i="150" s="1"/>
  <c r="D182" i="150"/>
  <c r="H182" i="150" s="1"/>
  <c r="G261" i="150" s="1" a="1"/>
  <c r="G261" i="150" s="1"/>
  <c r="D180" i="150"/>
  <c r="H180" i="150" s="1"/>
  <c r="G259" i="150" s="1" a="1"/>
  <c r="G259" i="150" s="1"/>
  <c r="D178" i="150"/>
  <c r="H178" i="150" s="1"/>
  <c r="G257" i="150" s="1" a="1"/>
  <c r="G257" i="150" s="1"/>
  <c r="D176" i="150"/>
  <c r="H176" i="150" s="1"/>
  <c r="G255" i="150" s="1" a="1"/>
  <c r="G255" i="150" s="1"/>
  <c r="D174" i="150"/>
  <c r="H174" i="150" s="1"/>
  <c r="G253" i="150" s="1" a="1"/>
  <c r="G253" i="150" s="1"/>
  <c r="D172" i="150"/>
  <c r="H172" i="150" s="1"/>
  <c r="G251" i="150" s="1" a="1"/>
  <c r="G251" i="150" s="1"/>
  <c r="D170" i="150"/>
  <c r="H170" i="150" s="1"/>
  <c r="G249" i="150" s="1" a="1"/>
  <c r="G249" i="150" s="1"/>
  <c r="D168" i="150"/>
  <c r="H168" i="150" s="1"/>
  <c r="G247" i="150" s="1" a="1"/>
  <c r="G247" i="150" s="1"/>
  <c r="D166" i="150"/>
  <c r="H166" i="150" s="1"/>
  <c r="G245" i="150" s="1" a="1"/>
  <c r="G245" i="150" s="1"/>
  <c r="D164" i="150"/>
  <c r="H164" i="150" s="1"/>
  <c r="G243" i="150" s="1" a="1"/>
  <c r="G243" i="150" s="1"/>
  <c r="D162" i="150"/>
  <c r="H162" i="150" s="1"/>
  <c r="G241" i="150" s="1" a="1"/>
  <c r="G241" i="150" s="1"/>
  <c r="D136" i="150"/>
  <c r="H136" i="150" s="1"/>
  <c r="F262" i="150" s="1" a="1"/>
  <c r="F262" i="150" s="1"/>
  <c r="J262" i="150" s="1"/>
  <c r="D134" i="150"/>
  <c r="H134" i="150" s="1"/>
  <c r="F260" i="150" s="1" a="1"/>
  <c r="F260" i="150" s="1"/>
  <c r="J260" i="150" s="1"/>
  <c r="D132" i="150"/>
  <c r="H132" i="150" s="1"/>
  <c r="F258" i="150" s="1" a="1"/>
  <c r="F258" i="150" s="1"/>
  <c r="J258" i="150" s="1"/>
  <c r="D130" i="150"/>
  <c r="H130" i="150" s="1"/>
  <c r="F256" i="150" s="1" a="1"/>
  <c r="F256" i="150" s="1"/>
  <c r="J256" i="150" s="1"/>
  <c r="D128" i="150"/>
  <c r="H128" i="150" s="1"/>
  <c r="F254" i="150" s="1" a="1"/>
  <c r="F254" i="150" s="1"/>
  <c r="J254" i="150" s="1"/>
  <c r="D126" i="150"/>
  <c r="H126" i="150" s="1"/>
  <c r="F252" i="150" s="1" a="1"/>
  <c r="F252" i="150" s="1"/>
  <c r="J252" i="150" s="1"/>
  <c r="D124" i="150"/>
  <c r="H124" i="150" s="1"/>
  <c r="F250" i="150" s="1" a="1"/>
  <c r="F250" i="150" s="1"/>
  <c r="J250" i="150" s="1"/>
  <c r="D122" i="150"/>
  <c r="H122" i="150" s="1"/>
  <c r="F248" i="150" s="1" a="1"/>
  <c r="F248" i="150" s="1"/>
  <c r="J248" i="150" s="1"/>
  <c r="D120" i="150"/>
  <c r="H120" i="150" s="1"/>
  <c r="F246" i="150" s="1" a="1"/>
  <c r="F246" i="150" s="1"/>
  <c r="J246" i="150" s="1"/>
  <c r="D118" i="150"/>
  <c r="H118" i="150" s="1"/>
  <c r="F244" i="150" s="1" a="1"/>
  <c r="F244" i="150" s="1"/>
  <c r="J244" i="150" s="1"/>
  <c r="D116" i="150"/>
  <c r="H116" i="150" s="1"/>
  <c r="F242" i="150" s="1" a="1"/>
  <c r="F242" i="150" s="1"/>
  <c r="J242" i="150" s="1"/>
  <c r="D131" i="150"/>
  <c r="H131" i="150" s="1"/>
  <c r="F257" i="150" s="1" a="1"/>
  <c r="F257" i="150" s="1"/>
  <c r="J257" i="150" s="1"/>
  <c r="D123" i="150"/>
  <c r="H123" i="150" s="1"/>
  <c r="F249" i="150" s="1" a="1"/>
  <c r="F249" i="150" s="1"/>
  <c r="J249" i="150" s="1"/>
  <c r="D115" i="150"/>
  <c r="H115" i="150" s="1"/>
  <c r="F241" i="150" s="1" a="1"/>
  <c r="F241" i="150" s="1"/>
  <c r="J241" i="150" s="1"/>
  <c r="D129" i="150"/>
  <c r="H129" i="150" s="1"/>
  <c r="F255" i="150" s="1" a="1"/>
  <c r="F255" i="150" s="1"/>
  <c r="J255" i="150" s="1"/>
  <c r="D121" i="150"/>
  <c r="H121" i="150" s="1"/>
  <c r="F247" i="150" s="1" a="1"/>
  <c r="F247" i="150" s="1"/>
  <c r="J247" i="150" s="1"/>
  <c r="D135" i="150"/>
  <c r="H135" i="150" s="1"/>
  <c r="F261" i="150" s="1" a="1"/>
  <c r="F261" i="150" s="1"/>
  <c r="J261" i="150" s="1"/>
  <c r="D127" i="150"/>
  <c r="H127" i="150" s="1"/>
  <c r="F253" i="150" s="1" a="1"/>
  <c r="F253" i="150" s="1"/>
  <c r="J253" i="150" s="1"/>
  <c r="D119" i="150"/>
  <c r="H119" i="150" s="1"/>
  <c r="F245" i="150" s="1" a="1"/>
  <c r="F245" i="150" s="1"/>
  <c r="J245" i="150" s="1"/>
  <c r="D133" i="150"/>
  <c r="H133" i="150" s="1"/>
  <c r="F259" i="150" s="1" a="1"/>
  <c r="F259" i="150" s="1"/>
  <c r="J259" i="150" s="1"/>
  <c r="D125" i="150"/>
  <c r="H125" i="150" s="1"/>
  <c r="F251" i="150" s="1" a="1"/>
  <c r="F251" i="150" s="1"/>
  <c r="J251" i="150" s="1"/>
  <c r="D117" i="150"/>
  <c r="H117" i="150" s="1"/>
  <c r="F243" i="150" s="1" a="1"/>
  <c r="F243" i="150" s="1"/>
  <c r="J243" i="150" s="1"/>
  <c r="G206" i="150"/>
  <c r="F205" i="150"/>
  <c r="J203" i="150"/>
  <c r="K203" i="150" s="1"/>
  <c r="J204" i="150"/>
  <c r="J241" i="152" l="1"/>
  <c r="J249" i="152"/>
  <c r="J257" i="152"/>
  <c r="J244" i="152"/>
  <c r="J252" i="152"/>
  <c r="J260" i="152"/>
  <c r="J205" i="152"/>
  <c r="K204" i="152"/>
  <c r="K205" i="152" s="1"/>
  <c r="J243" i="152"/>
  <c r="J251" i="152"/>
  <c r="J259" i="152"/>
  <c r="J246" i="152"/>
  <c r="J254" i="152"/>
  <c r="J262" i="152"/>
  <c r="J245" i="152"/>
  <c r="J253" i="152"/>
  <c r="J261" i="152"/>
  <c r="J248" i="152"/>
  <c r="J256" i="152"/>
  <c r="J247" i="152"/>
  <c r="J255" i="152"/>
  <c r="J242" i="152"/>
  <c r="J250" i="152"/>
  <c r="J258" i="152"/>
  <c r="J205" i="150"/>
  <c r="K204" i="150"/>
  <c r="K205" i="150" s="1"/>
  <c r="K208" i="152" l="1"/>
  <c r="H207" i="152"/>
  <c r="K208" i="150"/>
  <c r="H207" i="150"/>
  <c r="D230" i="152" l="1"/>
  <c r="H230" i="152" s="1"/>
  <c r="H259" i="152" s="1" a="1"/>
  <c r="H259" i="152" s="1"/>
  <c r="I259" i="152" s="1"/>
  <c r="D228" i="152"/>
  <c r="H228" i="152" s="1"/>
  <c r="H257" i="152" s="1" a="1"/>
  <c r="H257" i="152" s="1"/>
  <c r="I257" i="152" s="1"/>
  <c r="D226" i="152"/>
  <c r="H226" i="152" s="1"/>
  <c r="H255" i="152" s="1" a="1"/>
  <c r="H255" i="152" s="1"/>
  <c r="I255" i="152" s="1"/>
  <c r="D224" i="152"/>
  <c r="H224" i="152" s="1"/>
  <c r="H253" i="152" s="1" a="1"/>
  <c r="H253" i="152" s="1"/>
  <c r="I253" i="152" s="1"/>
  <c r="D222" i="152"/>
  <c r="H222" i="152" s="1"/>
  <c r="H251" i="152" s="1" a="1"/>
  <c r="H251" i="152" s="1"/>
  <c r="I251" i="152" s="1"/>
  <c r="D220" i="152"/>
  <c r="H220" i="152" s="1"/>
  <c r="H249" i="152" s="1" a="1"/>
  <c r="H249" i="152" s="1"/>
  <c r="I249" i="152" s="1"/>
  <c r="D218" i="152"/>
  <c r="H218" i="152" s="1"/>
  <c r="H247" i="152" s="1" a="1"/>
  <c r="H247" i="152" s="1"/>
  <c r="I247" i="152" s="1"/>
  <c r="D216" i="152"/>
  <c r="H216" i="152" s="1"/>
  <c r="H245" i="152" s="1" a="1"/>
  <c r="H245" i="152" s="1"/>
  <c r="I245" i="152" s="1"/>
  <c r="D214" i="152"/>
  <c r="H214" i="152" s="1"/>
  <c r="H243" i="152" s="1" a="1"/>
  <c r="H243" i="152" s="1"/>
  <c r="I243" i="152" s="1"/>
  <c r="D212" i="152"/>
  <c r="H212" i="152" s="1"/>
  <c r="H241" i="152" s="1" a="1"/>
  <c r="H241" i="152" s="1"/>
  <c r="I241" i="152" s="1"/>
  <c r="D229" i="152"/>
  <c r="H229" i="152" s="1"/>
  <c r="H258" i="152" s="1" a="1"/>
  <c r="H258" i="152" s="1"/>
  <c r="I258" i="152" s="1"/>
  <c r="D217" i="152"/>
  <c r="H217" i="152" s="1"/>
  <c r="H246" i="152" s="1" a="1"/>
  <c r="H246" i="152" s="1"/>
  <c r="I246" i="152" s="1"/>
  <c r="D225" i="152"/>
  <c r="H225" i="152" s="1"/>
  <c r="H254" i="152" s="1" a="1"/>
  <c r="H254" i="152" s="1"/>
  <c r="I254" i="152" s="1"/>
  <c r="D231" i="152"/>
  <c r="H231" i="152" s="1"/>
  <c r="H260" i="152" s="1" a="1"/>
  <c r="H260" i="152" s="1"/>
  <c r="I260" i="152" s="1"/>
  <c r="D219" i="152"/>
  <c r="H219" i="152" s="1"/>
  <c r="H248" i="152" s="1" a="1"/>
  <c r="H248" i="152" s="1"/>
  <c r="I248" i="152" s="1"/>
  <c r="D213" i="152"/>
  <c r="H213" i="152" s="1"/>
  <c r="H242" i="152" s="1" a="1"/>
  <c r="H242" i="152" s="1"/>
  <c r="I242" i="152" s="1"/>
  <c r="D221" i="152"/>
  <c r="H221" i="152" s="1"/>
  <c r="H250" i="152" s="1" a="1"/>
  <c r="H250" i="152" s="1"/>
  <c r="I250" i="152" s="1"/>
  <c r="D227" i="152"/>
  <c r="H227" i="152" s="1"/>
  <c r="H256" i="152" s="1" a="1"/>
  <c r="H256" i="152" s="1"/>
  <c r="I256" i="152" s="1"/>
  <c r="D215" i="152"/>
  <c r="H215" i="152" s="1"/>
  <c r="H244" i="152" s="1" a="1"/>
  <c r="H244" i="152" s="1"/>
  <c r="I244" i="152" s="1"/>
  <c r="D223" i="152"/>
  <c r="H223" i="152" s="1"/>
  <c r="H252" i="152" s="1" a="1"/>
  <c r="H252" i="152" s="1"/>
  <c r="I252" i="152" s="1"/>
  <c r="D233" i="152"/>
  <c r="H233" i="152" s="1"/>
  <c r="H262" i="152" s="1" a="1"/>
  <c r="H262" i="152" s="1"/>
  <c r="I262" i="152" s="1"/>
  <c r="D232" i="152"/>
  <c r="H232" i="152" s="1"/>
  <c r="H261" i="152" s="1" a="1"/>
  <c r="H261" i="152" s="1"/>
  <c r="I261" i="152" s="1"/>
  <c r="D231" i="150"/>
  <c r="H231" i="150" s="1"/>
  <c r="H260" i="150" s="1" a="1"/>
  <c r="H260" i="150" s="1"/>
  <c r="I260" i="150" s="1"/>
  <c r="D226" i="150"/>
  <c r="H226" i="150" s="1"/>
  <c r="H255" i="150" s="1" a="1"/>
  <c r="H255" i="150" s="1"/>
  <c r="I255" i="150" s="1"/>
  <c r="D221" i="150"/>
  <c r="H221" i="150" s="1"/>
  <c r="H250" i="150" s="1" a="1"/>
  <c r="H250" i="150" s="1"/>
  <c r="I250" i="150" s="1"/>
  <c r="D213" i="150"/>
  <c r="H213" i="150" s="1"/>
  <c r="H242" i="150" s="1" a="1"/>
  <c r="H242" i="150" s="1"/>
  <c r="I242" i="150" s="1"/>
  <c r="D216" i="150"/>
  <c r="H216" i="150" s="1"/>
  <c r="H245" i="150" s="1" a="1"/>
  <c r="H245" i="150" s="1"/>
  <c r="I245" i="150" s="1"/>
  <c r="D233" i="150"/>
  <c r="H233" i="150" s="1"/>
  <c r="H262" i="150" s="1" a="1"/>
  <c r="H262" i="150" s="1"/>
  <c r="I262" i="150" s="1"/>
  <c r="D227" i="150"/>
  <c r="H227" i="150" s="1"/>
  <c r="H256" i="150" s="1" a="1"/>
  <c r="H256" i="150" s="1"/>
  <c r="I256" i="150" s="1"/>
  <c r="D224" i="150"/>
  <c r="H224" i="150" s="1"/>
  <c r="H253" i="150" s="1" a="1"/>
  <c r="H253" i="150" s="1"/>
  <c r="I253" i="150" s="1"/>
  <c r="D232" i="150"/>
  <c r="H232" i="150" s="1"/>
  <c r="H261" i="150" s="1" a="1"/>
  <c r="H261" i="150" s="1"/>
  <c r="I261" i="150" s="1"/>
  <c r="D219" i="150"/>
  <c r="H219" i="150" s="1"/>
  <c r="H248" i="150" s="1" a="1"/>
  <c r="H248" i="150" s="1"/>
  <c r="I248" i="150" s="1"/>
  <c r="D225" i="150"/>
  <c r="H225" i="150" s="1"/>
  <c r="H254" i="150" s="1" a="1"/>
  <c r="H254" i="150" s="1"/>
  <c r="I254" i="150" s="1"/>
  <c r="D212" i="150"/>
  <c r="H212" i="150" s="1"/>
  <c r="H241" i="150" s="1" a="1"/>
  <c r="H241" i="150" s="1"/>
  <c r="I241" i="150" s="1"/>
  <c r="D218" i="150"/>
  <c r="H218" i="150" s="1"/>
  <c r="H247" i="150" s="1" a="1"/>
  <c r="H247" i="150" s="1"/>
  <c r="I247" i="150" s="1"/>
  <c r="D230" i="150"/>
  <c r="H230" i="150" s="1"/>
  <c r="H259" i="150" s="1" a="1"/>
  <c r="H259" i="150" s="1"/>
  <c r="I259" i="150" s="1"/>
  <c r="D222" i="150"/>
  <c r="H222" i="150" s="1"/>
  <c r="H251" i="150" s="1" a="1"/>
  <c r="H251" i="150" s="1"/>
  <c r="I251" i="150" s="1"/>
  <c r="D217" i="150"/>
  <c r="H217" i="150" s="1"/>
  <c r="H246" i="150" s="1" a="1"/>
  <c r="H246" i="150" s="1"/>
  <c r="I246" i="150" s="1"/>
  <c r="D220" i="150"/>
  <c r="H220" i="150" s="1"/>
  <c r="H249" i="150" s="1" a="1"/>
  <c r="H249" i="150" s="1"/>
  <c r="I249" i="150" s="1"/>
  <c r="D228" i="150"/>
  <c r="H228" i="150" s="1"/>
  <c r="H257" i="150" s="1" a="1"/>
  <c r="H257" i="150" s="1"/>
  <c r="I257" i="150" s="1"/>
  <c r="D229" i="150"/>
  <c r="H229" i="150" s="1"/>
  <c r="H258" i="150" s="1" a="1"/>
  <c r="H258" i="150" s="1"/>
  <c r="I258" i="150" s="1"/>
  <c r="D215" i="150"/>
  <c r="H215" i="150" s="1"/>
  <c r="H244" i="150" s="1" a="1"/>
  <c r="H244" i="150" s="1"/>
  <c r="I244" i="150" s="1"/>
  <c r="D214" i="150"/>
  <c r="H214" i="150" s="1"/>
  <c r="H243" i="150" s="1" a="1"/>
  <c r="H243" i="150" s="1"/>
  <c r="I243" i="150" s="1"/>
  <c r="D223" i="150"/>
  <c r="H223" i="150" s="1"/>
  <c r="H252" i="150" s="1" a="1"/>
  <c r="H252" i="150" s="1"/>
  <c r="I252" i="150" s="1"/>
  <c r="D50" i="144" l="1"/>
  <c r="D50" i="145" l="1"/>
  <c r="E37" i="109" l="1"/>
  <c r="D50" i="111"/>
  <c r="C101" i="145"/>
  <c r="C100" i="145"/>
  <c r="C99" i="145"/>
  <c r="C98" i="145"/>
  <c r="C97" i="145"/>
  <c r="C96" i="145"/>
  <c r="C95" i="145"/>
  <c r="C94" i="145"/>
  <c r="C93" i="145"/>
  <c r="C92" i="145"/>
  <c r="C91" i="145"/>
  <c r="J102" i="145"/>
  <c r="J20" i="145" s="1"/>
  <c r="J10" i="145" s="1"/>
  <c r="I102" i="145"/>
  <c r="I20" i="145" s="1"/>
  <c r="I10" i="145" s="1"/>
  <c r="H102" i="145"/>
  <c r="H20" i="145" s="1"/>
  <c r="H10" i="145" s="1"/>
  <c r="G102" i="145"/>
  <c r="G20" i="145" s="1"/>
  <c r="G10" i="145" s="1"/>
  <c r="F102" i="145"/>
  <c r="F20" i="145" s="1"/>
  <c r="F10" i="145" s="1"/>
  <c r="E102" i="145"/>
  <c r="E20" i="145" s="1"/>
  <c r="E10" i="145" s="1"/>
  <c r="D102" i="145"/>
  <c r="D20" i="145" s="1"/>
  <c r="C90" i="145"/>
  <c r="C88" i="145"/>
  <c r="C87" i="145"/>
  <c r="C86" i="145"/>
  <c r="C85" i="145"/>
  <c r="C84" i="145"/>
  <c r="C83" i="145"/>
  <c r="C82" i="145"/>
  <c r="C81" i="145"/>
  <c r="C80" i="145"/>
  <c r="C79" i="145"/>
  <c r="C78" i="145"/>
  <c r="J89" i="145"/>
  <c r="J19" i="145" s="1"/>
  <c r="J9" i="145" s="1"/>
  <c r="I89" i="145"/>
  <c r="I19" i="145" s="1"/>
  <c r="I9" i="145" s="1"/>
  <c r="H89" i="145"/>
  <c r="H19" i="145" s="1"/>
  <c r="H9" i="145" s="1"/>
  <c r="G89" i="145"/>
  <c r="G19" i="145" s="1"/>
  <c r="G9" i="145" s="1"/>
  <c r="F89" i="145"/>
  <c r="F19" i="145" s="1"/>
  <c r="F9" i="145" s="1"/>
  <c r="E89" i="145"/>
  <c r="E19" i="145" s="1"/>
  <c r="E9" i="145" s="1"/>
  <c r="D89" i="145"/>
  <c r="D19" i="145" s="1"/>
  <c r="C77" i="145"/>
  <c r="C75" i="145"/>
  <c r="C74" i="145"/>
  <c r="C73" i="145"/>
  <c r="C72" i="145"/>
  <c r="C71" i="145"/>
  <c r="C70" i="145"/>
  <c r="C69" i="145"/>
  <c r="C68" i="145"/>
  <c r="C67" i="145"/>
  <c r="C66" i="145"/>
  <c r="C65" i="145"/>
  <c r="J76" i="145"/>
  <c r="J18" i="145" s="1"/>
  <c r="J8" i="145" s="1"/>
  <c r="I76" i="145"/>
  <c r="I18" i="145" s="1"/>
  <c r="I8" i="145" s="1"/>
  <c r="H76" i="145"/>
  <c r="H18" i="145" s="1"/>
  <c r="H8" i="145" s="1"/>
  <c r="G76" i="145"/>
  <c r="G18" i="145" s="1"/>
  <c r="G8" i="145" s="1"/>
  <c r="F76" i="145"/>
  <c r="F18" i="145" s="1"/>
  <c r="F8" i="145" s="1"/>
  <c r="E76" i="145"/>
  <c r="E18" i="145" s="1"/>
  <c r="E8" i="145" s="1"/>
  <c r="D76" i="145"/>
  <c r="D18" i="145" s="1"/>
  <c r="C64" i="145"/>
  <c r="C62" i="145"/>
  <c r="C61" i="145"/>
  <c r="C60" i="145"/>
  <c r="C59" i="145"/>
  <c r="C58" i="145"/>
  <c r="C57" i="145"/>
  <c r="C56" i="145"/>
  <c r="C55" i="145"/>
  <c r="C54" i="145"/>
  <c r="C53" i="145"/>
  <c r="C52" i="145"/>
  <c r="J63" i="145"/>
  <c r="J17" i="145" s="1"/>
  <c r="J7" i="145" s="1"/>
  <c r="I63" i="145"/>
  <c r="I17" i="145" s="1"/>
  <c r="I7" i="145" s="1"/>
  <c r="H63" i="145"/>
  <c r="H17" i="145" s="1"/>
  <c r="H7" i="145" s="1"/>
  <c r="G63" i="145"/>
  <c r="G17" i="145" s="1"/>
  <c r="G7" i="145" s="1"/>
  <c r="F63" i="145"/>
  <c r="F17" i="145" s="1"/>
  <c r="F7" i="145" s="1"/>
  <c r="E63" i="145"/>
  <c r="E17" i="145" s="1"/>
  <c r="E7" i="145" s="1"/>
  <c r="D63" i="145"/>
  <c r="D17" i="145" s="1"/>
  <c r="C51" i="145"/>
  <c r="G50" i="145"/>
  <c r="G16" i="145" s="1"/>
  <c r="G6" i="145" s="1"/>
  <c r="C49" i="145"/>
  <c r="C48" i="145"/>
  <c r="C47" i="145"/>
  <c r="C46" i="145"/>
  <c r="C45" i="145"/>
  <c r="C44" i="145"/>
  <c r="C43" i="145"/>
  <c r="C42" i="145"/>
  <c r="C41" i="145"/>
  <c r="C40" i="145"/>
  <c r="C39" i="145"/>
  <c r="J50" i="145"/>
  <c r="J16" i="145" s="1"/>
  <c r="J6" i="145" s="1"/>
  <c r="I50" i="145"/>
  <c r="I16" i="145" s="1"/>
  <c r="I6" i="145" s="1"/>
  <c r="H50" i="145"/>
  <c r="H16" i="145" s="1"/>
  <c r="H6" i="145" s="1"/>
  <c r="F50" i="145"/>
  <c r="F16" i="145" s="1"/>
  <c r="F6" i="145" s="1"/>
  <c r="E50" i="145"/>
  <c r="E16" i="145" s="1"/>
  <c r="E6" i="145" s="1"/>
  <c r="C38" i="145"/>
  <c r="C36" i="145"/>
  <c r="C35" i="145"/>
  <c r="C34" i="145"/>
  <c r="C33" i="145"/>
  <c r="C32" i="145"/>
  <c r="C31" i="145"/>
  <c r="C30" i="145"/>
  <c r="C29" i="145"/>
  <c r="C28" i="145"/>
  <c r="C27" i="145"/>
  <c r="C26" i="145"/>
  <c r="J37" i="145"/>
  <c r="J15" i="145" s="1"/>
  <c r="J5" i="145" s="1"/>
  <c r="I37" i="145"/>
  <c r="I15" i="145" s="1"/>
  <c r="I5" i="145" s="1"/>
  <c r="H37" i="145"/>
  <c r="H15" i="145" s="1"/>
  <c r="H5" i="145" s="1"/>
  <c r="G37" i="145"/>
  <c r="G15" i="145" s="1"/>
  <c r="G5" i="145" s="1"/>
  <c r="F37" i="145"/>
  <c r="F15" i="145" s="1"/>
  <c r="F5" i="145" s="1"/>
  <c r="E37" i="145"/>
  <c r="E15" i="145" s="1"/>
  <c r="E5" i="145" s="1"/>
  <c r="D37" i="145"/>
  <c r="D15" i="145" s="1"/>
  <c r="D16" i="145"/>
  <c r="D6" i="145" s="1"/>
  <c r="C101" i="144"/>
  <c r="C100" i="144"/>
  <c r="C99" i="144"/>
  <c r="C98" i="144"/>
  <c r="C97" i="144"/>
  <c r="C96" i="144"/>
  <c r="C95" i="144"/>
  <c r="C94" i="144"/>
  <c r="C93" i="144"/>
  <c r="C92" i="144"/>
  <c r="C91" i="144"/>
  <c r="J102" i="144"/>
  <c r="J20" i="144" s="1"/>
  <c r="J10" i="144" s="1"/>
  <c r="I102" i="144"/>
  <c r="I20" i="144" s="1"/>
  <c r="I10" i="144" s="1"/>
  <c r="H102" i="144"/>
  <c r="H20" i="144" s="1"/>
  <c r="H10" i="144" s="1"/>
  <c r="G102" i="144"/>
  <c r="G20" i="144" s="1"/>
  <c r="G10" i="144" s="1"/>
  <c r="F102" i="144"/>
  <c r="F20" i="144" s="1"/>
  <c r="F10" i="144" s="1"/>
  <c r="E102" i="144"/>
  <c r="E20" i="144" s="1"/>
  <c r="E10" i="144" s="1"/>
  <c r="D102" i="144"/>
  <c r="D20" i="144" s="1"/>
  <c r="C90" i="144"/>
  <c r="C88" i="144"/>
  <c r="C87" i="144"/>
  <c r="C86" i="144"/>
  <c r="C85" i="144"/>
  <c r="C84" i="144"/>
  <c r="C83" i="144"/>
  <c r="C82" i="144"/>
  <c r="C81" i="144"/>
  <c r="C80" i="144"/>
  <c r="C79" i="144"/>
  <c r="C78" i="144"/>
  <c r="J89" i="144"/>
  <c r="J19" i="144" s="1"/>
  <c r="J9" i="144" s="1"/>
  <c r="I89" i="144"/>
  <c r="I19" i="144" s="1"/>
  <c r="I9" i="144" s="1"/>
  <c r="H89" i="144"/>
  <c r="H19" i="144" s="1"/>
  <c r="H9" i="144" s="1"/>
  <c r="G89" i="144"/>
  <c r="G19" i="144" s="1"/>
  <c r="G9" i="144" s="1"/>
  <c r="F89" i="144"/>
  <c r="F19" i="144" s="1"/>
  <c r="F9" i="144" s="1"/>
  <c r="E89" i="144"/>
  <c r="E19" i="144" s="1"/>
  <c r="E9" i="144" s="1"/>
  <c r="D89" i="144"/>
  <c r="D19" i="144" s="1"/>
  <c r="C77" i="144"/>
  <c r="C75" i="144"/>
  <c r="C74" i="144"/>
  <c r="C73" i="144"/>
  <c r="C72" i="144"/>
  <c r="C71" i="144"/>
  <c r="C70" i="144"/>
  <c r="C69" i="144"/>
  <c r="C68" i="144"/>
  <c r="C67" i="144"/>
  <c r="C66" i="144"/>
  <c r="C65" i="144"/>
  <c r="J76" i="144"/>
  <c r="J18" i="144" s="1"/>
  <c r="J8" i="144" s="1"/>
  <c r="I76" i="144"/>
  <c r="I18" i="144" s="1"/>
  <c r="I8" i="144" s="1"/>
  <c r="H76" i="144"/>
  <c r="H18" i="144" s="1"/>
  <c r="H8" i="144" s="1"/>
  <c r="G76" i="144"/>
  <c r="G18" i="144" s="1"/>
  <c r="G8" i="144" s="1"/>
  <c r="F76" i="144"/>
  <c r="F18" i="144" s="1"/>
  <c r="F8" i="144" s="1"/>
  <c r="E76" i="144"/>
  <c r="E18" i="144" s="1"/>
  <c r="E8" i="144" s="1"/>
  <c r="D76" i="144"/>
  <c r="D18" i="144" s="1"/>
  <c r="C64" i="144"/>
  <c r="C62" i="144"/>
  <c r="C61" i="144"/>
  <c r="C60" i="144"/>
  <c r="C59" i="144"/>
  <c r="C58" i="144"/>
  <c r="C57" i="144"/>
  <c r="C56" i="144"/>
  <c r="C55" i="144"/>
  <c r="C54" i="144"/>
  <c r="C53" i="144"/>
  <c r="C52" i="144"/>
  <c r="J63" i="144"/>
  <c r="J17" i="144" s="1"/>
  <c r="J7" i="144" s="1"/>
  <c r="I63" i="144"/>
  <c r="I17" i="144" s="1"/>
  <c r="I7" i="144" s="1"/>
  <c r="H63" i="144"/>
  <c r="H17" i="144" s="1"/>
  <c r="H7" i="144" s="1"/>
  <c r="G63" i="144"/>
  <c r="G17" i="144" s="1"/>
  <c r="G7" i="144" s="1"/>
  <c r="F63" i="144"/>
  <c r="F17" i="144" s="1"/>
  <c r="F7" i="144" s="1"/>
  <c r="E63" i="144"/>
  <c r="E17" i="144" s="1"/>
  <c r="E7" i="144" s="1"/>
  <c r="D63" i="144"/>
  <c r="D17" i="144" s="1"/>
  <c r="C51" i="144"/>
  <c r="G50" i="144"/>
  <c r="G16" i="144" s="1"/>
  <c r="G6" i="144" s="1"/>
  <c r="C49" i="144"/>
  <c r="C48" i="144"/>
  <c r="C47" i="144"/>
  <c r="C46" i="144"/>
  <c r="C45" i="144"/>
  <c r="C44" i="144"/>
  <c r="C43" i="144"/>
  <c r="C42" i="144"/>
  <c r="C41" i="144"/>
  <c r="C40" i="144"/>
  <c r="C39" i="144"/>
  <c r="J50" i="144"/>
  <c r="J16" i="144" s="1"/>
  <c r="J6" i="144" s="1"/>
  <c r="I50" i="144"/>
  <c r="I16" i="144" s="1"/>
  <c r="I6" i="144" s="1"/>
  <c r="H50" i="144"/>
  <c r="H16" i="144" s="1"/>
  <c r="H6" i="144" s="1"/>
  <c r="F50" i="144"/>
  <c r="F16" i="144" s="1"/>
  <c r="F6" i="144" s="1"/>
  <c r="E50" i="144"/>
  <c r="E16" i="144" s="1"/>
  <c r="E6" i="144" s="1"/>
  <c r="C38" i="144"/>
  <c r="C36" i="144"/>
  <c r="C35" i="144"/>
  <c r="C34" i="144"/>
  <c r="C33" i="144"/>
  <c r="C32" i="144"/>
  <c r="C31" i="144"/>
  <c r="C30" i="144"/>
  <c r="C29" i="144"/>
  <c r="C28" i="144"/>
  <c r="C27" i="144"/>
  <c r="C26" i="144"/>
  <c r="J37" i="144"/>
  <c r="J15" i="144" s="1"/>
  <c r="J5" i="144" s="1"/>
  <c r="I37" i="144"/>
  <c r="I15" i="144" s="1"/>
  <c r="I5" i="144" s="1"/>
  <c r="H37" i="144"/>
  <c r="H15" i="144" s="1"/>
  <c r="H5" i="144" s="1"/>
  <c r="G37" i="144"/>
  <c r="G15" i="144" s="1"/>
  <c r="G5" i="144" s="1"/>
  <c r="F37" i="144"/>
  <c r="F15" i="144" s="1"/>
  <c r="F5" i="144" s="1"/>
  <c r="E37" i="144"/>
  <c r="E15" i="144" s="1"/>
  <c r="E5" i="144" s="1"/>
  <c r="D37" i="144"/>
  <c r="D15" i="144" s="1"/>
  <c r="D16" i="144"/>
  <c r="C63" i="145" l="1"/>
  <c r="C6" i="145"/>
  <c r="L6" i="145" s="1"/>
  <c r="C50" i="145"/>
  <c r="C89" i="145"/>
  <c r="C16" i="145"/>
  <c r="C102" i="145"/>
  <c r="C76" i="145"/>
  <c r="C89" i="144"/>
  <c r="C76" i="144"/>
  <c r="C102" i="144"/>
  <c r="C63" i="144"/>
  <c r="C50" i="144"/>
  <c r="C16" i="144"/>
  <c r="D6" i="144"/>
  <c r="C6" i="144" s="1"/>
  <c r="L6" i="144" s="1"/>
  <c r="D5" i="145"/>
  <c r="C15" i="145"/>
  <c r="D7" i="145"/>
  <c r="C17" i="145"/>
  <c r="D8" i="145"/>
  <c r="C18" i="145"/>
  <c r="D9" i="145"/>
  <c r="C19" i="145"/>
  <c r="D10" i="145"/>
  <c r="C20" i="145"/>
  <c r="C25" i="145"/>
  <c r="C37" i="145" s="1"/>
  <c r="M6" i="145"/>
  <c r="E13" i="113" s="1"/>
  <c r="D5" i="144"/>
  <c r="C15" i="144"/>
  <c r="D7" i="144"/>
  <c r="C17" i="144"/>
  <c r="D8" i="144"/>
  <c r="C18" i="144"/>
  <c r="D9" i="144"/>
  <c r="C19" i="144"/>
  <c r="D10" i="144"/>
  <c r="C20" i="144"/>
  <c r="C25" i="144"/>
  <c r="C37" i="144" s="1"/>
  <c r="G13" i="114"/>
  <c r="E13" i="114" s="1"/>
  <c r="G16" i="114"/>
  <c r="G12" i="114"/>
  <c r="G8" i="114"/>
  <c r="G5" i="114"/>
  <c r="M6" i="144" l="1"/>
  <c r="E5" i="113" s="1"/>
  <c r="M9" i="145"/>
  <c r="E16" i="113" s="1"/>
  <c r="C9" i="145"/>
  <c r="M7" i="145"/>
  <c r="E14" i="113" s="1"/>
  <c r="C7" i="145"/>
  <c r="C10" i="145"/>
  <c r="M10" i="145"/>
  <c r="E17" i="113" s="1"/>
  <c r="C8" i="145"/>
  <c r="M8" i="145"/>
  <c r="E15" i="113" s="1"/>
  <c r="M5" i="145"/>
  <c r="C5" i="145"/>
  <c r="O6" i="145"/>
  <c r="N6" i="145"/>
  <c r="R6" i="145"/>
  <c r="M9" i="144"/>
  <c r="E8" i="113" s="1"/>
  <c r="C9" i="144"/>
  <c r="M7" i="144"/>
  <c r="E6" i="113" s="1"/>
  <c r="C7" i="144"/>
  <c r="O6" i="144"/>
  <c r="N6" i="144"/>
  <c r="R6" i="144"/>
  <c r="C10" i="144"/>
  <c r="M10" i="144"/>
  <c r="E9" i="113" s="1"/>
  <c r="C8" i="144"/>
  <c r="M8" i="144"/>
  <c r="E7" i="113" s="1"/>
  <c r="M5" i="144"/>
  <c r="C5" i="144"/>
  <c r="D140" i="106"/>
  <c r="C10" i="84"/>
  <c r="E86" i="89"/>
  <c r="J147" i="105"/>
  <c r="H82" i="105"/>
  <c r="J147" i="85"/>
  <c r="H82" i="85"/>
  <c r="D16" i="85"/>
  <c r="D15" i="85"/>
  <c r="D14" i="85"/>
  <c r="D13" i="85"/>
  <c r="D12" i="85"/>
  <c r="D11" i="85"/>
  <c r="D10" i="85"/>
  <c r="D9" i="85"/>
  <c r="D8" i="85"/>
  <c r="D7" i="85"/>
  <c r="J147" i="107"/>
  <c r="H82" i="107"/>
  <c r="D16" i="107"/>
  <c r="D15" i="107"/>
  <c r="D14" i="107"/>
  <c r="D13" i="107"/>
  <c r="D12" i="107"/>
  <c r="D11" i="107"/>
  <c r="D10" i="107"/>
  <c r="D9" i="107"/>
  <c r="D8" i="107"/>
  <c r="H96" i="20"/>
  <c r="D7" i="107"/>
  <c r="J147" i="87"/>
  <c r="J148" i="87"/>
  <c r="H82" i="87"/>
  <c r="X39" i="141"/>
  <c r="T39" i="141"/>
  <c r="L39" i="141"/>
  <c r="H39" i="141"/>
  <c r="X38" i="141"/>
  <c r="T38" i="141"/>
  <c r="L38" i="141"/>
  <c r="H38" i="141"/>
  <c r="X37" i="141"/>
  <c r="T37" i="141"/>
  <c r="L37" i="141"/>
  <c r="J37" i="141"/>
  <c r="H37" i="141"/>
  <c r="L36" i="141"/>
  <c r="H36" i="141"/>
  <c r="L35" i="141"/>
  <c r="H35" i="141"/>
  <c r="L34" i="141"/>
  <c r="H34" i="141"/>
  <c r="N32" i="141"/>
  <c r="J32" i="141"/>
  <c r="L30" i="141"/>
  <c r="Z100" i="141"/>
  <c r="Y100" i="141"/>
  <c r="X100" i="141"/>
  <c r="W100" i="141"/>
  <c r="V100" i="141"/>
  <c r="U100" i="141"/>
  <c r="T100" i="141"/>
  <c r="S100" i="141"/>
  <c r="R100" i="141"/>
  <c r="N100" i="141"/>
  <c r="M100" i="141"/>
  <c r="L100" i="141"/>
  <c r="K100" i="141"/>
  <c r="J100" i="141"/>
  <c r="I100" i="141"/>
  <c r="H100" i="141"/>
  <c r="G100" i="141"/>
  <c r="F100" i="141"/>
  <c r="Z99" i="141"/>
  <c r="Y99" i="141"/>
  <c r="X99" i="141"/>
  <c r="W99" i="141"/>
  <c r="V99" i="141"/>
  <c r="U99" i="141"/>
  <c r="T99" i="141"/>
  <c r="S99" i="141"/>
  <c r="R99" i="141"/>
  <c r="N99" i="141"/>
  <c r="M99" i="141"/>
  <c r="L99" i="141"/>
  <c r="K99" i="141"/>
  <c r="J99" i="141"/>
  <c r="I99" i="141"/>
  <c r="H99" i="141"/>
  <c r="G99" i="141"/>
  <c r="F99" i="141"/>
  <c r="E99" i="141" s="1"/>
  <c r="D99" i="141" s="1"/>
  <c r="C99" i="141" s="1"/>
  <c r="Z98" i="141"/>
  <c r="Y98" i="141"/>
  <c r="X98" i="141"/>
  <c r="W98" i="141"/>
  <c r="V98" i="141"/>
  <c r="U98" i="141"/>
  <c r="T98" i="141"/>
  <c r="S98" i="141"/>
  <c r="R98" i="141"/>
  <c r="N98" i="141"/>
  <c r="M98" i="141"/>
  <c r="L98" i="141"/>
  <c r="K98" i="141"/>
  <c r="J98" i="141"/>
  <c r="I98" i="141"/>
  <c r="H98" i="141"/>
  <c r="G98" i="141"/>
  <c r="F98" i="141"/>
  <c r="Z97" i="141"/>
  <c r="Y97" i="141"/>
  <c r="X97" i="141"/>
  <c r="W97" i="141"/>
  <c r="V97" i="141"/>
  <c r="U97" i="141"/>
  <c r="T97" i="141"/>
  <c r="S97" i="141"/>
  <c r="R97" i="141"/>
  <c r="N97" i="141"/>
  <c r="M97" i="141"/>
  <c r="L97" i="141"/>
  <c r="K97" i="141"/>
  <c r="J97" i="141"/>
  <c r="I97" i="141"/>
  <c r="H97" i="141"/>
  <c r="G97" i="141"/>
  <c r="F97" i="141"/>
  <c r="Z96" i="141"/>
  <c r="Y96" i="141"/>
  <c r="X96" i="141"/>
  <c r="W96" i="141"/>
  <c r="V96" i="141"/>
  <c r="U96" i="141"/>
  <c r="T96" i="141"/>
  <c r="S96" i="141"/>
  <c r="R96" i="141"/>
  <c r="N96" i="141"/>
  <c r="M96" i="141"/>
  <c r="L96" i="141"/>
  <c r="K96" i="141"/>
  <c r="J96" i="141"/>
  <c r="I96" i="141"/>
  <c r="H96" i="141"/>
  <c r="G96" i="141"/>
  <c r="F96" i="141"/>
  <c r="Z95" i="141"/>
  <c r="Y95" i="141"/>
  <c r="X95" i="141"/>
  <c r="W95" i="141"/>
  <c r="V95" i="141"/>
  <c r="U95" i="141"/>
  <c r="T95" i="141"/>
  <c r="S95" i="141"/>
  <c r="R95" i="141"/>
  <c r="N95" i="141"/>
  <c r="M95" i="141"/>
  <c r="L95" i="141"/>
  <c r="K95" i="141"/>
  <c r="J95" i="141"/>
  <c r="I95" i="141"/>
  <c r="H95" i="141"/>
  <c r="G95" i="141"/>
  <c r="F95" i="141"/>
  <c r="Z94" i="141"/>
  <c r="Y94" i="141"/>
  <c r="X94" i="141"/>
  <c r="W94" i="141"/>
  <c r="V94" i="141"/>
  <c r="U94" i="141"/>
  <c r="T94" i="141"/>
  <c r="S94" i="141"/>
  <c r="R94" i="141"/>
  <c r="N94" i="141"/>
  <c r="M94" i="141"/>
  <c r="L94" i="141"/>
  <c r="K94" i="141"/>
  <c r="J94" i="141"/>
  <c r="I94" i="141"/>
  <c r="H94" i="141"/>
  <c r="G94" i="141"/>
  <c r="F94" i="141"/>
  <c r="Z93" i="141"/>
  <c r="Y93" i="141"/>
  <c r="X93" i="141"/>
  <c r="W93" i="141"/>
  <c r="V93" i="141"/>
  <c r="U93" i="141"/>
  <c r="T93" i="141"/>
  <c r="S93" i="141"/>
  <c r="R93" i="141"/>
  <c r="N93" i="141"/>
  <c r="M93" i="141"/>
  <c r="L93" i="141"/>
  <c r="K93" i="141"/>
  <c r="J93" i="141"/>
  <c r="I93" i="141"/>
  <c r="H93" i="141"/>
  <c r="G93" i="141"/>
  <c r="F93" i="141"/>
  <c r="Z92" i="141"/>
  <c r="Y92" i="141"/>
  <c r="X92" i="141"/>
  <c r="W92" i="141"/>
  <c r="V92" i="141"/>
  <c r="U92" i="141"/>
  <c r="T92" i="141"/>
  <c r="S92" i="141"/>
  <c r="R92" i="141"/>
  <c r="N92" i="141"/>
  <c r="M92" i="141"/>
  <c r="L92" i="141"/>
  <c r="K92" i="141"/>
  <c r="J92" i="141"/>
  <c r="I92" i="141"/>
  <c r="H92" i="141"/>
  <c r="G92" i="141"/>
  <c r="F92" i="141"/>
  <c r="Z91" i="141"/>
  <c r="Y91" i="141"/>
  <c r="X91" i="141"/>
  <c r="W91" i="141"/>
  <c r="V91" i="141"/>
  <c r="U91" i="141"/>
  <c r="T91" i="141"/>
  <c r="S91" i="141"/>
  <c r="R91" i="141"/>
  <c r="N91" i="141"/>
  <c r="M91" i="141"/>
  <c r="L91" i="141"/>
  <c r="K91" i="141"/>
  <c r="J91" i="141"/>
  <c r="I91" i="141"/>
  <c r="H91" i="141"/>
  <c r="G91" i="141"/>
  <c r="F91" i="141"/>
  <c r="Z90" i="141"/>
  <c r="Y90" i="141"/>
  <c r="Y89" i="141" s="1"/>
  <c r="Y20" i="141" s="1"/>
  <c r="H65" i="121" s="1"/>
  <c r="X90" i="141"/>
  <c r="W90" i="141"/>
  <c r="V90" i="141"/>
  <c r="U90" i="141"/>
  <c r="U89" i="141" s="1"/>
  <c r="U20" i="141" s="1"/>
  <c r="H37" i="121" s="1"/>
  <c r="T90" i="141"/>
  <c r="S90" i="141"/>
  <c r="R90" i="141"/>
  <c r="N90" i="141"/>
  <c r="M90" i="141"/>
  <c r="L90" i="141"/>
  <c r="K90" i="141"/>
  <c r="J90" i="141"/>
  <c r="I90" i="141"/>
  <c r="I89" i="141" s="1"/>
  <c r="I20" i="141" s="1"/>
  <c r="H90" i="141"/>
  <c r="G90" i="141"/>
  <c r="F90" i="141"/>
  <c r="Z89" i="141"/>
  <c r="Z20" i="141" s="1"/>
  <c r="M89" i="141"/>
  <c r="J89" i="141"/>
  <c r="Z88" i="141"/>
  <c r="Y88" i="141"/>
  <c r="X88" i="141"/>
  <c r="W88" i="141"/>
  <c r="V88" i="141"/>
  <c r="U88" i="141"/>
  <c r="T88" i="141"/>
  <c r="S88" i="141"/>
  <c r="R88" i="141"/>
  <c r="N88" i="141"/>
  <c r="M88" i="141"/>
  <c r="L88" i="141"/>
  <c r="K88" i="141"/>
  <c r="J88" i="141"/>
  <c r="I88" i="141"/>
  <c r="H88" i="141"/>
  <c r="G88" i="141"/>
  <c r="F88" i="141"/>
  <c r="Z87" i="141"/>
  <c r="Y87" i="141"/>
  <c r="X87" i="141"/>
  <c r="W87" i="141"/>
  <c r="V87" i="141"/>
  <c r="U87" i="141"/>
  <c r="T87" i="141"/>
  <c r="S87" i="141"/>
  <c r="R87" i="141"/>
  <c r="N87" i="141"/>
  <c r="M87" i="141"/>
  <c r="L87" i="141"/>
  <c r="K87" i="141"/>
  <c r="J87" i="141"/>
  <c r="I87" i="141"/>
  <c r="H87" i="141"/>
  <c r="G87" i="141"/>
  <c r="F87" i="141"/>
  <c r="Z86" i="141"/>
  <c r="Y86" i="141"/>
  <c r="X86" i="141"/>
  <c r="W86" i="141"/>
  <c r="V86" i="141"/>
  <c r="U86" i="141"/>
  <c r="T86" i="141"/>
  <c r="S86" i="141"/>
  <c r="R86" i="141"/>
  <c r="N86" i="141"/>
  <c r="M86" i="141"/>
  <c r="L86" i="141"/>
  <c r="K86" i="141"/>
  <c r="J86" i="141"/>
  <c r="I86" i="141"/>
  <c r="H86" i="141"/>
  <c r="G86" i="141"/>
  <c r="F86" i="141"/>
  <c r="Z85" i="141"/>
  <c r="Y85" i="141"/>
  <c r="X85" i="141"/>
  <c r="W85" i="141"/>
  <c r="V85" i="141"/>
  <c r="U85" i="141"/>
  <c r="T85" i="141"/>
  <c r="S85" i="141"/>
  <c r="R85" i="141"/>
  <c r="N85" i="141"/>
  <c r="M85" i="141"/>
  <c r="L85" i="141"/>
  <c r="K85" i="141"/>
  <c r="J85" i="141"/>
  <c r="I85" i="141"/>
  <c r="H85" i="141"/>
  <c r="G85" i="141"/>
  <c r="F85" i="141"/>
  <c r="Z84" i="141"/>
  <c r="Y84" i="141"/>
  <c r="X84" i="141"/>
  <c r="W84" i="141"/>
  <c r="V84" i="141"/>
  <c r="U84" i="141"/>
  <c r="T84" i="141"/>
  <c r="S84" i="141"/>
  <c r="R84" i="141"/>
  <c r="N84" i="141"/>
  <c r="M84" i="141"/>
  <c r="L84" i="141"/>
  <c r="K84" i="141"/>
  <c r="J84" i="141"/>
  <c r="I84" i="141"/>
  <c r="H84" i="141"/>
  <c r="G84" i="141"/>
  <c r="F84" i="141"/>
  <c r="E84" i="141" s="1"/>
  <c r="D84" i="141" s="1"/>
  <c r="C84" i="141" s="1"/>
  <c r="Z83" i="141"/>
  <c r="Y83" i="141"/>
  <c r="X83" i="141"/>
  <c r="W83" i="141"/>
  <c r="V83" i="141"/>
  <c r="U83" i="141"/>
  <c r="T83" i="141"/>
  <c r="S83" i="141"/>
  <c r="R83" i="141"/>
  <c r="N83" i="141"/>
  <c r="M83" i="141"/>
  <c r="L83" i="141"/>
  <c r="K83" i="141"/>
  <c r="J83" i="141"/>
  <c r="I83" i="141"/>
  <c r="H83" i="141"/>
  <c r="G83" i="141"/>
  <c r="F83" i="141"/>
  <c r="Z82" i="141"/>
  <c r="Y82" i="141"/>
  <c r="X82" i="141"/>
  <c r="W82" i="141"/>
  <c r="V82" i="141"/>
  <c r="U82" i="141"/>
  <c r="T82" i="141"/>
  <c r="S82" i="141"/>
  <c r="R82" i="141"/>
  <c r="N82" i="141"/>
  <c r="M82" i="141"/>
  <c r="L82" i="141"/>
  <c r="K82" i="141"/>
  <c r="J82" i="141"/>
  <c r="I82" i="141"/>
  <c r="H82" i="141"/>
  <c r="G82" i="141"/>
  <c r="F82" i="141"/>
  <c r="Z81" i="141"/>
  <c r="Y81" i="141"/>
  <c r="X81" i="141"/>
  <c r="W81" i="141"/>
  <c r="V81" i="141"/>
  <c r="U81" i="141"/>
  <c r="T81" i="141"/>
  <c r="S81" i="141"/>
  <c r="R81" i="141"/>
  <c r="N81" i="141"/>
  <c r="M81" i="141"/>
  <c r="L81" i="141"/>
  <c r="K81" i="141"/>
  <c r="J81" i="141"/>
  <c r="I81" i="141"/>
  <c r="H81" i="141"/>
  <c r="G81" i="141"/>
  <c r="F81" i="141"/>
  <c r="Z80" i="141"/>
  <c r="Y80" i="141"/>
  <c r="X80" i="141"/>
  <c r="W80" i="141"/>
  <c r="V80" i="141"/>
  <c r="U80" i="141"/>
  <c r="T80" i="141"/>
  <c r="S80" i="141"/>
  <c r="R80" i="141"/>
  <c r="N80" i="141"/>
  <c r="M80" i="141"/>
  <c r="L80" i="141"/>
  <c r="K80" i="141"/>
  <c r="J80" i="141"/>
  <c r="I80" i="141"/>
  <c r="H80" i="141"/>
  <c r="G80" i="141"/>
  <c r="F80" i="141"/>
  <c r="E80" i="141" s="1"/>
  <c r="D80" i="141" s="1"/>
  <c r="C80" i="141" s="1"/>
  <c r="Z79" i="141"/>
  <c r="Y79" i="141"/>
  <c r="Y77" i="141" s="1"/>
  <c r="Y17" i="141" s="1"/>
  <c r="H64" i="121" s="1"/>
  <c r="X79" i="141"/>
  <c r="W79" i="141"/>
  <c r="V79" i="141"/>
  <c r="U79" i="141"/>
  <c r="T79" i="141"/>
  <c r="S79" i="141"/>
  <c r="R79" i="141"/>
  <c r="N79" i="141"/>
  <c r="M79" i="141"/>
  <c r="L79" i="141"/>
  <c r="K79" i="141"/>
  <c r="J79" i="141"/>
  <c r="I79" i="141"/>
  <c r="I77" i="141" s="1"/>
  <c r="I17" i="141" s="1"/>
  <c r="H79" i="141"/>
  <c r="G79" i="141"/>
  <c r="F79" i="141"/>
  <c r="Z78" i="141"/>
  <c r="Y78" i="141"/>
  <c r="X78" i="141"/>
  <c r="W78" i="141"/>
  <c r="V78" i="141"/>
  <c r="V77" i="141" s="1"/>
  <c r="V17" i="141" s="1"/>
  <c r="U78" i="141"/>
  <c r="T78" i="141"/>
  <c r="S78" i="141"/>
  <c r="R78" i="141"/>
  <c r="N78" i="141"/>
  <c r="M78" i="141"/>
  <c r="M77" i="141" s="1"/>
  <c r="M17" i="141" s="1"/>
  <c r="L78" i="141"/>
  <c r="K78" i="141"/>
  <c r="J78" i="141"/>
  <c r="I78" i="141"/>
  <c r="H78" i="141"/>
  <c r="G78" i="141"/>
  <c r="F78" i="141"/>
  <c r="U77" i="141"/>
  <c r="H77" i="141"/>
  <c r="H17" i="141" s="1"/>
  <c r="Z76" i="141"/>
  <c r="Y76" i="141"/>
  <c r="X76" i="141"/>
  <c r="W76" i="141"/>
  <c r="V76" i="141"/>
  <c r="U76" i="141"/>
  <c r="T76" i="141"/>
  <c r="S76" i="141"/>
  <c r="R76" i="141"/>
  <c r="N76" i="141"/>
  <c r="M76" i="141"/>
  <c r="L76" i="141"/>
  <c r="K76" i="141"/>
  <c r="J76" i="141"/>
  <c r="I76" i="141"/>
  <c r="H76" i="141"/>
  <c r="G76" i="141"/>
  <c r="F76" i="141"/>
  <c r="Z75" i="141"/>
  <c r="Y75" i="141"/>
  <c r="X75" i="141"/>
  <c r="W75" i="141"/>
  <c r="V75" i="141"/>
  <c r="U75" i="141"/>
  <c r="T75" i="141"/>
  <c r="S75" i="141"/>
  <c r="R75" i="141"/>
  <c r="N75" i="141"/>
  <c r="M75" i="141"/>
  <c r="L75" i="141"/>
  <c r="K75" i="141"/>
  <c r="J75" i="141"/>
  <c r="I75" i="141"/>
  <c r="H75" i="141"/>
  <c r="G75" i="141"/>
  <c r="F75" i="141"/>
  <c r="Z74" i="141"/>
  <c r="Y74" i="141"/>
  <c r="X74" i="141"/>
  <c r="W74" i="141"/>
  <c r="V74" i="141"/>
  <c r="U74" i="141"/>
  <c r="T74" i="141"/>
  <c r="S74" i="141"/>
  <c r="R74" i="141"/>
  <c r="N74" i="141"/>
  <c r="M74" i="141"/>
  <c r="L74" i="141"/>
  <c r="K74" i="141"/>
  <c r="J74" i="141"/>
  <c r="I74" i="141"/>
  <c r="H74" i="141"/>
  <c r="G74" i="141"/>
  <c r="F74" i="141"/>
  <c r="Z73" i="141"/>
  <c r="Y73" i="141"/>
  <c r="X73" i="141"/>
  <c r="W73" i="141"/>
  <c r="V73" i="141"/>
  <c r="U73" i="141"/>
  <c r="T73" i="141"/>
  <c r="S73" i="141"/>
  <c r="R73" i="141"/>
  <c r="N73" i="141"/>
  <c r="M73" i="141"/>
  <c r="L73" i="141"/>
  <c r="K73" i="141"/>
  <c r="J73" i="141"/>
  <c r="I73" i="141"/>
  <c r="H73" i="141"/>
  <c r="G73" i="141"/>
  <c r="F73" i="141"/>
  <c r="Z72" i="141"/>
  <c r="Y72" i="141"/>
  <c r="X72" i="141"/>
  <c r="W72" i="141"/>
  <c r="V72" i="141"/>
  <c r="U72" i="141"/>
  <c r="T72" i="141"/>
  <c r="S72" i="141"/>
  <c r="R72" i="141"/>
  <c r="N72" i="141"/>
  <c r="M72" i="141"/>
  <c r="L72" i="141"/>
  <c r="K72" i="141"/>
  <c r="J72" i="141"/>
  <c r="I72" i="141"/>
  <c r="H72" i="141"/>
  <c r="G72" i="141"/>
  <c r="F72" i="141"/>
  <c r="Z71" i="141"/>
  <c r="Y71" i="141"/>
  <c r="X71" i="141"/>
  <c r="W71" i="141"/>
  <c r="V71" i="141"/>
  <c r="U71" i="141"/>
  <c r="T71" i="141"/>
  <c r="S71" i="141"/>
  <c r="R71" i="141"/>
  <c r="N71" i="141"/>
  <c r="M71" i="141"/>
  <c r="L71" i="141"/>
  <c r="K71" i="141"/>
  <c r="J71" i="141"/>
  <c r="I71" i="141"/>
  <c r="H71" i="141"/>
  <c r="G71" i="141"/>
  <c r="F71" i="141"/>
  <c r="Z70" i="141"/>
  <c r="Y70" i="141"/>
  <c r="X70" i="141"/>
  <c r="W70" i="141"/>
  <c r="V70" i="141"/>
  <c r="U70" i="141"/>
  <c r="T70" i="141"/>
  <c r="S70" i="141"/>
  <c r="R70" i="141"/>
  <c r="N70" i="141"/>
  <c r="M70" i="141"/>
  <c r="L70" i="141"/>
  <c r="K70" i="141"/>
  <c r="J70" i="141"/>
  <c r="I70" i="141"/>
  <c r="H70" i="141"/>
  <c r="G70" i="141"/>
  <c r="F70" i="141"/>
  <c r="Z69" i="141"/>
  <c r="Y69" i="141"/>
  <c r="X69" i="141"/>
  <c r="W69" i="141"/>
  <c r="V69" i="141"/>
  <c r="U69" i="141"/>
  <c r="T69" i="141"/>
  <c r="S69" i="141"/>
  <c r="R69" i="141"/>
  <c r="N69" i="141"/>
  <c r="M69" i="141"/>
  <c r="L69" i="141"/>
  <c r="K69" i="141"/>
  <c r="J69" i="141"/>
  <c r="I69" i="141"/>
  <c r="H69" i="141"/>
  <c r="G69" i="141"/>
  <c r="F69" i="141"/>
  <c r="Z68" i="141"/>
  <c r="Y68" i="141"/>
  <c r="X68" i="141"/>
  <c r="W68" i="141"/>
  <c r="V68" i="141"/>
  <c r="U68" i="141"/>
  <c r="T68" i="141"/>
  <c r="S68" i="141"/>
  <c r="R68" i="141"/>
  <c r="N68" i="141"/>
  <c r="M68" i="141"/>
  <c r="L68" i="141"/>
  <c r="K68" i="141"/>
  <c r="J68" i="141"/>
  <c r="I68" i="141"/>
  <c r="I16" i="141" s="1"/>
  <c r="H68" i="141"/>
  <c r="G68" i="141"/>
  <c r="F68" i="141"/>
  <c r="Z67" i="141"/>
  <c r="Y67" i="141"/>
  <c r="X67" i="141"/>
  <c r="W67" i="141"/>
  <c r="V67" i="141"/>
  <c r="V16" i="141" s="1"/>
  <c r="U67" i="141"/>
  <c r="T67" i="141"/>
  <c r="S67" i="141"/>
  <c r="R67" i="141"/>
  <c r="N67" i="141"/>
  <c r="M67" i="141"/>
  <c r="L67" i="141"/>
  <c r="K67" i="141"/>
  <c r="J67" i="141"/>
  <c r="J65" i="141" s="1"/>
  <c r="J14" i="141" s="1"/>
  <c r="I67" i="141"/>
  <c r="H67" i="141"/>
  <c r="G67" i="141"/>
  <c r="F67" i="141"/>
  <c r="Z66" i="141"/>
  <c r="Y66" i="141"/>
  <c r="X66" i="141"/>
  <c r="W66" i="141"/>
  <c r="W15" i="141" s="1"/>
  <c r="V66" i="141"/>
  <c r="U66" i="141"/>
  <c r="U65" i="141" s="1"/>
  <c r="U14" i="141" s="1"/>
  <c r="T66" i="141"/>
  <c r="S66" i="141"/>
  <c r="S15" i="141" s="1"/>
  <c r="R66" i="141"/>
  <c r="N66" i="141"/>
  <c r="M66" i="141"/>
  <c r="M65" i="141" s="1"/>
  <c r="M14" i="141" s="1"/>
  <c r="L66" i="141"/>
  <c r="K66" i="141"/>
  <c r="J66" i="141"/>
  <c r="I66" i="141"/>
  <c r="H66" i="141"/>
  <c r="G66" i="141"/>
  <c r="F66" i="141"/>
  <c r="Z65" i="141"/>
  <c r="Y65" i="141"/>
  <c r="I65" i="141"/>
  <c r="Z64" i="141"/>
  <c r="Y64" i="141"/>
  <c r="X64" i="141"/>
  <c r="W64" i="141"/>
  <c r="V64" i="141"/>
  <c r="U64" i="141"/>
  <c r="T64" i="141"/>
  <c r="S64" i="141"/>
  <c r="R64" i="141"/>
  <c r="N64" i="141"/>
  <c r="M64" i="141"/>
  <c r="L64" i="141"/>
  <c r="K64" i="141"/>
  <c r="J64" i="141"/>
  <c r="I64" i="141"/>
  <c r="H64" i="141"/>
  <c r="G64" i="141"/>
  <c r="F64" i="141"/>
  <c r="Z63" i="141"/>
  <c r="Y63" i="141"/>
  <c r="X63" i="141"/>
  <c r="W63" i="141"/>
  <c r="V63" i="141"/>
  <c r="U63" i="141"/>
  <c r="T63" i="141"/>
  <c r="S63" i="141"/>
  <c r="R63" i="141"/>
  <c r="N63" i="141"/>
  <c r="M63" i="141"/>
  <c r="L63" i="141"/>
  <c r="K63" i="141"/>
  <c r="J63" i="141"/>
  <c r="I63" i="141"/>
  <c r="H63" i="141"/>
  <c r="G63" i="141"/>
  <c r="F63" i="141"/>
  <c r="Z62" i="141"/>
  <c r="Y62" i="141"/>
  <c r="X62" i="141"/>
  <c r="W62" i="141"/>
  <c r="V62" i="141"/>
  <c r="U62" i="141"/>
  <c r="T62" i="141"/>
  <c r="S62" i="141"/>
  <c r="R62" i="141"/>
  <c r="N62" i="141"/>
  <c r="M62" i="141"/>
  <c r="L62" i="141"/>
  <c r="K62" i="141"/>
  <c r="J62" i="141"/>
  <c r="I62" i="141"/>
  <c r="H62" i="141"/>
  <c r="G62" i="141"/>
  <c r="F62" i="141"/>
  <c r="Z61" i="141"/>
  <c r="Y61" i="141"/>
  <c r="X61" i="141"/>
  <c r="W61" i="141"/>
  <c r="V61" i="141"/>
  <c r="U61" i="141"/>
  <c r="T61" i="141"/>
  <c r="S61" i="141"/>
  <c r="R61" i="141"/>
  <c r="N61" i="141"/>
  <c r="M61" i="141"/>
  <c r="L61" i="141"/>
  <c r="K61" i="141"/>
  <c r="J61" i="141"/>
  <c r="I61" i="141"/>
  <c r="H61" i="141"/>
  <c r="G61" i="141"/>
  <c r="F61" i="141"/>
  <c r="Z60" i="141"/>
  <c r="Y60" i="141"/>
  <c r="X60" i="141"/>
  <c r="W60" i="141"/>
  <c r="V60" i="141"/>
  <c r="U60" i="141"/>
  <c r="T60" i="141"/>
  <c r="S60" i="141"/>
  <c r="R60" i="141"/>
  <c r="N60" i="141"/>
  <c r="M60" i="141"/>
  <c r="L60" i="141"/>
  <c r="K60" i="141"/>
  <c r="J60" i="141"/>
  <c r="I60" i="141"/>
  <c r="H60" i="141"/>
  <c r="G60" i="141"/>
  <c r="F60" i="141"/>
  <c r="Z59" i="141"/>
  <c r="Y59" i="141"/>
  <c r="X59" i="141"/>
  <c r="W59" i="141"/>
  <c r="V59" i="141"/>
  <c r="U59" i="141"/>
  <c r="T59" i="141"/>
  <c r="S59" i="141"/>
  <c r="R59" i="141"/>
  <c r="N59" i="141"/>
  <c r="M59" i="141"/>
  <c r="L59" i="141"/>
  <c r="K59" i="141"/>
  <c r="J59" i="141"/>
  <c r="I59" i="141"/>
  <c r="H59" i="141"/>
  <c r="G59" i="141"/>
  <c r="F59" i="141"/>
  <c r="Z58" i="141"/>
  <c r="Y58" i="141"/>
  <c r="X58" i="141"/>
  <c r="W58" i="141"/>
  <c r="V58" i="141"/>
  <c r="U58" i="141"/>
  <c r="T58" i="141"/>
  <c r="S58" i="141"/>
  <c r="R58" i="141"/>
  <c r="N58" i="141"/>
  <c r="M58" i="141"/>
  <c r="L58" i="141"/>
  <c r="K58" i="141"/>
  <c r="J58" i="141"/>
  <c r="I58" i="141"/>
  <c r="H58" i="141"/>
  <c r="G58" i="141"/>
  <c r="F58" i="141"/>
  <c r="Z57" i="141"/>
  <c r="Y57" i="141"/>
  <c r="X57" i="141"/>
  <c r="W57" i="141"/>
  <c r="V57" i="141"/>
  <c r="U57" i="141"/>
  <c r="T57" i="141"/>
  <c r="S57" i="141"/>
  <c r="R57" i="141"/>
  <c r="N57" i="141"/>
  <c r="M57" i="141"/>
  <c r="L57" i="141"/>
  <c r="K57" i="141"/>
  <c r="J57" i="141"/>
  <c r="I57" i="141"/>
  <c r="H57" i="141"/>
  <c r="G57" i="141"/>
  <c r="F57" i="141"/>
  <c r="Z56" i="141"/>
  <c r="Y56" i="141"/>
  <c r="Y13" i="141" s="1"/>
  <c r="X56" i="141"/>
  <c r="W56" i="141"/>
  <c r="V56" i="141"/>
  <c r="U56" i="141"/>
  <c r="T56" i="141"/>
  <c r="S56" i="141"/>
  <c r="R56" i="141"/>
  <c r="N56" i="141"/>
  <c r="M56" i="141"/>
  <c r="L56" i="141"/>
  <c r="K56" i="141"/>
  <c r="J56" i="141"/>
  <c r="I56" i="141"/>
  <c r="H56" i="141"/>
  <c r="G56" i="141"/>
  <c r="F56" i="141"/>
  <c r="F13" i="141" s="1"/>
  <c r="Z55" i="141"/>
  <c r="Y55" i="141"/>
  <c r="X55" i="141"/>
  <c r="W55" i="141"/>
  <c r="V55" i="141"/>
  <c r="U55" i="141"/>
  <c r="T55" i="141"/>
  <c r="S55" i="141"/>
  <c r="S13" i="141" s="1"/>
  <c r="R55" i="141"/>
  <c r="N55" i="141"/>
  <c r="M55" i="141"/>
  <c r="L55" i="141"/>
  <c r="L13" i="141" s="1"/>
  <c r="K55" i="141"/>
  <c r="J55" i="141"/>
  <c r="I55" i="141"/>
  <c r="H55" i="141"/>
  <c r="H53" i="141" s="1"/>
  <c r="G55" i="141"/>
  <c r="F55" i="141"/>
  <c r="Z54" i="141"/>
  <c r="Y54" i="141"/>
  <c r="X54" i="141"/>
  <c r="W54" i="141"/>
  <c r="V54" i="141"/>
  <c r="V53" i="141" s="1"/>
  <c r="V11" i="141" s="1"/>
  <c r="H41" i="121" s="1"/>
  <c r="U54" i="141"/>
  <c r="U53" i="141" s="1"/>
  <c r="U11" i="141" s="1"/>
  <c r="H34" i="121" s="1"/>
  <c r="T54" i="141"/>
  <c r="S54" i="141"/>
  <c r="R54" i="141"/>
  <c r="N54" i="141"/>
  <c r="N12" i="141" s="1"/>
  <c r="M54" i="141"/>
  <c r="L54" i="141"/>
  <c r="K54" i="141"/>
  <c r="J54" i="141"/>
  <c r="J12" i="141" s="1"/>
  <c r="I54" i="141"/>
  <c r="I53" i="141" s="1"/>
  <c r="I11" i="141" s="1"/>
  <c r="I34" i="121" s="1"/>
  <c r="H54" i="141"/>
  <c r="G54" i="141"/>
  <c r="F54" i="141"/>
  <c r="F12" i="141" s="1"/>
  <c r="Y53" i="141"/>
  <c r="N53" i="141"/>
  <c r="N11" i="141" s="1"/>
  <c r="M53" i="141"/>
  <c r="Z52" i="141"/>
  <c r="Y52" i="141"/>
  <c r="X52" i="141"/>
  <c r="W52" i="141"/>
  <c r="V52" i="141"/>
  <c r="U52" i="141"/>
  <c r="T52" i="141"/>
  <c r="S52" i="141"/>
  <c r="R52" i="141"/>
  <c r="N52" i="141"/>
  <c r="M52" i="141"/>
  <c r="L52" i="141"/>
  <c r="K52" i="141"/>
  <c r="J52" i="141"/>
  <c r="I52" i="141"/>
  <c r="H52" i="141"/>
  <c r="G52" i="141"/>
  <c r="F52" i="141"/>
  <c r="Z51" i="141"/>
  <c r="Y51" i="141"/>
  <c r="X51" i="141"/>
  <c r="W51" i="141"/>
  <c r="V51" i="141"/>
  <c r="U51" i="141"/>
  <c r="T51" i="141"/>
  <c r="S51" i="141"/>
  <c r="R51" i="141"/>
  <c r="N51" i="141"/>
  <c r="M51" i="141"/>
  <c r="L51" i="141"/>
  <c r="K51" i="141"/>
  <c r="J51" i="141"/>
  <c r="I51" i="141"/>
  <c r="H51" i="141"/>
  <c r="G51" i="141"/>
  <c r="F51" i="141"/>
  <c r="Z50" i="141"/>
  <c r="Y50" i="141"/>
  <c r="X50" i="141"/>
  <c r="W50" i="141"/>
  <c r="V50" i="141"/>
  <c r="U50" i="141"/>
  <c r="T50" i="141"/>
  <c r="S50" i="141"/>
  <c r="R50" i="141"/>
  <c r="N50" i="141"/>
  <c r="M50" i="141"/>
  <c r="L50" i="141"/>
  <c r="K50" i="141"/>
  <c r="J50" i="141"/>
  <c r="I50" i="141"/>
  <c r="H50" i="141"/>
  <c r="G50" i="141"/>
  <c r="F50" i="141"/>
  <c r="Z49" i="141"/>
  <c r="Y49" i="141"/>
  <c r="X49" i="141"/>
  <c r="W49" i="141"/>
  <c r="V49" i="141"/>
  <c r="U49" i="141"/>
  <c r="T49" i="141"/>
  <c r="S49" i="141"/>
  <c r="R49" i="141"/>
  <c r="N49" i="141"/>
  <c r="M49" i="141"/>
  <c r="L49" i="141"/>
  <c r="K49" i="141"/>
  <c r="J49" i="141"/>
  <c r="I49" i="141"/>
  <c r="H49" i="141"/>
  <c r="G49" i="141"/>
  <c r="F49" i="141"/>
  <c r="Z48" i="141"/>
  <c r="Y48" i="141"/>
  <c r="X48" i="141"/>
  <c r="W48" i="141"/>
  <c r="V48" i="141"/>
  <c r="U48" i="141"/>
  <c r="T48" i="141"/>
  <c r="S48" i="141"/>
  <c r="R48" i="141"/>
  <c r="N48" i="141"/>
  <c r="M48" i="141"/>
  <c r="L48" i="141"/>
  <c r="K48" i="141"/>
  <c r="J48" i="141"/>
  <c r="I48" i="141"/>
  <c r="H48" i="141"/>
  <c r="G48" i="141"/>
  <c r="F48" i="141"/>
  <c r="E48" i="141" s="1"/>
  <c r="D48" i="141" s="1"/>
  <c r="C48" i="141" s="1"/>
  <c r="Z47" i="141"/>
  <c r="Y47" i="141"/>
  <c r="X47" i="141"/>
  <c r="W47" i="141"/>
  <c r="V47" i="141"/>
  <c r="U47" i="141"/>
  <c r="T47" i="141"/>
  <c r="S47" i="141"/>
  <c r="R47" i="141"/>
  <c r="N47" i="141"/>
  <c r="M47" i="141"/>
  <c r="L47" i="141"/>
  <c r="K47" i="141"/>
  <c r="J47" i="141"/>
  <c r="I47" i="141"/>
  <c r="H47" i="141"/>
  <c r="G47" i="141"/>
  <c r="F47" i="141"/>
  <c r="Z46" i="141"/>
  <c r="Y46" i="141"/>
  <c r="X46" i="141"/>
  <c r="W46" i="141"/>
  <c r="V46" i="141"/>
  <c r="U46" i="141"/>
  <c r="T46" i="141"/>
  <c r="S46" i="141"/>
  <c r="R46" i="141"/>
  <c r="N46" i="141"/>
  <c r="M46" i="141"/>
  <c r="L46" i="141"/>
  <c r="K46" i="141"/>
  <c r="J46" i="141"/>
  <c r="I46" i="141"/>
  <c r="H46" i="141"/>
  <c r="G46" i="141"/>
  <c r="E46" i="141" s="1"/>
  <c r="D46" i="141" s="1"/>
  <c r="C46" i="141" s="1"/>
  <c r="F46" i="141"/>
  <c r="Z45" i="141"/>
  <c r="Y45" i="141"/>
  <c r="X45" i="141"/>
  <c r="W45" i="141"/>
  <c r="V45" i="141"/>
  <c r="U45" i="141"/>
  <c r="T45" i="141"/>
  <c r="S45" i="141"/>
  <c r="R45" i="141"/>
  <c r="Q45" i="141"/>
  <c r="P45" i="141" s="1"/>
  <c r="O45" i="141" s="1"/>
  <c r="N45" i="141"/>
  <c r="M45" i="141"/>
  <c r="L45" i="141"/>
  <c r="K45" i="141"/>
  <c r="J45" i="141"/>
  <c r="I45" i="141"/>
  <c r="H45" i="141"/>
  <c r="G45" i="141"/>
  <c r="F45" i="141"/>
  <c r="Z44" i="141"/>
  <c r="Y44" i="141"/>
  <c r="X44" i="141"/>
  <c r="W44" i="141"/>
  <c r="V44" i="141"/>
  <c r="U44" i="141"/>
  <c r="T44" i="141"/>
  <c r="S44" i="141"/>
  <c r="R44" i="141"/>
  <c r="N44" i="141"/>
  <c r="N41" i="141" s="1"/>
  <c r="N8" i="141" s="1"/>
  <c r="M44" i="141"/>
  <c r="L44" i="141"/>
  <c r="K44" i="141"/>
  <c r="J44" i="141"/>
  <c r="I44" i="141"/>
  <c r="H44" i="141"/>
  <c r="G44" i="141"/>
  <c r="F44" i="141"/>
  <c r="E44" i="141" s="1"/>
  <c r="D44" i="141" s="1"/>
  <c r="C44" i="141" s="1"/>
  <c r="Z43" i="141"/>
  <c r="Y43" i="141"/>
  <c r="X43" i="141"/>
  <c r="X10" i="141" s="1"/>
  <c r="W43" i="141"/>
  <c r="V43" i="141"/>
  <c r="U43" i="141"/>
  <c r="T43" i="141"/>
  <c r="T10" i="141" s="1"/>
  <c r="S43" i="141"/>
  <c r="R43" i="141"/>
  <c r="N43" i="141"/>
  <c r="M43" i="141"/>
  <c r="L43" i="141"/>
  <c r="K43" i="141"/>
  <c r="J43" i="141"/>
  <c r="I43" i="141"/>
  <c r="H43" i="141"/>
  <c r="G43" i="141"/>
  <c r="F43" i="141"/>
  <c r="F10" i="141" s="1"/>
  <c r="Z42" i="141"/>
  <c r="Z9" i="141" s="1"/>
  <c r="Y42" i="141"/>
  <c r="Y9" i="141" s="1"/>
  <c r="X42" i="141"/>
  <c r="W42" i="141"/>
  <c r="V42" i="141"/>
  <c r="V9" i="141" s="1"/>
  <c r="U42" i="141"/>
  <c r="T42" i="141"/>
  <c r="S42" i="141"/>
  <c r="R42" i="141"/>
  <c r="Q42" i="141" s="1"/>
  <c r="N42" i="141"/>
  <c r="N9" i="141" s="1"/>
  <c r="M42" i="141"/>
  <c r="L42" i="141"/>
  <c r="L9" i="141" s="1"/>
  <c r="K42" i="141"/>
  <c r="J42" i="141"/>
  <c r="I42" i="141"/>
  <c r="I9" i="141" s="1"/>
  <c r="H42" i="141"/>
  <c r="G42" i="141"/>
  <c r="F42" i="141"/>
  <c r="G41" i="141"/>
  <c r="G8" i="141" s="1"/>
  <c r="Z40" i="141"/>
  <c r="Y40" i="141"/>
  <c r="X40" i="141"/>
  <c r="W40" i="141"/>
  <c r="V40" i="141"/>
  <c r="U40" i="141"/>
  <c r="T40" i="141"/>
  <c r="S40" i="141"/>
  <c r="R40" i="141"/>
  <c r="N40" i="141"/>
  <c r="M40" i="141"/>
  <c r="L40" i="141"/>
  <c r="K40" i="141"/>
  <c r="J40" i="141"/>
  <c r="I40" i="141"/>
  <c r="H40" i="141"/>
  <c r="E40" i="141" s="1"/>
  <c r="D40" i="141" s="1"/>
  <c r="C40" i="141" s="1"/>
  <c r="G40" i="141"/>
  <c r="F40" i="141"/>
  <c r="Z39" i="141"/>
  <c r="Y39" i="141"/>
  <c r="W39" i="141"/>
  <c r="V39" i="141"/>
  <c r="U39" i="141"/>
  <c r="S39" i="141"/>
  <c r="R39" i="141"/>
  <c r="N39" i="141"/>
  <c r="M39" i="141"/>
  <c r="K39" i="141"/>
  <c r="J39" i="141"/>
  <c r="I39" i="141"/>
  <c r="G39" i="141"/>
  <c r="F39" i="141"/>
  <c r="Z38" i="141"/>
  <c r="Y38" i="141"/>
  <c r="W38" i="141"/>
  <c r="V38" i="141"/>
  <c r="U38" i="141"/>
  <c r="S38" i="141"/>
  <c r="N38" i="141"/>
  <c r="M38" i="141"/>
  <c r="K38" i="141"/>
  <c r="J38" i="141"/>
  <c r="I38" i="141"/>
  <c r="G38" i="141"/>
  <c r="F38" i="141"/>
  <c r="Z37" i="141"/>
  <c r="Y37" i="141"/>
  <c r="W37" i="141"/>
  <c r="V37" i="141"/>
  <c r="U37" i="141"/>
  <c r="S37" i="141"/>
  <c r="R37" i="141"/>
  <c r="N37" i="141"/>
  <c r="M37" i="141"/>
  <c r="K37" i="141"/>
  <c r="I37" i="141"/>
  <c r="G37" i="141"/>
  <c r="F37" i="141"/>
  <c r="Z36" i="141"/>
  <c r="Y36" i="141"/>
  <c r="W36" i="141"/>
  <c r="V36" i="141"/>
  <c r="U36" i="141"/>
  <c r="S36" i="141"/>
  <c r="N36" i="141"/>
  <c r="M36" i="141"/>
  <c r="K36" i="141"/>
  <c r="J36" i="141"/>
  <c r="I36" i="141"/>
  <c r="G36" i="141"/>
  <c r="F36" i="141"/>
  <c r="E36" i="141" s="1"/>
  <c r="D36" i="141" s="1"/>
  <c r="C36" i="141" s="1"/>
  <c r="Z35" i="141"/>
  <c r="Y35" i="141"/>
  <c r="X35" i="141"/>
  <c r="W35" i="141"/>
  <c r="V35" i="141"/>
  <c r="U35" i="141"/>
  <c r="T35" i="141"/>
  <c r="S35" i="141"/>
  <c r="Q35" i="141" s="1"/>
  <c r="P35" i="141" s="1"/>
  <c r="O35" i="141" s="1"/>
  <c r="R35" i="141"/>
  <c r="N35" i="141"/>
  <c r="M35" i="141"/>
  <c r="K35" i="141"/>
  <c r="J35" i="141"/>
  <c r="I35" i="141"/>
  <c r="E35" i="141" s="1"/>
  <c r="D35" i="141" s="1"/>
  <c r="C35" i="141" s="1"/>
  <c r="G35" i="141"/>
  <c r="F35" i="141"/>
  <c r="Z34" i="141"/>
  <c r="Y34" i="141"/>
  <c r="X34" i="141"/>
  <c r="W34" i="141"/>
  <c r="V34" i="141"/>
  <c r="U34" i="141"/>
  <c r="T34" i="141"/>
  <c r="S34" i="141"/>
  <c r="R34" i="141"/>
  <c r="Q34" i="141" s="1"/>
  <c r="P34" i="141" s="1"/>
  <c r="O34" i="141" s="1"/>
  <c r="N34" i="141"/>
  <c r="M34" i="141"/>
  <c r="K34" i="141"/>
  <c r="J34" i="141"/>
  <c r="I34" i="141"/>
  <c r="G34" i="141"/>
  <c r="F34" i="141"/>
  <c r="E34" i="141" s="1"/>
  <c r="D34" i="141" s="1"/>
  <c r="C34" i="141" s="1"/>
  <c r="Z33" i="141"/>
  <c r="Y33" i="141"/>
  <c r="X33" i="141"/>
  <c r="W33" i="141"/>
  <c r="V33" i="141"/>
  <c r="U33" i="141"/>
  <c r="T33" i="141"/>
  <c r="S33" i="141"/>
  <c r="Q33" i="141" s="1"/>
  <c r="P33" i="141" s="1"/>
  <c r="O33" i="141" s="1"/>
  <c r="R33" i="141"/>
  <c r="N33" i="141"/>
  <c r="M33" i="141"/>
  <c r="L33" i="141"/>
  <c r="K33" i="141"/>
  <c r="J33" i="141"/>
  <c r="I33" i="141"/>
  <c r="H33" i="141"/>
  <c r="G33" i="141"/>
  <c r="F33" i="141"/>
  <c r="Z32" i="141"/>
  <c r="Y32" i="141"/>
  <c r="X32" i="141"/>
  <c r="W32" i="141"/>
  <c r="V32" i="141"/>
  <c r="U32" i="141"/>
  <c r="T32" i="141"/>
  <c r="S32" i="141"/>
  <c r="R32" i="141"/>
  <c r="M32" i="141"/>
  <c r="L32" i="141"/>
  <c r="K32" i="141"/>
  <c r="I32" i="141"/>
  <c r="H32" i="141"/>
  <c r="G32" i="141"/>
  <c r="Z31" i="141"/>
  <c r="Y31" i="141"/>
  <c r="X31" i="141"/>
  <c r="W31" i="141"/>
  <c r="V31" i="141"/>
  <c r="U31" i="141"/>
  <c r="T31" i="141"/>
  <c r="S31" i="141"/>
  <c r="R31" i="141"/>
  <c r="N31" i="141"/>
  <c r="M31" i="141"/>
  <c r="L31" i="141"/>
  <c r="K31" i="141"/>
  <c r="J31" i="141"/>
  <c r="I31" i="141"/>
  <c r="H31" i="141"/>
  <c r="H7" i="141" s="1"/>
  <c r="G31" i="141"/>
  <c r="F31" i="141"/>
  <c r="Z30" i="141"/>
  <c r="Y30" i="141"/>
  <c r="X30" i="141"/>
  <c r="W30" i="141"/>
  <c r="V30" i="141"/>
  <c r="U30" i="141"/>
  <c r="T30" i="141"/>
  <c r="S30" i="141"/>
  <c r="R30" i="141"/>
  <c r="N30" i="141"/>
  <c r="N29" i="141" s="1"/>
  <c r="N5" i="141" s="1"/>
  <c r="M30" i="141"/>
  <c r="K30" i="141"/>
  <c r="J30" i="141"/>
  <c r="I30" i="141"/>
  <c r="I6" i="141" s="1"/>
  <c r="G30" i="141"/>
  <c r="G6" i="141" s="1"/>
  <c r="Y22" i="141"/>
  <c r="V22" i="141"/>
  <c r="U22" i="141"/>
  <c r="S22" i="141"/>
  <c r="N22" i="141"/>
  <c r="M22" i="141"/>
  <c r="J22" i="141"/>
  <c r="I22" i="141"/>
  <c r="H22" i="141"/>
  <c r="F22" i="141"/>
  <c r="Z21" i="141"/>
  <c r="Y21" i="141"/>
  <c r="X21" i="141"/>
  <c r="W21" i="141"/>
  <c r="V21" i="141"/>
  <c r="U21" i="141"/>
  <c r="T21" i="141"/>
  <c r="S21" i="141"/>
  <c r="R21" i="141"/>
  <c r="N21" i="141"/>
  <c r="M21" i="141"/>
  <c r="L21" i="141"/>
  <c r="K21" i="141"/>
  <c r="J21" i="141"/>
  <c r="I21" i="141"/>
  <c r="H21" i="141"/>
  <c r="G21" i="141"/>
  <c r="F21" i="141"/>
  <c r="M20" i="141"/>
  <c r="J20" i="141"/>
  <c r="Z19" i="141"/>
  <c r="Y19" i="141"/>
  <c r="X19" i="141"/>
  <c r="V19" i="141"/>
  <c r="U19" i="141"/>
  <c r="R19" i="141"/>
  <c r="M19" i="141"/>
  <c r="L19" i="141"/>
  <c r="K19" i="141"/>
  <c r="I19" i="141"/>
  <c r="H19" i="141"/>
  <c r="G19" i="141"/>
  <c r="Z18" i="141"/>
  <c r="Y18" i="141"/>
  <c r="W18" i="141"/>
  <c r="V18" i="141"/>
  <c r="U18" i="141"/>
  <c r="S18" i="141"/>
  <c r="R18" i="141"/>
  <c r="N18" i="141"/>
  <c r="M18" i="141"/>
  <c r="L18" i="141"/>
  <c r="K18" i="141"/>
  <c r="J18" i="141"/>
  <c r="I18" i="141"/>
  <c r="H18" i="141"/>
  <c r="G18" i="141"/>
  <c r="F18" i="141"/>
  <c r="U17" i="141"/>
  <c r="H36" i="121" s="1"/>
  <c r="Z16" i="141"/>
  <c r="Y16" i="141"/>
  <c r="U16" i="141"/>
  <c r="R16" i="141"/>
  <c r="M16" i="141"/>
  <c r="Z15" i="141"/>
  <c r="Y15" i="141"/>
  <c r="X15" i="141"/>
  <c r="V15" i="141"/>
  <c r="U15" i="141"/>
  <c r="T15" i="141"/>
  <c r="R15" i="141"/>
  <c r="N15" i="141"/>
  <c r="M15" i="141"/>
  <c r="K15" i="141"/>
  <c r="J15" i="141"/>
  <c r="I15" i="141"/>
  <c r="G15" i="141"/>
  <c r="F15" i="141"/>
  <c r="Z14" i="141"/>
  <c r="Y14" i="141"/>
  <c r="H63" i="121" s="1"/>
  <c r="I14" i="141"/>
  <c r="Z13" i="141"/>
  <c r="W13" i="141"/>
  <c r="V13" i="141"/>
  <c r="U13" i="141"/>
  <c r="R13" i="141"/>
  <c r="N13" i="141"/>
  <c r="M13" i="141"/>
  <c r="J13" i="141"/>
  <c r="I13" i="141"/>
  <c r="H13" i="141"/>
  <c r="Z12" i="141"/>
  <c r="Y12" i="141"/>
  <c r="W12" i="141"/>
  <c r="U12" i="141"/>
  <c r="S12" i="141"/>
  <c r="R12" i="141"/>
  <c r="M12" i="141"/>
  <c r="L12" i="141"/>
  <c r="K12" i="141"/>
  <c r="I12" i="141"/>
  <c r="H12" i="141"/>
  <c r="G12" i="141"/>
  <c r="Y11" i="141"/>
  <c r="H62" i="121" s="1"/>
  <c r="M11" i="141"/>
  <c r="H11" i="141"/>
  <c r="N10" i="141"/>
  <c r="J10" i="141"/>
  <c r="X9" i="141"/>
  <c r="W9" i="141"/>
  <c r="T9" i="141"/>
  <c r="S9" i="141"/>
  <c r="R9" i="141"/>
  <c r="K9" i="141"/>
  <c r="H9" i="141"/>
  <c r="G9" i="141"/>
  <c r="F9" i="141"/>
  <c r="V7" i="141"/>
  <c r="N7" i="141"/>
  <c r="Z6" i="141"/>
  <c r="Y6" i="141"/>
  <c r="X6" i="141"/>
  <c r="W6" i="141"/>
  <c r="V6" i="141"/>
  <c r="U6" i="141"/>
  <c r="T6" i="141"/>
  <c r="S6" i="141"/>
  <c r="R6" i="141"/>
  <c r="N6" i="141"/>
  <c r="M6" i="141"/>
  <c r="K6" i="141"/>
  <c r="E169" i="140"/>
  <c r="J137" i="140"/>
  <c r="K130" i="140"/>
  <c r="G130" i="140"/>
  <c r="B130" i="140"/>
  <c r="B172" i="140" s="1"/>
  <c r="B90" i="140"/>
  <c r="B8" i="140"/>
  <c r="E172" i="139"/>
  <c r="J140" i="139"/>
  <c r="K132" i="139"/>
  <c r="G132" i="139"/>
  <c r="B91" i="139"/>
  <c r="B8" i="139"/>
  <c r="B92" i="139" s="1"/>
  <c r="E169" i="138"/>
  <c r="J137" i="138"/>
  <c r="K130" i="138"/>
  <c r="G130" i="138"/>
  <c r="B90" i="138"/>
  <c r="B8" i="138"/>
  <c r="B9" i="138" s="1"/>
  <c r="E172" i="137"/>
  <c r="J140" i="137"/>
  <c r="K132" i="137"/>
  <c r="G132" i="137"/>
  <c r="B91" i="137"/>
  <c r="B8" i="137"/>
  <c r="B92" i="137" s="1"/>
  <c r="E169" i="136"/>
  <c r="J137" i="136"/>
  <c r="K130" i="136"/>
  <c r="G130" i="136"/>
  <c r="B90" i="136"/>
  <c r="B8" i="136"/>
  <c r="B91" i="136" s="1"/>
  <c r="E172" i="135"/>
  <c r="J140" i="135"/>
  <c r="K132" i="135"/>
  <c r="G132" i="135"/>
  <c r="B132" i="135"/>
  <c r="B175" i="135" s="1"/>
  <c r="B91" i="135"/>
  <c r="B8" i="135"/>
  <c r="B92" i="135" s="1"/>
  <c r="J137" i="134"/>
  <c r="K130" i="134"/>
  <c r="G130" i="134"/>
  <c r="B130" i="134"/>
  <c r="B172" i="134" s="1"/>
  <c r="B90" i="134"/>
  <c r="B8" i="134"/>
  <c r="B91" i="134" s="1"/>
  <c r="J140" i="133"/>
  <c r="K132" i="133"/>
  <c r="G132" i="133"/>
  <c r="B91" i="133"/>
  <c r="B8" i="133"/>
  <c r="B92" i="133" s="1"/>
  <c r="E169" i="132"/>
  <c r="J137" i="132"/>
  <c r="K130" i="132"/>
  <c r="G130" i="132"/>
  <c r="B90" i="132"/>
  <c r="B8" i="132"/>
  <c r="B91" i="132" s="1"/>
  <c r="E172" i="131"/>
  <c r="J140" i="131"/>
  <c r="K132" i="131"/>
  <c r="G132" i="131"/>
  <c r="B91" i="131"/>
  <c r="B8" i="131"/>
  <c r="B92" i="131" s="1"/>
  <c r="E169" i="130"/>
  <c r="J137" i="130"/>
  <c r="K130" i="130"/>
  <c r="G130" i="130"/>
  <c r="B90" i="130"/>
  <c r="B8" i="130"/>
  <c r="B91" i="130" s="1"/>
  <c r="E172" i="129"/>
  <c r="J140" i="129"/>
  <c r="K132" i="129"/>
  <c r="G132" i="129"/>
  <c r="B132" i="129"/>
  <c r="B175" i="129" s="1"/>
  <c r="B91" i="129"/>
  <c r="B8" i="129"/>
  <c r="B92" i="129" s="1"/>
  <c r="E169" i="128"/>
  <c r="J137" i="128"/>
  <c r="K130" i="128"/>
  <c r="G130" i="128"/>
  <c r="B90" i="128"/>
  <c r="B8" i="128"/>
  <c r="B91" i="128" s="1"/>
  <c r="E172" i="127"/>
  <c r="J140" i="127"/>
  <c r="K132" i="127"/>
  <c r="G132" i="127"/>
  <c r="B132" i="127"/>
  <c r="B91" i="127"/>
  <c r="B8" i="127"/>
  <c r="B92" i="127" s="1"/>
  <c r="E169" i="126"/>
  <c r="J137" i="126"/>
  <c r="K130" i="126"/>
  <c r="G130" i="126"/>
  <c r="B90" i="126"/>
  <c r="B8" i="126"/>
  <c r="B91" i="126" s="1"/>
  <c r="E172" i="125"/>
  <c r="J140" i="125"/>
  <c r="K132" i="125"/>
  <c r="G132" i="125"/>
  <c r="B132" i="125"/>
  <c r="B175" i="125" s="1"/>
  <c r="B91" i="125"/>
  <c r="B8" i="125"/>
  <c r="B92" i="125" s="1"/>
  <c r="E169" i="124"/>
  <c r="J137" i="124"/>
  <c r="K130" i="124"/>
  <c r="G130" i="124"/>
  <c r="B90" i="124"/>
  <c r="B8" i="124"/>
  <c r="B91" i="124" s="1"/>
  <c r="E172" i="123"/>
  <c r="J140" i="123"/>
  <c r="K132" i="123"/>
  <c r="G132" i="123"/>
  <c r="B132" i="123"/>
  <c r="B175" i="123" s="1"/>
  <c r="B91" i="123"/>
  <c r="B8" i="123"/>
  <c r="B92" i="123" s="1"/>
  <c r="C94" i="122"/>
  <c r="C100" i="122" s="1"/>
  <c r="C83" i="122"/>
  <c r="C77" i="122"/>
  <c r="C84" i="122" s="1"/>
  <c r="N69" i="122"/>
  <c r="N68" i="122"/>
  <c r="C67" i="122"/>
  <c r="C66" i="122"/>
  <c r="C50" i="122"/>
  <c r="N34" i="122"/>
  <c r="N35" i="122" s="1"/>
  <c r="C32" i="122"/>
  <c r="C33" i="122" s="1"/>
  <c r="C16" i="122"/>
  <c r="C17" i="122" s="1"/>
  <c r="H72" i="121"/>
  <c r="H70" i="121"/>
  <c r="H43" i="121"/>
  <c r="H35" i="121"/>
  <c r="P27" i="68"/>
  <c r="O27" i="68"/>
  <c r="N27" i="68"/>
  <c r="M27" i="68"/>
  <c r="L27" i="68"/>
  <c r="K27" i="68"/>
  <c r="J27" i="68"/>
  <c r="R27" i="68" s="1"/>
  <c r="I27" i="68"/>
  <c r="H27" i="68"/>
  <c r="G27" i="68"/>
  <c r="F27" i="68"/>
  <c r="E27" i="68"/>
  <c r="D27" i="68"/>
  <c r="C27" i="68"/>
  <c r="B27" i="68"/>
  <c r="P14" i="68"/>
  <c r="O14" i="68"/>
  <c r="N14" i="68" s="1"/>
  <c r="M14" i="68"/>
  <c r="L14" i="68"/>
  <c r="K14" i="68"/>
  <c r="I14" i="68" s="1"/>
  <c r="J14" i="68"/>
  <c r="H14" i="68"/>
  <c r="G14" i="68"/>
  <c r="F14" i="68"/>
  <c r="E14" i="68"/>
  <c r="D14" i="68" s="1"/>
  <c r="C14" i="68" s="1"/>
  <c r="B14" i="68" s="1"/>
  <c r="P19" i="68"/>
  <c r="O19" i="68"/>
  <c r="N19" i="68"/>
  <c r="M19" i="68"/>
  <c r="L19" i="68"/>
  <c r="K19" i="68"/>
  <c r="J19" i="68"/>
  <c r="I19" i="68"/>
  <c r="H19" i="68"/>
  <c r="G19" i="68"/>
  <c r="F19" i="68"/>
  <c r="E19" i="68"/>
  <c r="D19" i="68"/>
  <c r="C19" i="68"/>
  <c r="B19" i="68"/>
  <c r="B7" i="68"/>
  <c r="P6" i="68"/>
  <c r="O6" i="68"/>
  <c r="N6" i="68"/>
  <c r="M6" i="68"/>
  <c r="L6" i="68"/>
  <c r="K6" i="68"/>
  <c r="J6" i="68"/>
  <c r="I6" i="68"/>
  <c r="H6" i="68"/>
  <c r="G6" i="68"/>
  <c r="F6" i="68"/>
  <c r="E6" i="68"/>
  <c r="D6" i="68"/>
  <c r="C6" i="68"/>
  <c r="B6" i="68"/>
  <c r="P6" i="144" l="1"/>
  <c r="F5" i="113"/>
  <c r="P6" i="145"/>
  <c r="F13" i="113"/>
  <c r="C101" i="122"/>
  <c r="L7" i="145"/>
  <c r="L8" i="145"/>
  <c r="R8" i="145" s="1"/>
  <c r="L5" i="145"/>
  <c r="L9" i="145"/>
  <c r="L10" i="145"/>
  <c r="R10" i="145" s="1"/>
  <c r="L10" i="144"/>
  <c r="R10" i="144" s="1"/>
  <c r="L7" i="144"/>
  <c r="L8" i="144"/>
  <c r="R8" i="144" s="1"/>
  <c r="L9" i="144"/>
  <c r="L5" i="144"/>
  <c r="I63" i="121"/>
  <c r="D10" i="137" s="1"/>
  <c r="I35" i="121"/>
  <c r="I36" i="121"/>
  <c r="D11" i="129" s="1"/>
  <c r="I65" i="121"/>
  <c r="D12" i="137" s="1"/>
  <c r="V12" i="141"/>
  <c r="S29" i="141"/>
  <c r="S5" i="141" s="1"/>
  <c r="H18" i="121" s="1"/>
  <c r="W29" i="141"/>
  <c r="W5" i="141" s="1"/>
  <c r="H46" i="121" s="1"/>
  <c r="Q37" i="141"/>
  <c r="P37" i="141" s="1"/>
  <c r="O37" i="141" s="1"/>
  <c r="E39" i="141"/>
  <c r="D39" i="141" s="1"/>
  <c r="C39" i="141" s="1"/>
  <c r="Q40" i="141"/>
  <c r="P40" i="141" s="1"/>
  <c r="O40" i="141" s="1"/>
  <c r="V29" i="141"/>
  <c r="V5" i="141" s="1"/>
  <c r="H39" i="121" s="1"/>
  <c r="Q43" i="141"/>
  <c r="W41" i="141"/>
  <c r="W8" i="141" s="1"/>
  <c r="H47" i="121" s="1"/>
  <c r="T41" i="141"/>
  <c r="T8" i="141" s="1"/>
  <c r="H26" i="121" s="1"/>
  <c r="X41" i="141"/>
  <c r="X8" i="141" s="1"/>
  <c r="H54" i="121" s="1"/>
  <c r="Z10" i="141"/>
  <c r="E59" i="141"/>
  <c r="D59" i="141" s="1"/>
  <c r="C59" i="141" s="1"/>
  <c r="E63" i="141"/>
  <c r="D63" i="141" s="1"/>
  <c r="C63" i="141" s="1"/>
  <c r="G16" i="141"/>
  <c r="K16" i="141"/>
  <c r="E72" i="141"/>
  <c r="D72" i="141" s="1"/>
  <c r="C72" i="141" s="1"/>
  <c r="H16" i="141"/>
  <c r="L16" i="141"/>
  <c r="E76" i="141"/>
  <c r="D76" i="141" s="1"/>
  <c r="C76" i="141" s="1"/>
  <c r="Z77" i="141"/>
  <c r="Z17" i="141" s="1"/>
  <c r="H71" i="121" s="1"/>
  <c r="N89" i="141"/>
  <c r="N20" i="141" s="1"/>
  <c r="I72" i="121" s="1"/>
  <c r="E96" i="141"/>
  <c r="D96" i="141" s="1"/>
  <c r="C96" i="141" s="1"/>
  <c r="Z53" i="141"/>
  <c r="Z11" i="141" s="1"/>
  <c r="H69" i="121" s="1"/>
  <c r="I69" i="121" s="1"/>
  <c r="E95" i="141"/>
  <c r="D95" i="141" s="1"/>
  <c r="C95" i="141" s="1"/>
  <c r="S7" i="141"/>
  <c r="W7" i="141"/>
  <c r="L7" i="141"/>
  <c r="E37" i="141"/>
  <c r="D37" i="141" s="1"/>
  <c r="C37" i="141" s="1"/>
  <c r="E43" i="141"/>
  <c r="D43" i="141" s="1"/>
  <c r="Q46" i="141"/>
  <c r="P46" i="141" s="1"/>
  <c r="O46" i="141" s="1"/>
  <c r="E47" i="141"/>
  <c r="D47" i="141" s="1"/>
  <c r="C47" i="141" s="1"/>
  <c r="E56" i="141"/>
  <c r="D56" i="141" s="1"/>
  <c r="C56" i="141" s="1"/>
  <c r="T13" i="141"/>
  <c r="X13" i="141"/>
  <c r="E71" i="141"/>
  <c r="D71" i="141" s="1"/>
  <c r="C71" i="141" s="1"/>
  <c r="N16" i="141"/>
  <c r="E88" i="141"/>
  <c r="D88" i="141" s="1"/>
  <c r="C88" i="141" s="1"/>
  <c r="L22" i="141"/>
  <c r="I62" i="121"/>
  <c r="D9" i="137" s="1"/>
  <c r="E38" i="141"/>
  <c r="D38" i="141" s="1"/>
  <c r="C38" i="141" s="1"/>
  <c r="Q39" i="141"/>
  <c r="P39" i="141" s="1"/>
  <c r="O39" i="141" s="1"/>
  <c r="Q44" i="141"/>
  <c r="P44" i="141" s="1"/>
  <c r="O44" i="141" s="1"/>
  <c r="H10" i="141"/>
  <c r="E51" i="141"/>
  <c r="D51" i="141" s="1"/>
  <c r="C51" i="141" s="1"/>
  <c r="E64" i="141"/>
  <c r="D64" i="141" s="1"/>
  <c r="C64" i="141" s="1"/>
  <c r="W16" i="141"/>
  <c r="V65" i="141"/>
  <c r="V14" i="141" s="1"/>
  <c r="H42" i="121" s="1"/>
  <c r="E83" i="141"/>
  <c r="D83" i="141" s="1"/>
  <c r="C83" i="141" s="1"/>
  <c r="E87" i="141"/>
  <c r="D87" i="141" s="1"/>
  <c r="C87" i="141" s="1"/>
  <c r="G89" i="141"/>
  <c r="G20" i="141" s="1"/>
  <c r="K89" i="141"/>
  <c r="K20" i="141" s="1"/>
  <c r="W22" i="141"/>
  <c r="T22" i="141"/>
  <c r="X22" i="141"/>
  <c r="V89" i="141"/>
  <c r="V20" i="141" s="1"/>
  <c r="H44" i="121" s="1"/>
  <c r="Z22" i="141"/>
  <c r="D10" i="129"/>
  <c r="D9" i="129"/>
  <c r="I37" i="121"/>
  <c r="B131" i="124"/>
  <c r="B133" i="123"/>
  <c r="B131" i="126"/>
  <c r="B133" i="125"/>
  <c r="I64" i="121"/>
  <c r="B133" i="127"/>
  <c r="B175" i="127"/>
  <c r="B133" i="129"/>
  <c r="B9" i="124"/>
  <c r="B9" i="126"/>
  <c r="B133" i="131"/>
  <c r="B9" i="123"/>
  <c r="B130" i="124"/>
  <c r="B9" i="125"/>
  <c r="B130" i="126"/>
  <c r="B131" i="128"/>
  <c r="B9" i="127"/>
  <c r="B131" i="130"/>
  <c r="B133" i="135"/>
  <c r="B132" i="131"/>
  <c r="B133" i="133"/>
  <c r="B9" i="128"/>
  <c r="B9" i="130"/>
  <c r="B131" i="134"/>
  <c r="B130" i="128"/>
  <c r="B9" i="129"/>
  <c r="B130" i="130"/>
  <c r="B9" i="131"/>
  <c r="B131" i="132"/>
  <c r="B9" i="132"/>
  <c r="B131" i="136"/>
  <c r="B130" i="132"/>
  <c r="B9" i="133"/>
  <c r="B9" i="136"/>
  <c r="B133" i="137"/>
  <c r="B132" i="133"/>
  <c r="B9" i="134"/>
  <c r="B9" i="135"/>
  <c r="B132" i="137"/>
  <c r="B92" i="138"/>
  <c r="B10" i="138"/>
  <c r="B132" i="139"/>
  <c r="B130" i="136"/>
  <c r="B9" i="137"/>
  <c r="B91" i="138"/>
  <c r="B133" i="139"/>
  <c r="F30" i="141"/>
  <c r="G29" i="141"/>
  <c r="G5" i="141" s="1"/>
  <c r="G7" i="141"/>
  <c r="K29" i="141"/>
  <c r="K5" i="141" s="1"/>
  <c r="K7" i="141"/>
  <c r="Q49" i="141"/>
  <c r="P49" i="141" s="1"/>
  <c r="O49" i="141" s="1"/>
  <c r="R41" i="141"/>
  <c r="R8" i="141" s="1"/>
  <c r="H12" i="121" s="1"/>
  <c r="R10" i="141"/>
  <c r="V10" i="141"/>
  <c r="V41" i="141"/>
  <c r="V8" i="141" s="1"/>
  <c r="H40" i="121" s="1"/>
  <c r="J29" i="141"/>
  <c r="J5" i="141" s="1"/>
  <c r="I39" i="121" s="1"/>
  <c r="J6" i="141"/>
  <c r="S65" i="141"/>
  <c r="S14" i="141" s="1"/>
  <c r="H21" i="121" s="1"/>
  <c r="S16" i="141"/>
  <c r="M29" i="141"/>
  <c r="M5" i="141" s="1"/>
  <c r="M7" i="141"/>
  <c r="H65" i="141"/>
  <c r="H14" i="141" s="1"/>
  <c r="H15" i="141"/>
  <c r="L65" i="141"/>
  <c r="L14" i="141" s="1"/>
  <c r="L15" i="141"/>
  <c r="E75" i="141"/>
  <c r="D75" i="141" s="1"/>
  <c r="C75" i="141" s="1"/>
  <c r="F16" i="141"/>
  <c r="E79" i="141"/>
  <c r="F77" i="141"/>
  <c r="F17" i="141" s="1"/>
  <c r="F19" i="141"/>
  <c r="J77" i="141"/>
  <c r="J17" i="141" s="1"/>
  <c r="J19" i="141"/>
  <c r="N77" i="141"/>
  <c r="N17" i="141" s="1"/>
  <c r="I71" i="121" s="1"/>
  <c r="N19" i="141"/>
  <c r="S77" i="141"/>
  <c r="S17" i="141" s="1"/>
  <c r="H22" i="121" s="1"/>
  <c r="S19" i="141"/>
  <c r="W77" i="141"/>
  <c r="W17" i="141" s="1"/>
  <c r="H50" i="121" s="1"/>
  <c r="W19" i="141"/>
  <c r="T19" i="141"/>
  <c r="K41" i="141"/>
  <c r="K8" i="141" s="1"/>
  <c r="I47" i="121" s="1"/>
  <c r="K10" i="141"/>
  <c r="B130" i="138"/>
  <c r="B9" i="139"/>
  <c r="B9" i="140"/>
  <c r="B91" i="140"/>
  <c r="Y41" i="141"/>
  <c r="Y8" i="141" s="1"/>
  <c r="H61" i="121" s="1"/>
  <c r="G13" i="141"/>
  <c r="K13" i="141"/>
  <c r="E67" i="141"/>
  <c r="F65" i="141"/>
  <c r="F14" i="141" s="1"/>
  <c r="J16" i="141"/>
  <c r="N65" i="141"/>
  <c r="N14" i="141" s="1"/>
  <c r="I70" i="121" s="1"/>
  <c r="T77" i="141"/>
  <c r="T17" i="141" s="1"/>
  <c r="H29" i="121" s="1"/>
  <c r="T18" i="141"/>
  <c r="X77" i="141"/>
  <c r="X17" i="141" s="1"/>
  <c r="H57" i="121" s="1"/>
  <c r="X18" i="141"/>
  <c r="F32" i="141"/>
  <c r="P42" i="141"/>
  <c r="Q9" i="141"/>
  <c r="U41" i="141"/>
  <c r="U8" i="141" s="1"/>
  <c r="H33" i="121" s="1"/>
  <c r="U9" i="141"/>
  <c r="Q47" i="141"/>
  <c r="P47" i="141" s="1"/>
  <c r="O47" i="141" s="1"/>
  <c r="S10" i="141"/>
  <c r="T89" i="141"/>
  <c r="T20" i="141" s="1"/>
  <c r="H30" i="121" s="1"/>
  <c r="X89" i="141"/>
  <c r="X20" i="141" s="1"/>
  <c r="H58" i="121" s="1"/>
  <c r="Q97" i="141"/>
  <c r="P97" i="141" s="1"/>
  <c r="O97" i="141" s="1"/>
  <c r="R22" i="141"/>
  <c r="H30" i="141"/>
  <c r="L29" i="141"/>
  <c r="L5" i="141" s="1"/>
  <c r="L6" i="141"/>
  <c r="E31" i="141"/>
  <c r="J7" i="141"/>
  <c r="Q32" i="141"/>
  <c r="P32" i="141" s="1"/>
  <c r="O32" i="141" s="1"/>
  <c r="Z7" i="141"/>
  <c r="U29" i="141"/>
  <c r="U5" i="141" s="1"/>
  <c r="H32" i="121" s="1"/>
  <c r="U7" i="141"/>
  <c r="Y29" i="141"/>
  <c r="Y5" i="141" s="1"/>
  <c r="H60" i="121" s="1"/>
  <c r="Y7" i="141"/>
  <c r="I10" i="141"/>
  <c r="I41" i="141"/>
  <c r="I8" i="141" s="1"/>
  <c r="I33" i="121" s="1"/>
  <c r="M10" i="141"/>
  <c r="W10" i="141"/>
  <c r="E52" i="141"/>
  <c r="D52" i="141" s="1"/>
  <c r="C52" i="141" s="1"/>
  <c r="T53" i="141"/>
  <c r="T11" i="141" s="1"/>
  <c r="H27" i="121" s="1"/>
  <c r="T12" i="141"/>
  <c r="X53" i="141"/>
  <c r="X11" i="141" s="1"/>
  <c r="H55" i="121" s="1"/>
  <c r="X12" i="141"/>
  <c r="E55" i="141"/>
  <c r="F53" i="141"/>
  <c r="F11" i="141" s="1"/>
  <c r="J53" i="141"/>
  <c r="J11" i="141" s="1"/>
  <c r="E60" i="141"/>
  <c r="D60" i="141" s="1"/>
  <c r="C60" i="141" s="1"/>
  <c r="G65" i="141"/>
  <c r="G14" i="141" s="1"/>
  <c r="K65" i="141"/>
  <c r="K14" i="141" s="1"/>
  <c r="T65" i="141"/>
  <c r="T14" i="141" s="1"/>
  <c r="H28" i="121" s="1"/>
  <c r="X65" i="141"/>
  <c r="X14" i="141" s="1"/>
  <c r="H56" i="121" s="1"/>
  <c r="T16" i="141"/>
  <c r="X16" i="141"/>
  <c r="E91" i="141"/>
  <c r="F89" i="141"/>
  <c r="F20" i="141" s="1"/>
  <c r="G22" i="141"/>
  <c r="K22" i="141"/>
  <c r="F41" i="141"/>
  <c r="F8" i="141" s="1"/>
  <c r="E42" i="141"/>
  <c r="J41" i="141"/>
  <c r="J8" i="141" s="1"/>
  <c r="J9" i="141"/>
  <c r="G10" i="141"/>
  <c r="L10" i="141"/>
  <c r="S53" i="141"/>
  <c r="S11" i="141" s="1"/>
  <c r="H20" i="121" s="1"/>
  <c r="W53" i="141"/>
  <c r="W11" i="141" s="1"/>
  <c r="H48" i="121" s="1"/>
  <c r="Q73" i="141"/>
  <c r="P73" i="141" s="1"/>
  <c r="O73" i="141" s="1"/>
  <c r="H89" i="141"/>
  <c r="H20" i="141" s="1"/>
  <c r="L89" i="141"/>
  <c r="L20" i="141" s="1"/>
  <c r="S89" i="141"/>
  <c r="S20" i="141" s="1"/>
  <c r="H23" i="121" s="1"/>
  <c r="E100" i="141"/>
  <c r="D100" i="141" s="1"/>
  <c r="C100" i="141" s="1"/>
  <c r="Q30" i="141"/>
  <c r="Z29" i="141"/>
  <c r="Z5" i="141" s="1"/>
  <c r="H67" i="121" s="1"/>
  <c r="I67" i="121" s="1"/>
  <c r="E33" i="141"/>
  <c r="D33" i="141" s="1"/>
  <c r="C33" i="141" s="1"/>
  <c r="I29" i="141"/>
  <c r="I5" i="141" s="1"/>
  <c r="I7" i="141"/>
  <c r="M9" i="141"/>
  <c r="M41" i="141"/>
  <c r="M8" i="141" s="1"/>
  <c r="I61" i="121" s="1"/>
  <c r="S41" i="141"/>
  <c r="S8" i="141" s="1"/>
  <c r="H19" i="121" s="1"/>
  <c r="P43" i="141"/>
  <c r="G53" i="141"/>
  <c r="G11" i="141" s="1"/>
  <c r="K53" i="141"/>
  <c r="K11" i="141" s="1"/>
  <c r="I48" i="121" s="1"/>
  <c r="Q57" i="141"/>
  <c r="P57" i="141" s="1"/>
  <c r="O57" i="141" s="1"/>
  <c r="R53" i="141"/>
  <c r="R11" i="141" s="1"/>
  <c r="H13" i="121" s="1"/>
  <c r="E68" i="141"/>
  <c r="D68" i="141" s="1"/>
  <c r="C68" i="141" s="1"/>
  <c r="G77" i="141"/>
  <c r="G17" i="141" s="1"/>
  <c r="K77" i="141"/>
  <c r="K17" i="141" s="1"/>
  <c r="I50" i="121" s="1"/>
  <c r="Q81" i="141"/>
  <c r="P81" i="141" s="1"/>
  <c r="O81" i="141" s="1"/>
  <c r="R77" i="141"/>
  <c r="R17" i="141" s="1"/>
  <c r="H15" i="121" s="1"/>
  <c r="E92" i="141"/>
  <c r="D92" i="141" s="1"/>
  <c r="C92" i="141" s="1"/>
  <c r="Q31" i="141"/>
  <c r="Z41" i="141"/>
  <c r="Z8" i="141" s="1"/>
  <c r="H68" i="121" s="1"/>
  <c r="I68" i="121" s="1"/>
  <c r="U10" i="141"/>
  <c r="Y10" i="141"/>
  <c r="E45" i="141"/>
  <c r="D45" i="141" s="1"/>
  <c r="C45" i="141" s="1"/>
  <c r="L53" i="141"/>
  <c r="L11" i="141" s="1"/>
  <c r="Q61" i="141"/>
  <c r="P61" i="141" s="1"/>
  <c r="O61" i="141" s="1"/>
  <c r="W65" i="141"/>
  <c r="W14" i="141" s="1"/>
  <c r="H49" i="121" s="1"/>
  <c r="Q69" i="141"/>
  <c r="P69" i="141" s="1"/>
  <c r="O69" i="141" s="1"/>
  <c r="R65" i="141"/>
  <c r="R14" i="141" s="1"/>
  <c r="H14" i="121" s="1"/>
  <c r="L77" i="141"/>
  <c r="L17" i="141" s="1"/>
  <c r="Q85" i="141"/>
  <c r="P85" i="141" s="1"/>
  <c r="O85" i="141" s="1"/>
  <c r="W89" i="141"/>
  <c r="W20" i="141" s="1"/>
  <c r="H51" i="121" s="1"/>
  <c r="I51" i="121" s="1"/>
  <c r="Q93" i="141"/>
  <c r="P93" i="141" s="1"/>
  <c r="O93" i="141" s="1"/>
  <c r="R89" i="141"/>
  <c r="R20" i="141" s="1"/>
  <c r="H16" i="121" s="1"/>
  <c r="R36" i="141"/>
  <c r="R38" i="141"/>
  <c r="Q38" i="141" s="1"/>
  <c r="P38" i="141" s="1"/>
  <c r="O38" i="141" s="1"/>
  <c r="H41" i="141"/>
  <c r="H8" i="141" s="1"/>
  <c r="L41" i="141"/>
  <c r="L8" i="141" s="1"/>
  <c r="I54" i="121" s="1"/>
  <c r="E49" i="141"/>
  <c r="D49" i="141" s="1"/>
  <c r="C49" i="141" s="1"/>
  <c r="E50" i="141"/>
  <c r="D50" i="141" s="1"/>
  <c r="C50" i="141" s="1"/>
  <c r="Q51" i="141"/>
  <c r="P51" i="141" s="1"/>
  <c r="O51" i="141" s="1"/>
  <c r="E54" i="141"/>
  <c r="Q55" i="141"/>
  <c r="E57" i="141"/>
  <c r="D57" i="141" s="1"/>
  <c r="C57" i="141" s="1"/>
  <c r="E58" i="141"/>
  <c r="D58" i="141" s="1"/>
  <c r="C58" i="141" s="1"/>
  <c r="Q59" i="141"/>
  <c r="P59" i="141" s="1"/>
  <c r="O59" i="141" s="1"/>
  <c r="E61" i="141"/>
  <c r="D61" i="141" s="1"/>
  <c r="C61" i="141" s="1"/>
  <c r="E62" i="141"/>
  <c r="D62" i="141" s="1"/>
  <c r="C62" i="141" s="1"/>
  <c r="Q63" i="141"/>
  <c r="P63" i="141" s="1"/>
  <c r="O63" i="141" s="1"/>
  <c r="E66" i="141"/>
  <c r="Q67" i="141"/>
  <c r="E69" i="141"/>
  <c r="D69" i="141" s="1"/>
  <c r="C69" i="141" s="1"/>
  <c r="E70" i="141"/>
  <c r="D70" i="141" s="1"/>
  <c r="C70" i="141" s="1"/>
  <c r="Q71" i="141"/>
  <c r="P71" i="141" s="1"/>
  <c r="O71" i="141" s="1"/>
  <c r="E73" i="141"/>
  <c r="D73" i="141" s="1"/>
  <c r="C73" i="141" s="1"/>
  <c r="E74" i="141"/>
  <c r="D74" i="141" s="1"/>
  <c r="C74" i="141" s="1"/>
  <c r="Q75" i="141"/>
  <c r="P75" i="141" s="1"/>
  <c r="O75" i="141" s="1"/>
  <c r="E78" i="141"/>
  <c r="Q79" i="141"/>
  <c r="E81" i="141"/>
  <c r="D81" i="141" s="1"/>
  <c r="C81" i="141" s="1"/>
  <c r="E82" i="141"/>
  <c r="D82" i="141" s="1"/>
  <c r="C82" i="141" s="1"/>
  <c r="Q83" i="141"/>
  <c r="P83" i="141" s="1"/>
  <c r="O83" i="141" s="1"/>
  <c r="E85" i="141"/>
  <c r="D85" i="141" s="1"/>
  <c r="C85" i="141" s="1"/>
  <c r="E86" i="141"/>
  <c r="D86" i="141" s="1"/>
  <c r="C86" i="141" s="1"/>
  <c r="Q87" i="141"/>
  <c r="P87" i="141" s="1"/>
  <c r="O87" i="141" s="1"/>
  <c r="E90" i="141"/>
  <c r="Q91" i="141"/>
  <c r="E93" i="141"/>
  <c r="D93" i="141" s="1"/>
  <c r="C93" i="141" s="1"/>
  <c r="E94" i="141"/>
  <c r="D94" i="141" s="1"/>
  <c r="C94" i="141" s="1"/>
  <c r="Q95" i="141"/>
  <c r="P95" i="141" s="1"/>
  <c r="O95" i="141" s="1"/>
  <c r="E97" i="141"/>
  <c r="D97" i="141" s="1"/>
  <c r="C97" i="141" s="1"/>
  <c r="E98" i="141"/>
  <c r="D98" i="141" s="1"/>
  <c r="C98" i="141" s="1"/>
  <c r="Q99" i="141"/>
  <c r="P99" i="141" s="1"/>
  <c r="O99" i="141" s="1"/>
  <c r="T36" i="141"/>
  <c r="T7" i="141" s="1"/>
  <c r="X36" i="141"/>
  <c r="Q48" i="141"/>
  <c r="P48" i="141" s="1"/>
  <c r="O48" i="141" s="1"/>
  <c r="Q50" i="141"/>
  <c r="P50" i="141" s="1"/>
  <c r="O50" i="141" s="1"/>
  <c r="Q52" i="141"/>
  <c r="P52" i="141" s="1"/>
  <c r="O52" i="141" s="1"/>
  <c r="Q54" i="141"/>
  <c r="Q56" i="141"/>
  <c r="P56" i="141" s="1"/>
  <c r="O56" i="141" s="1"/>
  <c r="Q58" i="141"/>
  <c r="P58" i="141" s="1"/>
  <c r="O58" i="141" s="1"/>
  <c r="Q60" i="141"/>
  <c r="P60" i="141" s="1"/>
  <c r="O60" i="141" s="1"/>
  <c r="Q62" i="141"/>
  <c r="P62" i="141" s="1"/>
  <c r="O62" i="141" s="1"/>
  <c r="Q64" i="141"/>
  <c r="P64" i="141" s="1"/>
  <c r="O64" i="141" s="1"/>
  <c r="Q66" i="141"/>
  <c r="Q68" i="141"/>
  <c r="P68" i="141" s="1"/>
  <c r="O68" i="141" s="1"/>
  <c r="Q70" i="141"/>
  <c r="P70" i="141" s="1"/>
  <c r="O70" i="141" s="1"/>
  <c r="Q72" i="141"/>
  <c r="P72" i="141" s="1"/>
  <c r="O72" i="141" s="1"/>
  <c r="Q74" i="141"/>
  <c r="P74" i="141" s="1"/>
  <c r="O74" i="141" s="1"/>
  <c r="Q76" i="141"/>
  <c r="P76" i="141" s="1"/>
  <c r="O76" i="141" s="1"/>
  <c r="Q78" i="141"/>
  <c r="Q80" i="141"/>
  <c r="P80" i="141" s="1"/>
  <c r="O80" i="141" s="1"/>
  <c r="Q82" i="141"/>
  <c r="P82" i="141" s="1"/>
  <c r="O82" i="141" s="1"/>
  <c r="Q84" i="141"/>
  <c r="P84" i="141" s="1"/>
  <c r="O84" i="141" s="1"/>
  <c r="Q86" i="141"/>
  <c r="P86" i="141" s="1"/>
  <c r="O86" i="141" s="1"/>
  <c r="Q88" i="141"/>
  <c r="P88" i="141" s="1"/>
  <c r="O88" i="141" s="1"/>
  <c r="Q90" i="141"/>
  <c r="Q92" i="141"/>
  <c r="P92" i="141" s="1"/>
  <c r="O92" i="141" s="1"/>
  <c r="Q94" i="141"/>
  <c r="P94" i="141" s="1"/>
  <c r="O94" i="141" s="1"/>
  <c r="Q96" i="141"/>
  <c r="P96" i="141" s="1"/>
  <c r="O96" i="141" s="1"/>
  <c r="Q98" i="141"/>
  <c r="P98" i="141" s="1"/>
  <c r="O98" i="141" s="1"/>
  <c r="Q100" i="141"/>
  <c r="P100" i="141" s="1"/>
  <c r="O100" i="141" s="1"/>
  <c r="I16" i="22"/>
  <c r="O16" i="22" s="1"/>
  <c r="I15" i="22"/>
  <c r="N9" i="145" l="1"/>
  <c r="O9" i="145"/>
  <c r="R9" i="145"/>
  <c r="O8" i="145"/>
  <c r="N8" i="145"/>
  <c r="N5" i="145"/>
  <c r="P5" i="145" s="1"/>
  <c r="O5" i="145"/>
  <c r="N7" i="145"/>
  <c r="O7" i="145"/>
  <c r="O10" i="145"/>
  <c r="N10" i="145"/>
  <c r="R5" i="145"/>
  <c r="R7" i="145"/>
  <c r="N9" i="144"/>
  <c r="O9" i="144"/>
  <c r="N7" i="144"/>
  <c r="O7" i="144"/>
  <c r="R9" i="144"/>
  <c r="R7" i="144"/>
  <c r="N5" i="144"/>
  <c r="P5" i="144" s="1"/>
  <c r="O5" i="144"/>
  <c r="R5" i="144"/>
  <c r="O8" i="144"/>
  <c r="N8" i="144"/>
  <c r="O10" i="144"/>
  <c r="N10" i="144"/>
  <c r="D10" i="131"/>
  <c r="D9" i="132" s="1"/>
  <c r="I55" i="121"/>
  <c r="D12" i="127"/>
  <c r="I46" i="121"/>
  <c r="D9" i="139"/>
  <c r="D8" i="140" s="1"/>
  <c r="I57" i="121"/>
  <c r="I58" i="121"/>
  <c r="D10" i="125"/>
  <c r="I32" i="121"/>
  <c r="D8" i="123"/>
  <c r="D133" i="123" s="1"/>
  <c r="D11" i="127"/>
  <c r="D11" i="137"/>
  <c r="F12" i="137" s="1"/>
  <c r="H12" i="137" s="1"/>
  <c r="D12" i="133"/>
  <c r="D9" i="127"/>
  <c r="X29" i="141"/>
  <c r="X5" i="141" s="1"/>
  <c r="H53" i="121" s="1"/>
  <c r="I53" i="121" s="1"/>
  <c r="X7" i="141"/>
  <c r="D8" i="127"/>
  <c r="D133" i="127" s="1"/>
  <c r="D11" i="125"/>
  <c r="D9" i="133"/>
  <c r="D8" i="125"/>
  <c r="D133" i="125" s="1"/>
  <c r="D7" i="129"/>
  <c r="D42" i="141"/>
  <c r="E41" i="141"/>
  <c r="E8" i="141" s="1"/>
  <c r="E9" i="141"/>
  <c r="T29" i="141"/>
  <c r="T5" i="141" s="1"/>
  <c r="H25" i="121" s="1"/>
  <c r="E16" i="141"/>
  <c r="D67" i="141"/>
  <c r="C43" i="141"/>
  <c r="C10" i="141" s="1"/>
  <c r="D10" i="141"/>
  <c r="B10" i="139"/>
  <c r="B93" i="139"/>
  <c r="E19" i="141"/>
  <c r="D79" i="141"/>
  <c r="I56" i="121"/>
  <c r="I60" i="121"/>
  <c r="B172" i="136"/>
  <c r="B93" i="138"/>
  <c r="E90" i="138" s="1"/>
  <c r="F90" i="138" s="1"/>
  <c r="B11" i="138"/>
  <c r="B94" i="138" s="1"/>
  <c r="B172" i="132"/>
  <c r="B92" i="132"/>
  <c r="B10" i="132"/>
  <c r="B10" i="131"/>
  <c r="B93" i="131"/>
  <c r="B172" i="130"/>
  <c r="B176" i="135"/>
  <c r="B173" i="128"/>
  <c r="B172" i="124"/>
  <c r="B92" i="126"/>
  <c r="B10" i="126"/>
  <c r="D12" i="129"/>
  <c r="D10" i="130"/>
  <c r="F11" i="129"/>
  <c r="H11" i="129" s="1"/>
  <c r="Q89" i="141"/>
  <c r="Q20" i="141" s="1"/>
  <c r="H9" i="121" s="1"/>
  <c r="Q21" i="141"/>
  <c r="P90" i="141"/>
  <c r="Q65" i="141"/>
  <c r="Q14" i="141" s="1"/>
  <c r="H7" i="121" s="1"/>
  <c r="Q15" i="141"/>
  <c r="P66" i="141"/>
  <c r="D9" i="125"/>
  <c r="D8" i="137"/>
  <c r="D133" i="137" s="1"/>
  <c r="E22" i="141"/>
  <c r="D91" i="141"/>
  <c r="D9" i="131"/>
  <c r="P41" i="141"/>
  <c r="P8" i="141" s="1"/>
  <c r="O42" i="141"/>
  <c r="P9" i="141"/>
  <c r="D10" i="139"/>
  <c r="B172" i="138"/>
  <c r="D11" i="131"/>
  <c r="D7" i="131"/>
  <c r="D132" i="131" s="1"/>
  <c r="H132" i="131" s="1"/>
  <c r="D7" i="133"/>
  <c r="B131" i="138"/>
  <c r="B132" i="138"/>
  <c r="E92" i="138"/>
  <c r="F92" i="138" s="1"/>
  <c r="B10" i="135"/>
  <c r="B93" i="135"/>
  <c r="B173" i="134"/>
  <c r="B92" i="130"/>
  <c r="B10" i="130"/>
  <c r="B92" i="128"/>
  <c r="B10" i="128"/>
  <c r="B175" i="131"/>
  <c r="B172" i="126"/>
  <c r="B176" i="129"/>
  <c r="D12" i="131"/>
  <c r="D9" i="130"/>
  <c r="F10" i="129"/>
  <c r="H10" i="129" s="1"/>
  <c r="D11" i="138"/>
  <c r="E74" i="137"/>
  <c r="E42" i="137"/>
  <c r="Q22" i="141"/>
  <c r="P91" i="141"/>
  <c r="Q19" i="141"/>
  <c r="P79" i="141"/>
  <c r="Q16" i="141"/>
  <c r="P67" i="141"/>
  <c r="Q13" i="141"/>
  <c r="P55" i="141"/>
  <c r="Q36" i="141"/>
  <c r="P36" i="141" s="1"/>
  <c r="O36" i="141" s="1"/>
  <c r="R29" i="141"/>
  <c r="R5" i="141" s="1"/>
  <c r="H11" i="121" s="1"/>
  <c r="R7" i="141"/>
  <c r="D9" i="135"/>
  <c r="D8" i="139"/>
  <c r="D133" i="139" s="1"/>
  <c r="Q10" i="141"/>
  <c r="D7" i="139"/>
  <c r="D132" i="139" s="1"/>
  <c r="H132" i="139" s="1"/>
  <c r="D12" i="125"/>
  <c r="I49" i="121"/>
  <c r="D31" i="141"/>
  <c r="H6" i="141"/>
  <c r="H29" i="141"/>
  <c r="H5" i="141" s="1"/>
  <c r="B131" i="140"/>
  <c r="E30" i="141"/>
  <c r="F29" i="141"/>
  <c r="F5" i="141" s="1"/>
  <c r="F6" i="141"/>
  <c r="B175" i="139"/>
  <c r="B10" i="134"/>
  <c r="B92" i="134"/>
  <c r="B92" i="136"/>
  <c r="B10" i="136"/>
  <c r="B93" i="133"/>
  <c r="B10" i="133"/>
  <c r="B173" i="132"/>
  <c r="B10" i="129"/>
  <c r="B93" i="129"/>
  <c r="B172" i="128"/>
  <c r="B173" i="130"/>
  <c r="B93" i="123"/>
  <c r="B10" i="123"/>
  <c r="B176" i="131"/>
  <c r="B176" i="125"/>
  <c r="B173" i="126"/>
  <c r="B176" i="123"/>
  <c r="B173" i="124"/>
  <c r="D8" i="130"/>
  <c r="D131" i="130" s="1"/>
  <c r="D9" i="138"/>
  <c r="D92" i="138" s="1"/>
  <c r="H92" i="138" s="1"/>
  <c r="F10" i="137"/>
  <c r="H10" i="137" s="1"/>
  <c r="Q77" i="141"/>
  <c r="Q17" i="141" s="1"/>
  <c r="H8" i="121" s="1"/>
  <c r="Q18" i="141"/>
  <c r="P78" i="141"/>
  <c r="Q53" i="141"/>
  <c r="Q11" i="141" s="1"/>
  <c r="H6" i="121" s="1"/>
  <c r="Q12" i="141"/>
  <c r="P54" i="141"/>
  <c r="E89" i="141"/>
  <c r="E20" i="141" s="1"/>
  <c r="D90" i="141"/>
  <c r="E21" i="141"/>
  <c r="E77" i="141"/>
  <c r="E17" i="141" s="1"/>
  <c r="D78" i="141"/>
  <c r="E18" i="141"/>
  <c r="E65" i="141"/>
  <c r="E14" i="141" s="1"/>
  <c r="D66" i="141"/>
  <c r="E15" i="141"/>
  <c r="E53" i="141"/>
  <c r="E11" i="141" s="1"/>
  <c r="D54" i="141"/>
  <c r="E12" i="141"/>
  <c r="D8" i="135"/>
  <c r="D133" i="135" s="1"/>
  <c r="Q7" i="141"/>
  <c r="P31" i="141"/>
  <c r="D11" i="133"/>
  <c r="O43" i="141"/>
  <c r="O10" i="141" s="1"/>
  <c r="P10" i="141"/>
  <c r="Q29" i="141"/>
  <c r="Q5" i="141" s="1"/>
  <c r="H4" i="121" s="1"/>
  <c r="Q6" i="141"/>
  <c r="P30" i="141"/>
  <c r="D12" i="135"/>
  <c r="D8" i="131"/>
  <c r="E13" i="141"/>
  <c r="D55" i="141"/>
  <c r="D8" i="129"/>
  <c r="Q41" i="141"/>
  <c r="Q8" i="141" s="1"/>
  <c r="H5" i="121" s="1"/>
  <c r="E32" i="141"/>
  <c r="D32" i="141" s="1"/>
  <c r="C32" i="141" s="1"/>
  <c r="F7" i="141"/>
  <c r="E10" i="141"/>
  <c r="B92" i="140"/>
  <c r="B10" i="140"/>
  <c r="D8" i="133"/>
  <c r="D11" i="139"/>
  <c r="D7" i="125"/>
  <c r="B176" i="139"/>
  <c r="B93" i="137"/>
  <c r="B10" i="137"/>
  <c r="B175" i="137"/>
  <c r="B175" i="133"/>
  <c r="D132" i="133"/>
  <c r="H132" i="133" s="1"/>
  <c r="B176" i="137"/>
  <c r="B173" i="136"/>
  <c r="D133" i="133"/>
  <c r="B176" i="133"/>
  <c r="B93" i="127"/>
  <c r="B10" i="127"/>
  <c r="B93" i="125"/>
  <c r="B10" i="125"/>
  <c r="B92" i="124"/>
  <c r="B10" i="124"/>
  <c r="B176" i="127"/>
  <c r="D12" i="139"/>
  <c r="D8" i="138"/>
  <c r="D91" i="138" s="1"/>
  <c r="I15" i="26"/>
  <c r="I14" i="26"/>
  <c r="H15" i="26"/>
  <c r="H14" i="26"/>
  <c r="K13" i="26"/>
  <c r="J13" i="26"/>
  <c r="I13" i="26"/>
  <c r="H13" i="26"/>
  <c r="K12" i="26"/>
  <c r="J12" i="26"/>
  <c r="I12" i="26"/>
  <c r="H12" i="26"/>
  <c r="K11" i="26"/>
  <c r="J11" i="26"/>
  <c r="I11" i="26"/>
  <c r="H11" i="26"/>
  <c r="K10" i="26"/>
  <c r="J10" i="26"/>
  <c r="I10" i="26"/>
  <c r="H10" i="26"/>
  <c r="K9" i="26"/>
  <c r="J9" i="26"/>
  <c r="I9" i="26"/>
  <c r="H9" i="26"/>
  <c r="K8" i="26"/>
  <c r="J8" i="26"/>
  <c r="I8" i="26"/>
  <c r="H8" i="26"/>
  <c r="K7" i="26"/>
  <c r="J7" i="26"/>
  <c r="I7" i="26"/>
  <c r="H7" i="26"/>
  <c r="K6" i="26"/>
  <c r="J6" i="26"/>
  <c r="I6" i="26"/>
  <c r="H6" i="26"/>
  <c r="K5" i="26"/>
  <c r="J5" i="26"/>
  <c r="I5" i="26"/>
  <c r="H5" i="26"/>
  <c r="K4" i="26"/>
  <c r="J4" i="26"/>
  <c r="I4" i="26"/>
  <c r="H4" i="26"/>
  <c r="D16" i="87"/>
  <c r="D15" i="87"/>
  <c r="D14" i="87"/>
  <c r="D13" i="87"/>
  <c r="D12" i="87"/>
  <c r="D11" i="87"/>
  <c r="D10" i="87"/>
  <c r="D9" i="87"/>
  <c r="D8" i="87"/>
  <c r="D7" i="87"/>
  <c r="F9" i="137" l="1"/>
  <c r="H9" i="137" s="1"/>
  <c r="P8" i="144"/>
  <c r="F7" i="113"/>
  <c r="P7" i="144"/>
  <c r="F6" i="113"/>
  <c r="P7" i="145"/>
  <c r="F14" i="113"/>
  <c r="P10" i="145"/>
  <c r="F17" i="113"/>
  <c r="P10" i="144"/>
  <c r="F9" i="113"/>
  <c r="P9" i="144"/>
  <c r="F8" i="113"/>
  <c r="P8" i="145"/>
  <c r="F15" i="113"/>
  <c r="P9" i="145"/>
  <c r="F16" i="113"/>
  <c r="F10" i="131"/>
  <c r="H10" i="131" s="1"/>
  <c r="D11" i="135"/>
  <c r="F12" i="135" s="1"/>
  <c r="H12" i="135" s="1"/>
  <c r="F9" i="139"/>
  <c r="H9" i="139" s="1"/>
  <c r="G150" i="89"/>
  <c r="G151" i="89"/>
  <c r="F10" i="130"/>
  <c r="H10" i="130" s="1"/>
  <c r="F12" i="139"/>
  <c r="H12" i="139" s="1"/>
  <c r="D11" i="140"/>
  <c r="H42" i="139"/>
  <c r="E74" i="139"/>
  <c r="E42" i="139"/>
  <c r="B132" i="124"/>
  <c r="D10" i="140"/>
  <c r="F11" i="139"/>
  <c r="H11" i="139" s="1"/>
  <c r="C55" i="141"/>
  <c r="C13" i="141" s="1"/>
  <c r="D13" i="141"/>
  <c r="O30" i="141"/>
  <c r="P29" i="141"/>
  <c r="P5" i="141" s="1"/>
  <c r="P6" i="141"/>
  <c r="D176" i="123"/>
  <c r="D10" i="127"/>
  <c r="F11" i="127" s="1"/>
  <c r="H11" i="127" s="1"/>
  <c r="D8" i="136"/>
  <c r="D173" i="136" s="1"/>
  <c r="F9" i="135"/>
  <c r="H9" i="135" s="1"/>
  <c r="O79" i="141"/>
  <c r="O19" i="141" s="1"/>
  <c r="P19" i="141"/>
  <c r="E41" i="138"/>
  <c r="E73" i="138"/>
  <c r="D11" i="132"/>
  <c r="H42" i="131"/>
  <c r="E42" i="131"/>
  <c r="F12" i="131"/>
  <c r="H12" i="131" s="1"/>
  <c r="E74" i="131"/>
  <c r="B93" i="124"/>
  <c r="B11" i="124"/>
  <c r="B94" i="124" s="1"/>
  <c r="B11" i="127"/>
  <c r="B94" i="127"/>
  <c r="E130" i="138"/>
  <c r="D176" i="139"/>
  <c r="B93" i="140"/>
  <c r="B11" i="140"/>
  <c r="B94" i="140" s="1"/>
  <c r="E90" i="140" s="1"/>
  <c r="F90" i="140" s="1"/>
  <c r="D7" i="130"/>
  <c r="F8" i="130" s="1"/>
  <c r="H8" i="130" s="1"/>
  <c r="F8" i="129"/>
  <c r="H8" i="129" s="1"/>
  <c r="D92" i="129"/>
  <c r="D9" i="126"/>
  <c r="F10" i="125"/>
  <c r="H10" i="125" s="1"/>
  <c r="D11" i="136"/>
  <c r="E42" i="135"/>
  <c r="E74" i="135"/>
  <c r="P7" i="141"/>
  <c r="O31" i="141"/>
  <c r="O7" i="141" s="1"/>
  <c r="C66" i="141"/>
  <c r="D15" i="141"/>
  <c r="D65" i="141"/>
  <c r="D14" i="141" s="1"/>
  <c r="F9" i="129"/>
  <c r="H9" i="129" s="1"/>
  <c r="B11" i="123"/>
  <c r="B94" i="123"/>
  <c r="B93" i="136"/>
  <c r="B11" i="136"/>
  <c r="B94" i="136" s="1"/>
  <c r="E29" i="141"/>
  <c r="E5" i="141" s="1"/>
  <c r="I4" i="121" s="1"/>
  <c r="G147" i="89" s="1"/>
  <c r="E6" i="141"/>
  <c r="D30" i="141"/>
  <c r="D10" i="133"/>
  <c r="H42" i="133" s="1"/>
  <c r="D13" i="139"/>
  <c r="D91" i="139"/>
  <c r="B11" i="128"/>
  <c r="B94" i="128" s="1"/>
  <c r="B93" i="128"/>
  <c r="D91" i="133"/>
  <c r="D10" i="132"/>
  <c r="F10" i="132" s="1"/>
  <c r="H10" i="132" s="1"/>
  <c r="F11" i="131"/>
  <c r="H11" i="131" s="1"/>
  <c r="F10" i="139"/>
  <c r="H10" i="139" s="1"/>
  <c r="D9" i="140"/>
  <c r="F9" i="140" s="1"/>
  <c r="H9" i="140" s="1"/>
  <c r="O66" i="141"/>
  <c r="P65" i="141"/>
  <c r="P14" i="141" s="1"/>
  <c r="P15" i="141"/>
  <c r="B93" i="126"/>
  <c r="B11" i="126"/>
  <c r="B94" i="126" s="1"/>
  <c r="B93" i="132"/>
  <c r="B11" i="132"/>
  <c r="B94" i="132" s="1"/>
  <c r="E91" i="132" s="1"/>
  <c r="F91" i="132" s="1"/>
  <c r="B134" i="138"/>
  <c r="E94" i="138"/>
  <c r="F94" i="138" s="1"/>
  <c r="D94" i="138"/>
  <c r="H94" i="138" s="1"/>
  <c r="C79" i="141"/>
  <c r="C19" i="141" s="1"/>
  <c r="D19" i="141"/>
  <c r="D7" i="135"/>
  <c r="G148" i="89"/>
  <c r="D41" i="141"/>
  <c r="D8" i="141" s="1"/>
  <c r="C42" i="141"/>
  <c r="D9" i="141"/>
  <c r="D91" i="129"/>
  <c r="D13" i="129"/>
  <c r="D132" i="129"/>
  <c r="H132" i="129" s="1"/>
  <c r="D175" i="129"/>
  <c r="F9" i="133"/>
  <c r="H9" i="133" s="1"/>
  <c r="D8" i="134"/>
  <c r="D7" i="128"/>
  <c r="D172" i="128" s="1"/>
  <c r="D92" i="127"/>
  <c r="D8" i="128"/>
  <c r="F9" i="127"/>
  <c r="H9" i="127" s="1"/>
  <c r="D10" i="138"/>
  <c r="F10" i="138" s="1"/>
  <c r="H10" i="138" s="1"/>
  <c r="F11" i="137"/>
  <c r="H11" i="137" s="1"/>
  <c r="D176" i="127"/>
  <c r="D175" i="133"/>
  <c r="D92" i="140"/>
  <c r="E92" i="140"/>
  <c r="F92" i="140" s="1"/>
  <c r="B132" i="140"/>
  <c r="D176" i="125"/>
  <c r="D175" i="139"/>
  <c r="B173" i="140"/>
  <c r="D131" i="140"/>
  <c r="O55" i="141"/>
  <c r="O13" i="141" s="1"/>
  <c r="P13" i="141"/>
  <c r="B132" i="128"/>
  <c r="E92" i="128"/>
  <c r="F92" i="128" s="1"/>
  <c r="E91" i="128"/>
  <c r="F91" i="128" s="1"/>
  <c r="E130" i="128"/>
  <c r="E90" i="128"/>
  <c r="F90" i="128" s="1"/>
  <c r="E131" i="128"/>
  <c r="F131" i="128" s="1"/>
  <c r="G131" i="128" s="1"/>
  <c r="E132" i="128"/>
  <c r="F132" i="128" s="1"/>
  <c r="G132" i="128" s="1"/>
  <c r="D7" i="124"/>
  <c r="D172" i="124" s="1"/>
  <c r="D92" i="123"/>
  <c r="B132" i="132"/>
  <c r="D92" i="132"/>
  <c r="E131" i="132"/>
  <c r="F131" i="132" s="1"/>
  <c r="G131" i="132" s="1"/>
  <c r="E130" i="132"/>
  <c r="B11" i="125"/>
  <c r="B94" i="125"/>
  <c r="D176" i="133"/>
  <c r="B134" i="137"/>
  <c r="D93" i="137"/>
  <c r="D91" i="125"/>
  <c r="D13" i="125"/>
  <c r="D132" i="125"/>
  <c r="H132" i="125" s="1"/>
  <c r="D175" i="125"/>
  <c r="D7" i="132"/>
  <c r="D172" i="132" s="1"/>
  <c r="F8" i="131"/>
  <c r="H8" i="131" s="1"/>
  <c r="D92" i="131"/>
  <c r="G149" i="89"/>
  <c r="C90" i="141"/>
  <c r="D21" i="141"/>
  <c r="D89" i="141"/>
  <c r="D20" i="141" s="1"/>
  <c r="O54" i="141"/>
  <c r="P53" i="141"/>
  <c r="P11" i="141" s="1"/>
  <c r="P12" i="141"/>
  <c r="D133" i="131"/>
  <c r="B134" i="129"/>
  <c r="D93" i="129"/>
  <c r="B94" i="133"/>
  <c r="B11" i="133"/>
  <c r="B132" i="134"/>
  <c r="E92" i="134"/>
  <c r="F92" i="134" s="1"/>
  <c r="E91" i="134"/>
  <c r="F91" i="134" s="1"/>
  <c r="D91" i="140"/>
  <c r="E7" i="141"/>
  <c r="E74" i="125"/>
  <c r="D11" i="126"/>
  <c r="H42" i="125"/>
  <c r="E42" i="125"/>
  <c r="F12" i="125"/>
  <c r="H12" i="125" s="1"/>
  <c r="D133" i="129"/>
  <c r="B11" i="130"/>
  <c r="B94" i="130" s="1"/>
  <c r="B93" i="130"/>
  <c r="B134" i="135"/>
  <c r="D93" i="135"/>
  <c r="B174" i="138"/>
  <c r="D132" i="138"/>
  <c r="D131" i="138"/>
  <c r="B173" i="138"/>
  <c r="D13" i="131"/>
  <c r="D91" i="131"/>
  <c r="O41" i="141"/>
  <c r="O8" i="141" s="1"/>
  <c r="O9" i="141"/>
  <c r="C91" i="141"/>
  <c r="C22" i="141" s="1"/>
  <c r="D22" i="141"/>
  <c r="B134" i="131"/>
  <c r="D93" i="131"/>
  <c r="D7" i="137"/>
  <c r="D175" i="137" s="1"/>
  <c r="B134" i="139"/>
  <c r="D93" i="139"/>
  <c r="C67" i="141"/>
  <c r="C16" i="141" s="1"/>
  <c r="D16" i="141"/>
  <c r="D12" i="123"/>
  <c r="B134" i="127"/>
  <c r="D93" i="127"/>
  <c r="B11" i="137"/>
  <c r="B94" i="137"/>
  <c r="D12" i="141"/>
  <c r="C54" i="141"/>
  <c r="D53" i="141"/>
  <c r="D11" i="141" s="1"/>
  <c r="O78" i="141"/>
  <c r="P77" i="141"/>
  <c r="P17" i="141" s="1"/>
  <c r="P18" i="141"/>
  <c r="D91" i="130"/>
  <c r="B134" i="123"/>
  <c r="B132" i="136"/>
  <c r="E92" i="136"/>
  <c r="F92" i="136" s="1"/>
  <c r="E131" i="136"/>
  <c r="F131" i="136" s="1"/>
  <c r="G131" i="136" s="1"/>
  <c r="E130" i="136"/>
  <c r="E132" i="136"/>
  <c r="F132" i="136" s="1"/>
  <c r="G132" i="136" s="1"/>
  <c r="E91" i="136"/>
  <c r="F91" i="136" s="1"/>
  <c r="E90" i="136"/>
  <c r="F90" i="136" s="1"/>
  <c r="D7" i="141"/>
  <c r="C31" i="141"/>
  <c r="C7" i="141" s="1"/>
  <c r="D8" i="132"/>
  <c r="F9" i="131"/>
  <c r="H9" i="131" s="1"/>
  <c r="D8" i="126"/>
  <c r="D173" i="126" s="1"/>
  <c r="F9" i="125"/>
  <c r="H9" i="125" s="1"/>
  <c r="B132" i="126"/>
  <c r="E92" i="126"/>
  <c r="F92" i="126" s="1"/>
  <c r="E132" i="126"/>
  <c r="F132" i="126" s="1"/>
  <c r="G132" i="126" s="1"/>
  <c r="E130" i="126"/>
  <c r="E90" i="126"/>
  <c r="F90" i="126" s="1"/>
  <c r="E91" i="126"/>
  <c r="F91" i="126" s="1"/>
  <c r="E131" i="126"/>
  <c r="F131" i="126" s="1"/>
  <c r="G131" i="126" s="1"/>
  <c r="B133" i="138"/>
  <c r="E93" i="138"/>
  <c r="F93" i="138" s="1"/>
  <c r="E132" i="138"/>
  <c r="F132" i="138" s="1"/>
  <c r="G132" i="138" s="1"/>
  <c r="E133" i="138"/>
  <c r="F133" i="138" s="1"/>
  <c r="G133" i="138" s="1"/>
  <c r="E134" i="138"/>
  <c r="F134" i="138" s="1"/>
  <c r="E131" i="138"/>
  <c r="F131" i="138" s="1"/>
  <c r="G131" i="138" s="1"/>
  <c r="B134" i="125"/>
  <c r="D93" i="125"/>
  <c r="D176" i="137"/>
  <c r="D11" i="123"/>
  <c r="F8" i="133"/>
  <c r="H8" i="133" s="1"/>
  <c r="D7" i="134"/>
  <c r="D92" i="133"/>
  <c r="D10" i="123"/>
  <c r="D10" i="134"/>
  <c r="D7" i="136"/>
  <c r="D92" i="135"/>
  <c r="D77" i="141"/>
  <c r="D17" i="141" s="1"/>
  <c r="C78" i="141"/>
  <c r="D18" i="141"/>
  <c r="G152" i="89"/>
  <c r="F9" i="138"/>
  <c r="H9" i="138" s="1"/>
  <c r="D176" i="131"/>
  <c r="D173" i="130"/>
  <c r="B11" i="129"/>
  <c r="B94" i="129"/>
  <c r="D93" i="133"/>
  <c r="B134" i="133"/>
  <c r="B11" i="134"/>
  <c r="B94" i="134" s="1"/>
  <c r="B93" i="134"/>
  <c r="E90" i="134" s="1"/>
  <c r="F90" i="134" s="1"/>
  <c r="D7" i="123"/>
  <c r="F8" i="123" s="1"/>
  <c r="H8" i="123" s="1"/>
  <c r="D9" i="123"/>
  <c r="D93" i="123" s="1"/>
  <c r="D7" i="140"/>
  <c r="F8" i="140" s="1"/>
  <c r="H8" i="140" s="1"/>
  <c r="F8" i="139"/>
  <c r="H8" i="139" s="1"/>
  <c r="D92" i="139"/>
  <c r="O67" i="141"/>
  <c r="O16" i="141" s="1"/>
  <c r="P16" i="141"/>
  <c r="O91" i="141"/>
  <c r="O22" i="141" s="1"/>
  <c r="P22" i="141"/>
  <c r="F9" i="130"/>
  <c r="H9" i="130" s="1"/>
  <c r="D176" i="129"/>
  <c r="D175" i="131"/>
  <c r="B132" i="130"/>
  <c r="E92" i="130"/>
  <c r="F92" i="130" s="1"/>
  <c r="D92" i="130"/>
  <c r="H92" i="130" s="1"/>
  <c r="E131" i="130"/>
  <c r="F131" i="130" s="1"/>
  <c r="G131" i="130" s="1"/>
  <c r="E132" i="130"/>
  <c r="F132" i="130" s="1"/>
  <c r="G132" i="130" s="1"/>
  <c r="E91" i="130"/>
  <c r="F91" i="130" s="1"/>
  <c r="E90" i="130"/>
  <c r="F90" i="130" s="1"/>
  <c r="E130" i="130"/>
  <c r="B11" i="135"/>
  <c r="B94" i="135"/>
  <c r="E91" i="138"/>
  <c r="F91" i="138" s="1"/>
  <c r="F95" i="138" s="1"/>
  <c r="D7" i="138"/>
  <c r="D172" i="138" s="1"/>
  <c r="F8" i="137"/>
  <c r="H8" i="137" s="1"/>
  <c r="D92" i="137"/>
  <c r="P89" i="141"/>
  <c r="P20" i="141" s="1"/>
  <c r="P21" i="141"/>
  <c r="O90" i="141"/>
  <c r="D11" i="130"/>
  <c r="H42" i="129"/>
  <c r="E42" i="129"/>
  <c r="F12" i="129"/>
  <c r="H12" i="129" s="1"/>
  <c r="E74" i="129"/>
  <c r="D176" i="135"/>
  <c r="B11" i="131"/>
  <c r="B94" i="131"/>
  <c r="D10" i="135"/>
  <c r="B94" i="139"/>
  <c r="B11" i="139"/>
  <c r="D11" i="128"/>
  <c r="E42" i="127"/>
  <c r="E74" i="127"/>
  <c r="F12" i="127"/>
  <c r="H12" i="127" s="1"/>
  <c r="D7" i="126"/>
  <c r="F8" i="125"/>
  <c r="H8" i="125" s="1"/>
  <c r="D92" i="125"/>
  <c r="D10" i="126"/>
  <c r="F11" i="125"/>
  <c r="H11" i="125" s="1"/>
  <c r="F12" i="133"/>
  <c r="H12" i="133" s="1"/>
  <c r="E74" i="133"/>
  <c r="D11" i="134"/>
  <c r="E42" i="133"/>
  <c r="D10" i="128"/>
  <c r="D16" i="69"/>
  <c r="D15" i="69"/>
  <c r="D14" i="69"/>
  <c r="D13" i="69"/>
  <c r="D12" i="69"/>
  <c r="D11" i="69"/>
  <c r="D10" i="69"/>
  <c r="D9" i="69"/>
  <c r="D8" i="69"/>
  <c r="D16" i="72"/>
  <c r="D15" i="72"/>
  <c r="D14" i="72"/>
  <c r="D13" i="72"/>
  <c r="D12" i="72"/>
  <c r="D11" i="72"/>
  <c r="D10" i="72"/>
  <c r="D9" i="72"/>
  <c r="G156" i="89" l="1"/>
  <c r="D172" i="130"/>
  <c r="H172" i="130" s="1"/>
  <c r="F11" i="133"/>
  <c r="H11" i="133" s="1"/>
  <c r="F11" i="135"/>
  <c r="H11" i="135" s="1"/>
  <c r="D10" i="136"/>
  <c r="D93" i="136" s="1"/>
  <c r="H93" i="136" s="1"/>
  <c r="H42" i="123"/>
  <c r="D13" i="133"/>
  <c r="G155" i="89"/>
  <c r="G154" i="89"/>
  <c r="F9" i="126"/>
  <c r="H9" i="126" s="1"/>
  <c r="D92" i="126"/>
  <c r="H92" i="126" s="1"/>
  <c r="H42" i="135"/>
  <c r="D38" i="135" s="1"/>
  <c r="H38" i="135" s="1"/>
  <c r="D231" i="135" s="1" a="1"/>
  <c r="D231" i="135" s="1"/>
  <c r="D93" i="138"/>
  <c r="H93" i="138" s="1"/>
  <c r="H172" i="128"/>
  <c r="G172" i="128"/>
  <c r="I172" i="128" s="1"/>
  <c r="H172" i="138"/>
  <c r="G172" i="138"/>
  <c r="I172" i="138" s="1"/>
  <c r="H173" i="136"/>
  <c r="G173" i="136"/>
  <c r="I173" i="136" s="1"/>
  <c r="E93" i="124"/>
  <c r="F93" i="124" s="1"/>
  <c r="B133" i="124"/>
  <c r="H73" i="138"/>
  <c r="D72" i="138" s="1"/>
  <c r="H72" i="138" s="1"/>
  <c r="E230" i="138" s="1" a="1"/>
  <c r="E230" i="138" s="1"/>
  <c r="H79" i="122" s="1"/>
  <c r="E90" i="124"/>
  <c r="F90" i="124" s="1"/>
  <c r="E131" i="124"/>
  <c r="F131" i="124" s="1"/>
  <c r="G131" i="124" s="1"/>
  <c r="D41" i="139"/>
  <c r="H41" i="139" s="1"/>
  <c r="D234" i="139" s="1" a="1"/>
  <c r="D234" i="139" s="1"/>
  <c r="D37" i="139"/>
  <c r="H37" i="139" s="1"/>
  <c r="D230" i="139" s="1" a="1"/>
  <c r="D230" i="139" s="1"/>
  <c r="D33" i="139"/>
  <c r="H33" i="139" s="1"/>
  <c r="D226" i="139" s="1" a="1"/>
  <c r="D226" i="139" s="1"/>
  <c r="D29" i="139"/>
  <c r="H29" i="139" s="1"/>
  <c r="D222" i="139" s="1" a="1"/>
  <c r="D222" i="139" s="1"/>
  <c r="D25" i="139"/>
  <c r="H25" i="139" s="1"/>
  <c r="D218" i="139" s="1" a="1"/>
  <c r="D218" i="139" s="1"/>
  <c r="D40" i="139"/>
  <c r="H40" i="139" s="1"/>
  <c r="D233" i="139" s="1" a="1"/>
  <c r="D233" i="139" s="1"/>
  <c r="D35" i="139"/>
  <c r="H35" i="139" s="1"/>
  <c r="D228" i="139" s="1" a="1"/>
  <c r="D228" i="139" s="1"/>
  <c r="D30" i="139"/>
  <c r="H30" i="139" s="1"/>
  <c r="D223" i="139" s="1" a="1"/>
  <c r="D223" i="139" s="1"/>
  <c r="D24" i="139"/>
  <c r="H24" i="139" s="1"/>
  <c r="D217" i="139" s="1" a="1"/>
  <c r="D217" i="139" s="1"/>
  <c r="D39" i="139"/>
  <c r="H39" i="139" s="1"/>
  <c r="D232" i="139" s="1" a="1"/>
  <c r="D232" i="139" s="1"/>
  <c r="D34" i="139"/>
  <c r="H34" i="139" s="1"/>
  <c r="D227" i="139" s="1" a="1"/>
  <c r="D227" i="139" s="1"/>
  <c r="D28" i="139"/>
  <c r="H28" i="139" s="1"/>
  <c r="D221" i="139" s="1" a="1"/>
  <c r="D221" i="139" s="1"/>
  <c r="D23" i="139"/>
  <c r="H23" i="139" s="1"/>
  <c r="D216" i="139" s="1" a="1"/>
  <c r="D216" i="139" s="1"/>
  <c r="D36" i="139"/>
  <c r="H36" i="139" s="1"/>
  <c r="D229" i="139" s="1" a="1"/>
  <c r="D229" i="139" s="1"/>
  <c r="D31" i="139"/>
  <c r="H31" i="139" s="1"/>
  <c r="D224" i="139" s="1" a="1"/>
  <c r="D224" i="139" s="1"/>
  <c r="D26" i="139"/>
  <c r="H26" i="139" s="1"/>
  <c r="D219" i="139" s="1" a="1"/>
  <c r="D219" i="139" s="1"/>
  <c r="D32" i="139"/>
  <c r="H32" i="139" s="1"/>
  <c r="D225" i="139" s="1" a="1"/>
  <c r="D225" i="139" s="1"/>
  <c r="D27" i="139"/>
  <c r="H27" i="139" s="1"/>
  <c r="D220" i="139" s="1" a="1"/>
  <c r="D220" i="139" s="1"/>
  <c r="D22" i="139"/>
  <c r="H22" i="139" s="1"/>
  <c r="D215" i="139" s="1" a="1"/>
  <c r="D215" i="139" s="1"/>
  <c r="D38" i="139"/>
  <c r="H38" i="139" s="1"/>
  <c r="D231" i="139" s="1" a="1"/>
  <c r="D231" i="139" s="1"/>
  <c r="D90" i="126"/>
  <c r="D12" i="126"/>
  <c r="D130" i="126"/>
  <c r="H130" i="126" s="1"/>
  <c r="B135" i="131"/>
  <c r="D94" i="131"/>
  <c r="H13" i="137"/>
  <c r="J13" i="137"/>
  <c r="H176" i="131"/>
  <c r="G176" i="131"/>
  <c r="I176" i="131" s="1"/>
  <c r="C77" i="141"/>
  <c r="C17" i="141" s="1"/>
  <c r="C18" i="141"/>
  <c r="D9" i="124"/>
  <c r="D132" i="124" s="1"/>
  <c r="F10" i="123"/>
  <c r="H10" i="123" s="1"/>
  <c r="H176" i="137"/>
  <c r="G176" i="137"/>
  <c r="I176" i="137" s="1"/>
  <c r="D134" i="125"/>
  <c r="B177" i="125"/>
  <c r="B175" i="138"/>
  <c r="D133" i="138"/>
  <c r="F8" i="132"/>
  <c r="H8" i="132" s="1"/>
  <c r="D91" i="132"/>
  <c r="H91" i="132" s="1"/>
  <c r="D131" i="132"/>
  <c r="B135" i="137"/>
  <c r="D94" i="137"/>
  <c r="H74" i="125"/>
  <c r="D72" i="125" s="1"/>
  <c r="H72" i="125" s="1"/>
  <c r="E233" i="125" s="1" a="1"/>
  <c r="E233" i="125" s="1"/>
  <c r="J13" i="131"/>
  <c r="H13" i="131"/>
  <c r="B135" i="123"/>
  <c r="D94" i="123"/>
  <c r="H74" i="129"/>
  <c r="D71" i="129" s="1"/>
  <c r="H71" i="129" s="1"/>
  <c r="E232" i="129" s="1" a="1"/>
  <c r="E232" i="129" s="1"/>
  <c r="D91" i="123"/>
  <c r="D13" i="123"/>
  <c r="D175" i="123"/>
  <c r="D132" i="123"/>
  <c r="H132" i="123" s="1"/>
  <c r="H173" i="126"/>
  <c r="G173" i="126"/>
  <c r="I173" i="126" s="1"/>
  <c r="D10" i="124"/>
  <c r="F11" i="123"/>
  <c r="H11" i="123" s="1"/>
  <c r="F9" i="132"/>
  <c r="H9" i="132" s="1"/>
  <c r="G172" i="130"/>
  <c r="I172" i="130" s="1"/>
  <c r="B12" i="137"/>
  <c r="B96" i="137" s="1"/>
  <c r="B95" i="137"/>
  <c r="E94" i="137" s="1"/>
  <c r="F94" i="137" s="1"/>
  <c r="F8" i="138"/>
  <c r="H8" i="138" s="1"/>
  <c r="D174" i="138"/>
  <c r="E93" i="130"/>
  <c r="F93" i="130" s="1"/>
  <c r="B133" i="130"/>
  <c r="D93" i="130"/>
  <c r="D41" i="125"/>
  <c r="H41" i="125" s="1"/>
  <c r="D234" i="125" s="1" a="1"/>
  <c r="D234" i="125" s="1"/>
  <c r="D39" i="125"/>
  <c r="H39" i="125" s="1"/>
  <c r="D232" i="125" s="1" a="1"/>
  <c r="D232" i="125" s="1"/>
  <c r="D37" i="125"/>
  <c r="H37" i="125" s="1"/>
  <c r="D230" i="125" s="1" a="1"/>
  <c r="D230" i="125" s="1"/>
  <c r="D35" i="125"/>
  <c r="H35" i="125" s="1"/>
  <c r="D228" i="125" s="1" a="1"/>
  <c r="D228" i="125" s="1"/>
  <c r="D33" i="125"/>
  <c r="H33" i="125" s="1"/>
  <c r="D226" i="125" s="1" a="1"/>
  <c r="D226" i="125" s="1"/>
  <c r="D31" i="125"/>
  <c r="H31" i="125" s="1"/>
  <c r="D224" i="125" s="1" a="1"/>
  <c r="D224" i="125" s="1"/>
  <c r="D29" i="125"/>
  <c r="H29" i="125" s="1"/>
  <c r="D222" i="125" s="1" a="1"/>
  <c r="D222" i="125" s="1"/>
  <c r="D27" i="125"/>
  <c r="H27" i="125" s="1"/>
  <c r="D220" i="125" s="1" a="1"/>
  <c r="D220" i="125" s="1"/>
  <c r="D25" i="125"/>
  <c r="H25" i="125" s="1"/>
  <c r="D218" i="125" s="1" a="1"/>
  <c r="D218" i="125" s="1"/>
  <c r="D23" i="125"/>
  <c r="H23" i="125" s="1"/>
  <c r="D216" i="125" s="1" a="1"/>
  <c r="D216" i="125" s="1"/>
  <c r="D40" i="125"/>
  <c r="H40" i="125" s="1"/>
  <c r="D233" i="125" s="1" a="1"/>
  <c r="D233" i="125" s="1"/>
  <c r="D38" i="125"/>
  <c r="H38" i="125" s="1"/>
  <c r="D231" i="125" s="1" a="1"/>
  <c r="D231" i="125" s="1"/>
  <c r="D36" i="125"/>
  <c r="H36" i="125" s="1"/>
  <c r="D229" i="125" s="1" a="1"/>
  <c r="D229" i="125" s="1"/>
  <c r="D34" i="125"/>
  <c r="H34" i="125" s="1"/>
  <c r="D227" i="125" s="1" a="1"/>
  <c r="D227" i="125" s="1"/>
  <c r="D32" i="125"/>
  <c r="H32" i="125" s="1"/>
  <c r="D225" i="125" s="1" a="1"/>
  <c r="D225" i="125" s="1"/>
  <c r="D30" i="125"/>
  <c r="H30" i="125" s="1"/>
  <c r="D223" i="125" s="1" a="1"/>
  <c r="D223" i="125" s="1"/>
  <c r="D28" i="125"/>
  <c r="H28" i="125" s="1"/>
  <c r="D221" i="125" s="1" a="1"/>
  <c r="D221" i="125" s="1"/>
  <c r="D26" i="125"/>
  <c r="H26" i="125" s="1"/>
  <c r="D219" i="125" s="1" a="1"/>
  <c r="D219" i="125" s="1"/>
  <c r="D24" i="125"/>
  <c r="H24" i="125" s="1"/>
  <c r="D217" i="125" s="1" a="1"/>
  <c r="D217" i="125" s="1"/>
  <c r="D22" i="125"/>
  <c r="H22" i="125" s="1"/>
  <c r="D215" i="125" s="1" a="1"/>
  <c r="D215" i="125" s="1"/>
  <c r="E130" i="134"/>
  <c r="B174" i="134"/>
  <c r="C89" i="141"/>
  <c r="C20" i="141" s="1"/>
  <c r="C21" i="141"/>
  <c r="D90" i="132"/>
  <c r="D12" i="132"/>
  <c r="D130" i="132"/>
  <c r="H130" i="132" s="1"/>
  <c r="H176" i="133"/>
  <c r="G176" i="133"/>
  <c r="I176" i="133" s="1"/>
  <c r="E133" i="132"/>
  <c r="F133" i="132" s="1"/>
  <c r="G133" i="132" s="1"/>
  <c r="E90" i="132"/>
  <c r="F90" i="132" s="1"/>
  <c r="D90" i="124"/>
  <c r="D130" i="124"/>
  <c r="H130" i="124" s="1"/>
  <c r="H175" i="139"/>
  <c r="G175" i="139"/>
  <c r="I175" i="139" s="1"/>
  <c r="H176" i="125"/>
  <c r="G176" i="125"/>
  <c r="I176" i="125" s="1"/>
  <c r="H92" i="140"/>
  <c r="F8" i="128"/>
  <c r="H8" i="128" s="1"/>
  <c r="D91" i="128"/>
  <c r="H91" i="128" s="1"/>
  <c r="D131" i="128"/>
  <c r="F8" i="134"/>
  <c r="H8" i="134" s="1"/>
  <c r="D91" i="134"/>
  <c r="H91" i="134" s="1"/>
  <c r="D131" i="134"/>
  <c r="B133" i="132"/>
  <c r="D93" i="132"/>
  <c r="H93" i="132" s="1"/>
  <c r="E93" i="132"/>
  <c r="F93" i="132" s="1"/>
  <c r="D173" i="134"/>
  <c r="B12" i="123"/>
  <c r="B96" i="123" s="1"/>
  <c r="B95" i="123"/>
  <c r="B133" i="140"/>
  <c r="E93" i="140"/>
  <c r="F93" i="140" s="1"/>
  <c r="D93" i="140"/>
  <c r="H93" i="140" s="1"/>
  <c r="B135" i="127"/>
  <c r="D94" i="127"/>
  <c r="H74" i="131"/>
  <c r="D71" i="131" s="1"/>
  <c r="H71" i="131" s="1"/>
  <c r="E232" i="131" s="1" a="1"/>
  <c r="E232" i="131" s="1"/>
  <c r="E41" i="132"/>
  <c r="F11" i="132"/>
  <c r="H11" i="132" s="1"/>
  <c r="E73" i="132"/>
  <c r="H41" i="132"/>
  <c r="F8" i="136"/>
  <c r="H8" i="136" s="1"/>
  <c r="D91" i="136"/>
  <c r="H91" i="136" s="1"/>
  <c r="D131" i="136"/>
  <c r="E130" i="124"/>
  <c r="E92" i="124"/>
  <c r="F92" i="124" s="1"/>
  <c r="H74" i="139"/>
  <c r="D64" i="139" s="1"/>
  <c r="H64" i="139" s="1"/>
  <c r="E225" i="139" s="1" a="1"/>
  <c r="E225" i="139" s="1"/>
  <c r="E41" i="134"/>
  <c r="F11" i="134"/>
  <c r="H11" i="134" s="1"/>
  <c r="E73" i="134"/>
  <c r="B12" i="135"/>
  <c r="B96" i="135" s="1"/>
  <c r="B95" i="135"/>
  <c r="H91" i="130"/>
  <c r="D134" i="127"/>
  <c r="B177" i="127"/>
  <c r="D134" i="137"/>
  <c r="B177" i="137"/>
  <c r="G176" i="127"/>
  <c r="I176" i="127" s="1"/>
  <c r="H176" i="127"/>
  <c r="D90" i="128"/>
  <c r="D130" i="128"/>
  <c r="H130" i="128" s="1"/>
  <c r="E94" i="140"/>
  <c r="F94" i="140" s="1"/>
  <c r="B134" i="140"/>
  <c r="D94" i="140"/>
  <c r="E73" i="128"/>
  <c r="E41" i="128"/>
  <c r="F11" i="128"/>
  <c r="H11" i="128" s="1"/>
  <c r="H172" i="132"/>
  <c r="G172" i="132"/>
  <c r="I172" i="132" s="1"/>
  <c r="B174" i="130"/>
  <c r="D132" i="130"/>
  <c r="H176" i="129"/>
  <c r="G176" i="129"/>
  <c r="I176" i="129" s="1"/>
  <c r="J13" i="139"/>
  <c r="H13" i="139"/>
  <c r="D7" i="127"/>
  <c r="E93" i="134"/>
  <c r="F93" i="134" s="1"/>
  <c r="F95" i="134" s="1"/>
  <c r="B133" i="134"/>
  <c r="D93" i="134"/>
  <c r="H173" i="130"/>
  <c r="G173" i="130"/>
  <c r="I173" i="130" s="1"/>
  <c r="D130" i="134"/>
  <c r="H130" i="134" s="1"/>
  <c r="D172" i="134"/>
  <c r="D90" i="134"/>
  <c r="F8" i="126"/>
  <c r="H8" i="126" s="1"/>
  <c r="D91" i="126"/>
  <c r="H91" i="126" s="1"/>
  <c r="D131" i="126"/>
  <c r="H131" i="126" s="1"/>
  <c r="J131" i="126" s="1"/>
  <c r="K131" i="126" s="1"/>
  <c r="E135" i="123"/>
  <c r="F135" i="123" s="1"/>
  <c r="G135" i="123" s="1"/>
  <c r="C53" i="141"/>
  <c r="C11" i="141" s="1"/>
  <c r="C12" i="141"/>
  <c r="D13" i="137"/>
  <c r="D91" i="137"/>
  <c r="H42" i="137"/>
  <c r="D132" i="137"/>
  <c r="H132" i="137" s="1"/>
  <c r="D173" i="138"/>
  <c r="E94" i="130"/>
  <c r="F94" i="130" s="1"/>
  <c r="F95" i="130" s="1"/>
  <c r="D94" i="130"/>
  <c r="B134" i="130"/>
  <c r="E91" i="140"/>
  <c r="F91" i="140" s="1"/>
  <c r="F95" i="140" s="1"/>
  <c r="E131" i="134"/>
  <c r="F131" i="134" s="1"/>
  <c r="G131" i="134" s="1"/>
  <c r="B12" i="133"/>
  <c r="B96" i="133" s="1"/>
  <c r="B95" i="133"/>
  <c r="E132" i="129"/>
  <c r="B177" i="129"/>
  <c r="D134" i="129"/>
  <c r="O53" i="141"/>
  <c r="O11" i="141" s="1"/>
  <c r="O12" i="141"/>
  <c r="H175" i="125"/>
  <c r="G175" i="125"/>
  <c r="I175" i="125" s="1"/>
  <c r="E135" i="137"/>
  <c r="F135" i="137" s="1"/>
  <c r="G135" i="137" s="1"/>
  <c r="E133" i="137"/>
  <c r="F133" i="137" s="1"/>
  <c r="G133" i="137" s="1"/>
  <c r="D173" i="128"/>
  <c r="D173" i="132"/>
  <c r="E130" i="140"/>
  <c r="H175" i="133"/>
  <c r="G175" i="133"/>
  <c r="I175" i="133" s="1"/>
  <c r="E94" i="126"/>
  <c r="F94" i="126" s="1"/>
  <c r="D94" i="126"/>
  <c r="H94" i="126" s="1"/>
  <c r="B134" i="126"/>
  <c r="O65" i="141"/>
  <c r="O14" i="141" s="1"/>
  <c r="O15" i="141"/>
  <c r="E93" i="128"/>
  <c r="F93" i="128" s="1"/>
  <c r="F95" i="128" s="1"/>
  <c r="B133" i="128"/>
  <c r="D93" i="128"/>
  <c r="H74" i="137"/>
  <c r="F10" i="133"/>
  <c r="H10" i="133" s="1"/>
  <c r="J13" i="133" s="1"/>
  <c r="D9" i="134"/>
  <c r="H41" i="134" s="1"/>
  <c r="E94" i="136"/>
  <c r="F94" i="136" s="1"/>
  <c r="D94" i="136"/>
  <c r="B134" i="136"/>
  <c r="H74" i="135"/>
  <c r="D73" i="135" s="1"/>
  <c r="H73" i="135" s="1"/>
  <c r="E234" i="135" s="1" a="1"/>
  <c r="E234" i="135" s="1"/>
  <c r="H56" i="122" s="1"/>
  <c r="E73" i="136"/>
  <c r="E41" i="136"/>
  <c r="J13" i="129"/>
  <c r="H13" i="129"/>
  <c r="H176" i="139"/>
  <c r="G176" i="139"/>
  <c r="I176" i="139" s="1"/>
  <c r="B95" i="127"/>
  <c r="B12" i="127"/>
  <c r="B96" i="127" s="1"/>
  <c r="F11" i="138"/>
  <c r="H11" i="138" s="1"/>
  <c r="E91" i="124"/>
  <c r="F91" i="124" s="1"/>
  <c r="E132" i="124"/>
  <c r="F132" i="124" s="1"/>
  <c r="G132" i="124" s="1"/>
  <c r="B174" i="124"/>
  <c r="H91" i="138"/>
  <c r="B12" i="129"/>
  <c r="B96" i="129" s="1"/>
  <c r="B95" i="129"/>
  <c r="E93" i="129" s="1"/>
  <c r="D90" i="136"/>
  <c r="D130" i="136"/>
  <c r="H130" i="136" s="1"/>
  <c r="O77" i="141"/>
  <c r="O17" i="141" s="1"/>
  <c r="O18" i="141"/>
  <c r="D134" i="139"/>
  <c r="B177" i="139"/>
  <c r="H172" i="124"/>
  <c r="G172" i="124"/>
  <c r="I172" i="124" s="1"/>
  <c r="B177" i="135"/>
  <c r="D134" i="135"/>
  <c r="E134" i="137"/>
  <c r="F134" i="137" s="1"/>
  <c r="G134" i="137" s="1"/>
  <c r="H134" i="137" s="1"/>
  <c r="J134" i="137" s="1"/>
  <c r="K134" i="137" s="1"/>
  <c r="E92" i="137"/>
  <c r="F92" i="137" s="1"/>
  <c r="B12" i="125"/>
  <c r="B96" i="125" s="1"/>
  <c r="B95" i="125"/>
  <c r="B174" i="132"/>
  <c r="D132" i="132"/>
  <c r="C41" i="141"/>
  <c r="C8" i="141" s="1"/>
  <c r="C9" i="141"/>
  <c r="D91" i="135"/>
  <c r="D13" i="135"/>
  <c r="D175" i="135"/>
  <c r="D132" i="135"/>
  <c r="H132" i="135" s="1"/>
  <c r="B134" i="132"/>
  <c r="E94" i="132"/>
  <c r="F94" i="132" s="1"/>
  <c r="D94" i="132"/>
  <c r="D172" i="126"/>
  <c r="F10" i="126"/>
  <c r="H10" i="126" s="1"/>
  <c r="D9" i="136"/>
  <c r="F10" i="135"/>
  <c r="H10" i="135" s="1"/>
  <c r="B12" i="131"/>
  <c r="B96" i="131" s="1"/>
  <c r="B95" i="131"/>
  <c r="E91" i="131" s="1"/>
  <c r="E73" i="130"/>
  <c r="H41" i="130"/>
  <c r="E41" i="130"/>
  <c r="F11" i="130"/>
  <c r="H11" i="130" s="1"/>
  <c r="H12" i="130" s="1"/>
  <c r="D90" i="138"/>
  <c r="D12" i="138"/>
  <c r="D130" i="138"/>
  <c r="H130" i="138" s="1"/>
  <c r="D8" i="124"/>
  <c r="F9" i="123"/>
  <c r="H9" i="123" s="1"/>
  <c r="B177" i="133"/>
  <c r="D134" i="133"/>
  <c r="H74" i="133"/>
  <c r="D72" i="133" s="1"/>
  <c r="H72" i="133" s="1"/>
  <c r="E233" i="133" s="1" a="1"/>
  <c r="E233" i="133" s="1"/>
  <c r="B12" i="139"/>
  <c r="B96" i="139" s="1"/>
  <c r="B95" i="139"/>
  <c r="E93" i="139" s="1"/>
  <c r="O89" i="141"/>
  <c r="O20" i="141" s="1"/>
  <c r="O21" i="141"/>
  <c r="D41" i="133"/>
  <c r="H41" i="133" s="1"/>
  <c r="D234" i="133" s="1" a="1"/>
  <c r="D234" i="133" s="1"/>
  <c r="D39" i="133"/>
  <c r="H39" i="133" s="1"/>
  <c r="D232" i="133" s="1" a="1"/>
  <c r="D232" i="133" s="1"/>
  <c r="D37" i="133"/>
  <c r="H37" i="133" s="1"/>
  <c r="D230" i="133" s="1" a="1"/>
  <c r="D230" i="133" s="1"/>
  <c r="D35" i="133"/>
  <c r="H35" i="133" s="1"/>
  <c r="D228" i="133" s="1" a="1"/>
  <c r="D228" i="133" s="1"/>
  <c r="D33" i="133"/>
  <c r="H33" i="133" s="1"/>
  <c r="D226" i="133" s="1" a="1"/>
  <c r="D226" i="133" s="1"/>
  <c r="D31" i="133"/>
  <c r="H31" i="133" s="1"/>
  <c r="D224" i="133" s="1" a="1"/>
  <c r="D224" i="133" s="1"/>
  <c r="D29" i="133"/>
  <c r="H29" i="133" s="1"/>
  <c r="D222" i="133" s="1" a="1"/>
  <c r="D222" i="133" s="1"/>
  <c r="D27" i="133"/>
  <c r="H27" i="133" s="1"/>
  <c r="D220" i="133" s="1" a="1"/>
  <c r="D220" i="133" s="1"/>
  <c r="D25" i="133"/>
  <c r="H25" i="133" s="1"/>
  <c r="D218" i="133" s="1" a="1"/>
  <c r="D218" i="133" s="1"/>
  <c r="D23" i="133"/>
  <c r="H23" i="133" s="1"/>
  <c r="D216" i="133" s="1" a="1"/>
  <c r="D216" i="133" s="1"/>
  <c r="D40" i="133"/>
  <c r="H40" i="133" s="1"/>
  <c r="D233" i="133" s="1" a="1"/>
  <c r="D233" i="133" s="1"/>
  <c r="D38" i="133"/>
  <c r="H38" i="133" s="1"/>
  <c r="D231" i="133" s="1" a="1"/>
  <c r="D231" i="133" s="1"/>
  <c r="D36" i="133"/>
  <c r="H36" i="133" s="1"/>
  <c r="D229" i="133" s="1" a="1"/>
  <c r="D229" i="133" s="1"/>
  <c r="D34" i="133"/>
  <c r="H34" i="133" s="1"/>
  <c r="D227" i="133" s="1" a="1"/>
  <c r="D227" i="133" s="1"/>
  <c r="D32" i="133"/>
  <c r="H32" i="133" s="1"/>
  <c r="D225" i="133" s="1" a="1"/>
  <c r="D225" i="133" s="1"/>
  <c r="D30" i="133"/>
  <c r="H30" i="133" s="1"/>
  <c r="D223" i="133" s="1" a="1"/>
  <c r="D223" i="133" s="1"/>
  <c r="D28" i="133"/>
  <c r="H28" i="133" s="1"/>
  <c r="D221" i="133" s="1" a="1"/>
  <c r="D221" i="133" s="1"/>
  <c r="D26" i="133"/>
  <c r="H26" i="133" s="1"/>
  <c r="D219" i="133" s="1" a="1"/>
  <c r="D219" i="133" s="1"/>
  <c r="D24" i="133"/>
  <c r="H24" i="133" s="1"/>
  <c r="D217" i="133" s="1" a="1"/>
  <c r="D217" i="133" s="1"/>
  <c r="D22" i="133"/>
  <c r="H22" i="133" s="1"/>
  <c r="D215" i="133" s="1" a="1"/>
  <c r="D215" i="133" s="1"/>
  <c r="H13" i="125"/>
  <c r="J13" i="125"/>
  <c r="H74" i="127"/>
  <c r="D69" i="127" s="1"/>
  <c r="H69" i="127" s="1"/>
  <c r="E230" i="127" s="1" a="1"/>
  <c r="E230" i="127" s="1"/>
  <c r="B135" i="139"/>
  <c r="D94" i="139"/>
  <c r="H176" i="135"/>
  <c r="G176" i="135"/>
  <c r="I176" i="135" s="1"/>
  <c r="D40" i="129"/>
  <c r="H40" i="129" s="1"/>
  <c r="D233" i="129" s="1" a="1"/>
  <c r="D233" i="129" s="1"/>
  <c r="D38" i="129"/>
  <c r="H38" i="129" s="1"/>
  <c r="D231" i="129" s="1" a="1"/>
  <c r="D231" i="129" s="1"/>
  <c r="D36" i="129"/>
  <c r="H36" i="129" s="1"/>
  <c r="D229" i="129" s="1" a="1"/>
  <c r="D229" i="129" s="1"/>
  <c r="D34" i="129"/>
  <c r="H34" i="129" s="1"/>
  <c r="D227" i="129" s="1" a="1"/>
  <c r="D227" i="129" s="1"/>
  <c r="D32" i="129"/>
  <c r="H32" i="129" s="1"/>
  <c r="D225" i="129" s="1" a="1"/>
  <c r="D225" i="129" s="1"/>
  <c r="D30" i="129"/>
  <c r="H30" i="129" s="1"/>
  <c r="D223" i="129" s="1" a="1"/>
  <c r="D223" i="129" s="1"/>
  <c r="D28" i="129"/>
  <c r="H28" i="129" s="1"/>
  <c r="D221" i="129" s="1" a="1"/>
  <c r="D221" i="129" s="1"/>
  <c r="D26" i="129"/>
  <c r="H26" i="129" s="1"/>
  <c r="D219" i="129" s="1" a="1"/>
  <c r="D219" i="129" s="1"/>
  <c r="D24" i="129"/>
  <c r="H24" i="129" s="1"/>
  <c r="D217" i="129" s="1" a="1"/>
  <c r="D217" i="129" s="1"/>
  <c r="D22" i="129"/>
  <c r="H22" i="129" s="1"/>
  <c r="D215" i="129" s="1" a="1"/>
  <c r="D215" i="129" s="1"/>
  <c r="D41" i="129"/>
  <c r="H41" i="129" s="1"/>
  <c r="D234" i="129" s="1" a="1"/>
  <c r="D234" i="129" s="1"/>
  <c r="D39" i="129"/>
  <c r="H39" i="129" s="1"/>
  <c r="D232" i="129" s="1" a="1"/>
  <c r="D232" i="129" s="1"/>
  <c r="D37" i="129"/>
  <c r="H37" i="129" s="1"/>
  <c r="D230" i="129" s="1" a="1"/>
  <c r="D230" i="129" s="1"/>
  <c r="D35" i="129"/>
  <c r="H35" i="129" s="1"/>
  <c r="D228" i="129" s="1" a="1"/>
  <c r="D228" i="129" s="1"/>
  <c r="D33" i="129"/>
  <c r="H33" i="129" s="1"/>
  <c r="D226" i="129" s="1" a="1"/>
  <c r="D226" i="129" s="1"/>
  <c r="D31" i="129"/>
  <c r="H31" i="129" s="1"/>
  <c r="D224" i="129" s="1" a="1"/>
  <c r="D224" i="129" s="1"/>
  <c r="D29" i="129"/>
  <c r="H29" i="129" s="1"/>
  <c r="D222" i="129" s="1" a="1"/>
  <c r="D222" i="129" s="1"/>
  <c r="D27" i="129"/>
  <c r="H27" i="129" s="1"/>
  <c r="D220" i="129" s="1" a="1"/>
  <c r="D220" i="129" s="1"/>
  <c r="D25" i="129"/>
  <c r="H25" i="129" s="1"/>
  <c r="D218" i="129" s="1" a="1"/>
  <c r="D218" i="129" s="1"/>
  <c r="D23" i="129"/>
  <c r="H23" i="129" s="1"/>
  <c r="D216" i="129" s="1" a="1"/>
  <c r="D216" i="129" s="1"/>
  <c r="B135" i="135"/>
  <c r="E94" i="135"/>
  <c r="F94" i="135" s="1"/>
  <c r="D94" i="135"/>
  <c r="H94" i="135" s="1"/>
  <c r="H175" i="131"/>
  <c r="G175" i="131"/>
  <c r="I175" i="131" s="1"/>
  <c r="D12" i="140"/>
  <c r="D90" i="140"/>
  <c r="D130" i="140"/>
  <c r="H130" i="140" s="1"/>
  <c r="D172" i="140"/>
  <c r="E131" i="140"/>
  <c r="F131" i="140" s="1"/>
  <c r="G131" i="140" s="1"/>
  <c r="D94" i="134"/>
  <c r="B134" i="134"/>
  <c r="E94" i="134"/>
  <c r="F94" i="134" s="1"/>
  <c r="B135" i="129"/>
  <c r="E94" i="129"/>
  <c r="F94" i="129" s="1"/>
  <c r="D94" i="129"/>
  <c r="F8" i="135"/>
  <c r="H8" i="135" s="1"/>
  <c r="H13" i="133"/>
  <c r="H175" i="137"/>
  <c r="G175" i="137"/>
  <c r="I175" i="137" s="1"/>
  <c r="F135" i="138"/>
  <c r="G134" i="138"/>
  <c r="B174" i="126"/>
  <c r="D132" i="126"/>
  <c r="H132" i="126" s="1"/>
  <c r="J132" i="126" s="1"/>
  <c r="K132" i="126" s="1"/>
  <c r="B174" i="136"/>
  <c r="E91" i="123"/>
  <c r="F91" i="123" s="1"/>
  <c r="E92" i="123"/>
  <c r="F92" i="123" s="1"/>
  <c r="D134" i="123"/>
  <c r="B177" i="123"/>
  <c r="E74" i="123"/>
  <c r="D11" i="124"/>
  <c r="D94" i="124" s="1"/>
  <c r="E42" i="123"/>
  <c r="F12" i="123"/>
  <c r="H12" i="123" s="1"/>
  <c r="E132" i="139"/>
  <c r="D172" i="136"/>
  <c r="E132" i="131"/>
  <c r="B177" i="131"/>
  <c r="D134" i="131"/>
  <c r="E172" i="138"/>
  <c r="E134" i="135"/>
  <c r="F134" i="135" s="1"/>
  <c r="G134" i="135" s="1"/>
  <c r="H134" i="135" s="1"/>
  <c r="J134" i="135" s="1"/>
  <c r="K134" i="135" s="1"/>
  <c r="E93" i="135"/>
  <c r="F93" i="135" s="1"/>
  <c r="F11" i="126"/>
  <c r="H11" i="126" s="1"/>
  <c r="E73" i="126"/>
  <c r="H41" i="126"/>
  <c r="E41" i="126"/>
  <c r="H91" i="140"/>
  <c r="E132" i="134"/>
  <c r="F132" i="134" s="1"/>
  <c r="G132" i="134" s="1"/>
  <c r="B135" i="133"/>
  <c r="E94" i="133"/>
  <c r="F94" i="133" s="1"/>
  <c r="D94" i="133"/>
  <c r="E135" i="129"/>
  <c r="F135" i="129" s="1"/>
  <c r="G135" i="129" s="1"/>
  <c r="E132" i="137"/>
  <c r="E91" i="137"/>
  <c r="F91" i="137" s="1"/>
  <c r="E93" i="137"/>
  <c r="F93" i="137" s="1"/>
  <c r="B135" i="125"/>
  <c r="D94" i="125"/>
  <c r="E134" i="132"/>
  <c r="F134" i="132" s="1"/>
  <c r="E132" i="132"/>
  <c r="F132" i="132" s="1"/>
  <c r="G132" i="132" s="1"/>
  <c r="E92" i="132"/>
  <c r="F92" i="132" s="1"/>
  <c r="H92" i="123"/>
  <c r="B174" i="128"/>
  <c r="D173" i="140"/>
  <c r="E132" i="140"/>
  <c r="F132" i="140" s="1"/>
  <c r="G132" i="140" s="1"/>
  <c r="B174" i="140"/>
  <c r="D132" i="140"/>
  <c r="G175" i="129"/>
  <c r="I175" i="129" s="1"/>
  <c r="H175" i="129"/>
  <c r="B176" i="138"/>
  <c r="E174" i="138" s="1"/>
  <c r="D134" i="138"/>
  <c r="E93" i="126"/>
  <c r="F93" i="126" s="1"/>
  <c r="F95" i="126" s="1"/>
  <c r="B133" i="126"/>
  <c r="D93" i="126"/>
  <c r="E94" i="128"/>
  <c r="F94" i="128" s="1"/>
  <c r="D94" i="128"/>
  <c r="B134" i="128"/>
  <c r="D29" i="141"/>
  <c r="D5" i="141" s="1"/>
  <c r="C30" i="141"/>
  <c r="D6" i="141"/>
  <c r="E93" i="136"/>
  <c r="F93" i="136" s="1"/>
  <c r="F95" i="136" s="1"/>
  <c r="B133" i="136"/>
  <c r="C65" i="141"/>
  <c r="C14" i="141" s="1"/>
  <c r="C15" i="141"/>
  <c r="D90" i="130"/>
  <c r="D12" i="130"/>
  <c r="D130" i="130"/>
  <c r="H130" i="130" s="1"/>
  <c r="E94" i="124"/>
  <c r="F94" i="124" s="1"/>
  <c r="B134" i="124"/>
  <c r="D40" i="131"/>
  <c r="H40" i="131" s="1"/>
  <c r="D233" i="131" s="1" a="1"/>
  <c r="D233" i="131" s="1"/>
  <c r="D38" i="131"/>
  <c r="H38" i="131" s="1"/>
  <c r="D231" i="131" s="1" a="1"/>
  <c r="D231" i="131" s="1"/>
  <c r="D36" i="131"/>
  <c r="H36" i="131" s="1"/>
  <c r="D229" i="131" s="1" a="1"/>
  <c r="D229" i="131" s="1"/>
  <c r="D34" i="131"/>
  <c r="H34" i="131" s="1"/>
  <c r="D227" i="131" s="1" a="1"/>
  <c r="D227" i="131" s="1"/>
  <c r="D32" i="131"/>
  <c r="H32" i="131" s="1"/>
  <c r="D225" i="131" s="1" a="1"/>
  <c r="D225" i="131" s="1"/>
  <c r="D30" i="131"/>
  <c r="H30" i="131" s="1"/>
  <c r="D223" i="131" s="1" a="1"/>
  <c r="D223" i="131" s="1"/>
  <c r="D28" i="131"/>
  <c r="H28" i="131" s="1"/>
  <c r="D221" i="131" s="1" a="1"/>
  <c r="D221" i="131" s="1"/>
  <c r="D26" i="131"/>
  <c r="H26" i="131" s="1"/>
  <c r="D219" i="131" s="1" a="1"/>
  <c r="D219" i="131" s="1"/>
  <c r="D24" i="131"/>
  <c r="H24" i="131" s="1"/>
  <c r="D217" i="131" s="1" a="1"/>
  <c r="D217" i="131" s="1"/>
  <c r="D22" i="131"/>
  <c r="H22" i="131" s="1"/>
  <c r="D215" i="131" s="1" a="1"/>
  <c r="D215" i="131" s="1"/>
  <c r="D41" i="131"/>
  <c r="H41" i="131" s="1"/>
  <c r="D234" i="131" s="1" a="1"/>
  <c r="D234" i="131" s="1"/>
  <c r="D39" i="131"/>
  <c r="H39" i="131" s="1"/>
  <c r="D232" i="131" s="1" a="1"/>
  <c r="D232" i="131" s="1"/>
  <c r="D37" i="131"/>
  <c r="H37" i="131" s="1"/>
  <c r="D230" i="131" s="1" a="1"/>
  <c r="D230" i="131" s="1"/>
  <c r="D35" i="131"/>
  <c r="H35" i="131" s="1"/>
  <c r="D228" i="131" s="1" a="1"/>
  <c r="D228" i="131" s="1"/>
  <c r="D33" i="131"/>
  <c r="H33" i="131" s="1"/>
  <c r="D226" i="131" s="1" a="1"/>
  <c r="D226" i="131" s="1"/>
  <c r="D31" i="131"/>
  <c r="H31" i="131" s="1"/>
  <c r="D224" i="131" s="1" a="1"/>
  <c r="D224" i="131" s="1"/>
  <c r="D29" i="131"/>
  <c r="H29" i="131" s="1"/>
  <c r="D222" i="131" s="1" a="1"/>
  <c r="D222" i="131" s="1"/>
  <c r="D27" i="131"/>
  <c r="H27" i="131" s="1"/>
  <c r="D220" i="131" s="1" a="1"/>
  <c r="D220" i="131" s="1"/>
  <c r="D25" i="131"/>
  <c r="H25" i="131" s="1"/>
  <c r="D218" i="131" s="1" a="1"/>
  <c r="D218" i="131" s="1"/>
  <c r="D23" i="131"/>
  <c r="H23" i="131" s="1"/>
  <c r="D216" i="131" s="1" a="1"/>
  <c r="D216" i="131" s="1"/>
  <c r="H41" i="138"/>
  <c r="D39" i="138" s="1"/>
  <c r="H39" i="138" s="1"/>
  <c r="D229" i="138" s="1" a="1"/>
  <c r="D229" i="138" s="1"/>
  <c r="D9" i="128"/>
  <c r="D12" i="128" s="1"/>
  <c r="F10" i="127"/>
  <c r="H10" i="127" s="1"/>
  <c r="H176" i="123"/>
  <c r="G176" i="123"/>
  <c r="I176" i="123" s="1"/>
  <c r="O29" i="141"/>
  <c r="O5" i="141" s="1"/>
  <c r="O6" i="141"/>
  <c r="F10" i="140"/>
  <c r="H10" i="140" s="1"/>
  <c r="E133" i="124"/>
  <c r="F133" i="124" s="1"/>
  <c r="G133" i="124" s="1"/>
  <c r="F11" i="140"/>
  <c r="H11" i="140" s="1"/>
  <c r="E73" i="140"/>
  <c r="E41" i="140"/>
  <c r="H41" i="140"/>
  <c r="E133" i="140"/>
  <c r="F133" i="140" s="1"/>
  <c r="G133" i="140" s="1"/>
  <c r="L148" i="20"/>
  <c r="L147" i="20"/>
  <c r="L146" i="20"/>
  <c r="L145" i="20"/>
  <c r="L144" i="20"/>
  <c r="K148" i="20"/>
  <c r="K147" i="20"/>
  <c r="K146" i="20"/>
  <c r="K145" i="20"/>
  <c r="K144" i="20"/>
  <c r="J148" i="20"/>
  <c r="J147" i="20"/>
  <c r="J146" i="20"/>
  <c r="J145" i="20"/>
  <c r="J144" i="20"/>
  <c r="J36" i="20"/>
  <c r="H36" i="20"/>
  <c r="L129" i="20"/>
  <c r="L128" i="20"/>
  <c r="K128" i="20"/>
  <c r="J129" i="20"/>
  <c r="J128" i="20"/>
  <c r="I129" i="20"/>
  <c r="I128" i="20"/>
  <c r="L127" i="20"/>
  <c r="K127" i="20"/>
  <c r="J127" i="20"/>
  <c r="I127" i="20"/>
  <c r="L126" i="20"/>
  <c r="K126" i="20"/>
  <c r="J126" i="20"/>
  <c r="I126" i="20"/>
  <c r="L125" i="20"/>
  <c r="K125" i="20"/>
  <c r="J125" i="20"/>
  <c r="I125" i="20"/>
  <c r="L124" i="20"/>
  <c r="K124" i="20"/>
  <c r="J124" i="20"/>
  <c r="I124" i="20"/>
  <c r="L123" i="20"/>
  <c r="K123" i="20"/>
  <c r="J123" i="20"/>
  <c r="I123" i="20"/>
  <c r="L122" i="20"/>
  <c r="K122" i="20"/>
  <c r="J122" i="20"/>
  <c r="I122" i="20"/>
  <c r="L121" i="20"/>
  <c r="K121" i="20"/>
  <c r="J121" i="20"/>
  <c r="I121" i="20"/>
  <c r="L120" i="20"/>
  <c r="K120" i="20"/>
  <c r="K129" i="20" s="1"/>
  <c r="J120" i="20"/>
  <c r="I120" i="20"/>
  <c r="L119" i="20"/>
  <c r="K119" i="20"/>
  <c r="J119" i="20"/>
  <c r="I119" i="20"/>
  <c r="L118" i="20"/>
  <c r="K118" i="20"/>
  <c r="J118" i="20"/>
  <c r="L105" i="20"/>
  <c r="L104" i="20"/>
  <c r="H132" i="132" l="1"/>
  <c r="J132" i="132" s="1"/>
  <c r="K132" i="132" s="1"/>
  <c r="F10" i="134"/>
  <c r="H10" i="134" s="1"/>
  <c r="D25" i="135"/>
  <c r="H25" i="135" s="1"/>
  <c r="D218" i="135" s="1" a="1"/>
  <c r="D218" i="135" s="1"/>
  <c r="D41" i="135"/>
  <c r="H41" i="135" s="1"/>
  <c r="D234" i="135" s="1" a="1"/>
  <c r="D234" i="135" s="1"/>
  <c r="J175" i="129"/>
  <c r="H131" i="128"/>
  <c r="J131" i="128" s="1"/>
  <c r="K131" i="128" s="1"/>
  <c r="D23" i="135"/>
  <c r="H23" i="135" s="1"/>
  <c r="D216" i="135" s="1" a="1"/>
  <c r="D216" i="135" s="1"/>
  <c r="D39" i="135"/>
  <c r="H39" i="135" s="1"/>
  <c r="D232" i="135" s="1" a="1"/>
  <c r="D232" i="135" s="1"/>
  <c r="F11" i="136"/>
  <c r="H11" i="136" s="1"/>
  <c r="D31" i="135"/>
  <c r="H31" i="135" s="1"/>
  <c r="D224" i="135" s="1" a="1"/>
  <c r="D224" i="135" s="1"/>
  <c r="D28" i="135"/>
  <c r="H28" i="135" s="1"/>
  <c r="D221" i="135" s="1" a="1"/>
  <c r="D221" i="135" s="1"/>
  <c r="D33" i="135"/>
  <c r="H33" i="135" s="1"/>
  <c r="D226" i="135" s="1" a="1"/>
  <c r="D226" i="135" s="1"/>
  <c r="D36" i="135"/>
  <c r="H36" i="135" s="1"/>
  <c r="D229" i="135" s="1" a="1"/>
  <c r="D229" i="135" s="1"/>
  <c r="H131" i="134"/>
  <c r="J131" i="134" s="1"/>
  <c r="K131" i="134" s="1"/>
  <c r="D58" i="139"/>
  <c r="H58" i="139" s="1"/>
  <c r="E219" i="139" s="1" a="1"/>
  <c r="E219" i="139" s="1"/>
  <c r="E90" i="122" s="1"/>
  <c r="D62" i="139"/>
  <c r="H62" i="139" s="1"/>
  <c r="E223" i="139" s="1" a="1"/>
  <c r="E223" i="139" s="1"/>
  <c r="D69" i="139"/>
  <c r="H69" i="139" s="1"/>
  <c r="E230" i="139" s="1" a="1"/>
  <c r="E230" i="139" s="1"/>
  <c r="D73" i="139"/>
  <c r="H73" i="139" s="1"/>
  <c r="E234" i="139" s="1" a="1"/>
  <c r="E234" i="139" s="1"/>
  <c r="H90" i="122" s="1"/>
  <c r="D73" i="131"/>
  <c r="H73" i="131" s="1"/>
  <c r="E234" i="131" s="1" a="1"/>
  <c r="E234" i="131" s="1"/>
  <c r="J176" i="125"/>
  <c r="J176" i="133"/>
  <c r="D55" i="125"/>
  <c r="H55" i="125" s="1"/>
  <c r="E216" i="125" s="1" a="1"/>
  <c r="E216" i="125" s="1"/>
  <c r="D70" i="139"/>
  <c r="H70" i="139" s="1"/>
  <c r="E231" i="139" s="1" a="1"/>
  <c r="E231" i="139" s="1"/>
  <c r="D61" i="139"/>
  <c r="H61" i="139" s="1"/>
  <c r="E222" i="139" s="1" a="1"/>
  <c r="E222" i="139" s="1"/>
  <c r="D60" i="139"/>
  <c r="H60" i="139" s="1"/>
  <c r="E221" i="139" s="1" a="1"/>
  <c r="E221" i="139" s="1"/>
  <c r="D54" i="131"/>
  <c r="H54" i="131" s="1"/>
  <c r="E215" i="131" s="1" a="1"/>
  <c r="E215" i="131" s="1"/>
  <c r="J176" i="139"/>
  <c r="D12" i="134"/>
  <c r="D59" i="139"/>
  <c r="H59" i="139" s="1"/>
  <c r="E220" i="139" s="1" a="1"/>
  <c r="E220" i="139" s="1"/>
  <c r="D71" i="139"/>
  <c r="H71" i="139" s="1"/>
  <c r="E232" i="139" s="1" a="1"/>
  <c r="E232" i="139" s="1"/>
  <c r="D68" i="139"/>
  <c r="H68" i="139" s="1"/>
  <c r="E229" i="139" s="1" a="1"/>
  <c r="E229" i="139" s="1"/>
  <c r="G90" i="122" s="1"/>
  <c r="D58" i="131"/>
  <c r="H58" i="131" s="1"/>
  <c r="E219" i="131" s="1" a="1"/>
  <c r="E219" i="131" s="1"/>
  <c r="D58" i="127"/>
  <c r="H58" i="127" s="1"/>
  <c r="E219" i="127" s="1" a="1"/>
  <c r="E219" i="127" s="1"/>
  <c r="D71" i="127"/>
  <c r="H71" i="127" s="1"/>
  <c r="E232" i="127" s="1" a="1"/>
  <c r="E232" i="127" s="1"/>
  <c r="D63" i="133"/>
  <c r="H63" i="133" s="1"/>
  <c r="E224" i="133" s="1" a="1"/>
  <c r="E224" i="133" s="1"/>
  <c r="F39" i="122" s="1"/>
  <c r="D64" i="135"/>
  <c r="H64" i="135" s="1"/>
  <c r="E225" i="135" s="1" a="1"/>
  <c r="E225" i="135" s="1"/>
  <c r="F10" i="124"/>
  <c r="H10" i="124" s="1"/>
  <c r="D62" i="129"/>
  <c r="H62" i="129" s="1"/>
  <c r="E223" i="129" s="1" a="1"/>
  <c r="E223" i="129" s="1"/>
  <c r="D65" i="129"/>
  <c r="H65" i="129" s="1"/>
  <c r="E226" i="129" s="1" a="1"/>
  <c r="E226" i="129" s="1"/>
  <c r="D29" i="135"/>
  <c r="H29" i="135" s="1"/>
  <c r="D222" i="135" s="1" a="1"/>
  <c r="D222" i="135" s="1"/>
  <c r="D37" i="135"/>
  <c r="H37" i="135" s="1"/>
  <c r="D230" i="135" s="1" a="1"/>
  <c r="D230" i="135" s="1"/>
  <c r="D24" i="135"/>
  <c r="H24" i="135" s="1"/>
  <c r="D217" i="135" s="1" a="1"/>
  <c r="D217" i="135" s="1"/>
  <c r="D32" i="135"/>
  <c r="H32" i="135" s="1"/>
  <c r="D225" i="135" s="1" a="1"/>
  <c r="D225" i="135" s="1"/>
  <c r="D40" i="135"/>
  <c r="H40" i="135" s="1"/>
  <c r="D233" i="135" s="1" a="1"/>
  <c r="D233" i="135" s="1"/>
  <c r="D66" i="125"/>
  <c r="H66" i="125" s="1"/>
  <c r="E227" i="125" s="1" a="1"/>
  <c r="E227" i="125" s="1"/>
  <c r="D53" i="138"/>
  <c r="H53" i="138" s="1"/>
  <c r="E211" i="138" s="1" a="1"/>
  <c r="E211" i="138" s="1"/>
  <c r="D79" i="122" s="1"/>
  <c r="J173" i="136"/>
  <c r="D70" i="127"/>
  <c r="H70" i="127" s="1"/>
  <c r="E231" i="127" s="1" a="1"/>
  <c r="E231" i="127" s="1"/>
  <c r="D66" i="133"/>
  <c r="H66" i="133" s="1"/>
  <c r="E227" i="133" s="1" a="1"/>
  <c r="E227" i="133" s="1"/>
  <c r="D72" i="135"/>
  <c r="H72" i="135" s="1"/>
  <c r="E233" i="135" s="1" a="1"/>
  <c r="E233" i="135" s="1"/>
  <c r="J176" i="127"/>
  <c r="D66" i="129"/>
  <c r="H66" i="129" s="1"/>
  <c r="E227" i="129" s="1" a="1"/>
  <c r="E227" i="129" s="1"/>
  <c r="D26" i="135"/>
  <c r="H26" i="135" s="1"/>
  <c r="D219" i="135" s="1" a="1"/>
  <c r="D219" i="135" s="1"/>
  <c r="D34" i="135"/>
  <c r="H34" i="135" s="1"/>
  <c r="D227" i="135" s="1" a="1"/>
  <c r="D227" i="135" s="1"/>
  <c r="D55" i="127"/>
  <c r="H55" i="127" s="1"/>
  <c r="E216" i="127" s="1" a="1"/>
  <c r="E216" i="127" s="1"/>
  <c r="H132" i="140"/>
  <c r="J132" i="140" s="1"/>
  <c r="K132" i="140" s="1"/>
  <c r="J175" i="137"/>
  <c r="D54" i="127"/>
  <c r="H54" i="127" s="1"/>
  <c r="E215" i="127" s="1" a="1"/>
  <c r="E215" i="127" s="1"/>
  <c r="D67" i="127"/>
  <c r="H67" i="127" s="1"/>
  <c r="E228" i="127" s="1" a="1"/>
  <c r="E228" i="127" s="1"/>
  <c r="D55" i="133"/>
  <c r="H55" i="133" s="1"/>
  <c r="E216" i="133" s="1" a="1"/>
  <c r="E216" i="133" s="1"/>
  <c r="D60" i="135"/>
  <c r="H60" i="135" s="1"/>
  <c r="E221" i="135" s="1" a="1"/>
  <c r="E221" i="135" s="1"/>
  <c r="D63" i="135"/>
  <c r="H63" i="135" s="1"/>
  <c r="E224" i="135" s="1" a="1"/>
  <c r="E224" i="135" s="1"/>
  <c r="F56" i="122" s="1"/>
  <c r="D70" i="131"/>
  <c r="H70" i="131" s="1"/>
  <c r="E231" i="131" s="1" a="1"/>
  <c r="E231" i="131" s="1"/>
  <c r="D58" i="129"/>
  <c r="H58" i="129" s="1"/>
  <c r="E219" i="129" s="1" a="1"/>
  <c r="E219" i="129" s="1"/>
  <c r="D57" i="129"/>
  <c r="H57" i="129" s="1"/>
  <c r="E218" i="129" s="1" a="1"/>
  <c r="E218" i="129" s="1"/>
  <c r="D27" i="135"/>
  <c r="H27" i="135" s="1"/>
  <c r="D220" i="135" s="1" a="1"/>
  <c r="D220" i="135" s="1"/>
  <c r="D35" i="135"/>
  <c r="H35" i="135" s="1"/>
  <c r="D228" i="135" s="1" a="1"/>
  <c r="D228" i="135" s="1"/>
  <c r="D22" i="135"/>
  <c r="H22" i="135" s="1"/>
  <c r="D215" i="135" s="1" a="1"/>
  <c r="D215" i="135" s="1"/>
  <c r="D55" i="122" s="1"/>
  <c r="D30" i="135"/>
  <c r="H30" i="135" s="1"/>
  <c r="D223" i="135" s="1" a="1"/>
  <c r="D223" i="135" s="1"/>
  <c r="D63" i="125"/>
  <c r="H63" i="125" s="1"/>
  <c r="E224" i="125" s="1" a="1"/>
  <c r="E224" i="125" s="1"/>
  <c r="F22" i="122" s="1"/>
  <c r="D66" i="127"/>
  <c r="H66" i="127" s="1"/>
  <c r="E227" i="127" s="1" a="1"/>
  <c r="E227" i="127" s="1"/>
  <c r="D63" i="127"/>
  <c r="H63" i="127" s="1"/>
  <c r="E224" i="127" s="1" a="1"/>
  <c r="E224" i="127" s="1"/>
  <c r="D58" i="133"/>
  <c r="H58" i="133" s="1"/>
  <c r="E219" i="133" s="1" a="1"/>
  <c r="E219" i="133" s="1"/>
  <c r="E39" i="122" s="1"/>
  <c r="D58" i="135"/>
  <c r="H58" i="135" s="1"/>
  <c r="E219" i="135" s="1" a="1"/>
  <c r="E219" i="135" s="1"/>
  <c r="E56" i="122" s="1"/>
  <c r="D68" i="135"/>
  <c r="H68" i="135" s="1"/>
  <c r="E229" i="135" s="1" a="1"/>
  <c r="E229" i="135" s="1"/>
  <c r="G56" i="122" s="1"/>
  <c r="D59" i="135"/>
  <c r="H59" i="135" s="1"/>
  <c r="E220" i="135" s="1" a="1"/>
  <c r="E220" i="135" s="1"/>
  <c r="D66" i="131"/>
  <c r="H66" i="131" s="1"/>
  <c r="E227" i="131" s="1" a="1"/>
  <c r="E227" i="131" s="1"/>
  <c r="D65" i="131"/>
  <c r="H65" i="131" s="1"/>
  <c r="E226" i="131" s="1" a="1"/>
  <c r="E226" i="131" s="1"/>
  <c r="D58" i="125"/>
  <c r="H58" i="125" s="1"/>
  <c r="E219" i="125" s="1" a="1"/>
  <c r="E219" i="125" s="1"/>
  <c r="E22" i="122" s="1"/>
  <c r="J176" i="137"/>
  <c r="H132" i="130"/>
  <c r="J132" i="130" s="1"/>
  <c r="K132" i="130" s="1"/>
  <c r="H13" i="123"/>
  <c r="D67" i="135"/>
  <c r="H67" i="135" s="1"/>
  <c r="E228" i="135" s="1" a="1"/>
  <c r="E228" i="135" s="1"/>
  <c r="H131" i="136"/>
  <c r="J131" i="136" s="1"/>
  <c r="K131" i="136" s="1"/>
  <c r="J176" i="131"/>
  <c r="J12" i="140"/>
  <c r="J176" i="123"/>
  <c r="D62" i="127"/>
  <c r="H62" i="127" s="1"/>
  <c r="E223" i="127" s="1" a="1"/>
  <c r="E223" i="127" s="1"/>
  <c r="D59" i="127"/>
  <c r="H59" i="127" s="1"/>
  <c r="E220" i="127" s="1" a="1"/>
  <c r="E220" i="127" s="1"/>
  <c r="D71" i="133"/>
  <c r="H71" i="133" s="1"/>
  <c r="E232" i="133" s="1" a="1"/>
  <c r="E232" i="133" s="1"/>
  <c r="D12" i="124"/>
  <c r="D56" i="135"/>
  <c r="H56" i="135" s="1"/>
  <c r="E217" i="135" s="1" a="1"/>
  <c r="E217" i="135" s="1"/>
  <c r="D66" i="135"/>
  <c r="H66" i="135" s="1"/>
  <c r="E227" i="135" s="1" a="1"/>
  <c r="E227" i="135" s="1"/>
  <c r="D55" i="135"/>
  <c r="H55" i="135" s="1"/>
  <c r="E216" i="135" s="1" a="1"/>
  <c r="E216" i="135" s="1"/>
  <c r="D71" i="135"/>
  <c r="H71" i="135" s="1"/>
  <c r="E232" i="135" s="1" a="1"/>
  <c r="E232" i="135" s="1"/>
  <c r="J175" i="133"/>
  <c r="D62" i="131"/>
  <c r="H62" i="131" s="1"/>
  <c r="E223" i="131" s="1" a="1"/>
  <c r="E223" i="131" s="1"/>
  <c r="D57" i="131"/>
  <c r="H57" i="131" s="1"/>
  <c r="E218" i="131" s="1" a="1"/>
  <c r="E218" i="131" s="1"/>
  <c r="J175" i="139"/>
  <c r="D54" i="129"/>
  <c r="H54" i="129" s="1"/>
  <c r="E215" i="129" s="1" a="1"/>
  <c r="E215" i="129" s="1"/>
  <c r="D70" i="129"/>
  <c r="H70" i="129" s="1"/>
  <c r="E231" i="129" s="1" a="1"/>
  <c r="E231" i="129" s="1"/>
  <c r="D73" i="129"/>
  <c r="H73" i="129" s="1"/>
  <c r="E234" i="129" s="1" a="1"/>
  <c r="E234" i="129" s="1"/>
  <c r="D71" i="125"/>
  <c r="H71" i="125" s="1"/>
  <c r="E232" i="125" s="1" a="1"/>
  <c r="E232" i="125" s="1"/>
  <c r="F93" i="129"/>
  <c r="H93" i="129"/>
  <c r="F93" i="139"/>
  <c r="H93" i="139"/>
  <c r="F91" i="131"/>
  <c r="H91" i="131"/>
  <c r="F174" i="138"/>
  <c r="B175" i="126"/>
  <c r="D133" i="126"/>
  <c r="E133" i="126"/>
  <c r="F133" i="126" s="1"/>
  <c r="G133" i="126" s="1"/>
  <c r="H73" i="126"/>
  <c r="D67" i="126" s="1"/>
  <c r="H67" i="126" s="1"/>
  <c r="E225" i="126" s="1" a="1"/>
  <c r="E225" i="126" s="1"/>
  <c r="G28" i="122" s="1"/>
  <c r="D174" i="136"/>
  <c r="G172" i="140"/>
  <c r="I172" i="140" s="1"/>
  <c r="H172" i="140"/>
  <c r="B178" i="139"/>
  <c r="D135" i="139"/>
  <c r="D38" i="122"/>
  <c r="D40" i="130"/>
  <c r="H40" i="130" s="1"/>
  <c r="D230" i="130" s="1" a="1"/>
  <c r="D230" i="130" s="1"/>
  <c r="D38" i="130"/>
  <c r="H38" i="130" s="1"/>
  <c r="D228" i="130" s="1" a="1"/>
  <c r="D228" i="130" s="1"/>
  <c r="D36" i="130"/>
  <c r="H36" i="130" s="1"/>
  <c r="D226" i="130" s="1" a="1"/>
  <c r="D226" i="130" s="1"/>
  <c r="D34" i="130"/>
  <c r="H34" i="130" s="1"/>
  <c r="D224" i="130" s="1" a="1"/>
  <c r="D224" i="130" s="1"/>
  <c r="D32" i="130"/>
  <c r="H32" i="130" s="1"/>
  <c r="D222" i="130" s="1" a="1"/>
  <c r="D222" i="130" s="1"/>
  <c r="D30" i="130"/>
  <c r="H30" i="130" s="1"/>
  <c r="D220" i="130" s="1" a="1"/>
  <c r="D220" i="130" s="1"/>
  <c r="D28" i="130"/>
  <c r="H28" i="130" s="1"/>
  <c r="D218" i="130" s="1" a="1"/>
  <c r="D218" i="130" s="1"/>
  <c r="D26" i="130"/>
  <c r="H26" i="130" s="1"/>
  <c r="D216" i="130" s="1" a="1"/>
  <c r="D216" i="130" s="1"/>
  <c r="D24" i="130"/>
  <c r="H24" i="130" s="1"/>
  <c r="D214" i="130" s="1" a="1"/>
  <c r="D214" i="130" s="1"/>
  <c r="D22" i="130"/>
  <c r="H22" i="130" s="1"/>
  <c r="D212" i="130" s="1" a="1"/>
  <c r="D212" i="130" s="1"/>
  <c r="D39" i="130"/>
  <c r="H39" i="130" s="1"/>
  <c r="D229" i="130" s="1" a="1"/>
  <c r="D229" i="130" s="1"/>
  <c r="D37" i="130"/>
  <c r="H37" i="130" s="1"/>
  <c r="D227" i="130" s="1" a="1"/>
  <c r="D227" i="130" s="1"/>
  <c r="D35" i="130"/>
  <c r="H35" i="130" s="1"/>
  <c r="D225" i="130" s="1" a="1"/>
  <c r="D225" i="130" s="1"/>
  <c r="D33" i="130"/>
  <c r="H33" i="130" s="1"/>
  <c r="D223" i="130" s="1" a="1"/>
  <c r="D223" i="130" s="1"/>
  <c r="D31" i="130"/>
  <c r="H31" i="130" s="1"/>
  <c r="D221" i="130" s="1" a="1"/>
  <c r="D221" i="130" s="1"/>
  <c r="D29" i="130"/>
  <c r="H29" i="130" s="1"/>
  <c r="D219" i="130" s="1" a="1"/>
  <c r="D219" i="130" s="1"/>
  <c r="D27" i="130"/>
  <c r="H27" i="130" s="1"/>
  <c r="D217" i="130" s="1" a="1"/>
  <c r="D217" i="130" s="1"/>
  <c r="D25" i="130"/>
  <c r="H25" i="130" s="1"/>
  <c r="D215" i="130" s="1" a="1"/>
  <c r="D215" i="130" s="1"/>
  <c r="D23" i="130"/>
  <c r="H23" i="130" s="1"/>
  <c r="D213" i="130" s="1" a="1"/>
  <c r="D213" i="130" s="1"/>
  <c r="D21" i="130"/>
  <c r="H21" i="130" s="1"/>
  <c r="D211" i="130" s="1" a="1"/>
  <c r="D211" i="130" s="1"/>
  <c r="B137" i="131"/>
  <c r="E96" i="131"/>
  <c r="F96" i="131" s="1"/>
  <c r="D96" i="131"/>
  <c r="H172" i="126"/>
  <c r="G172" i="126"/>
  <c r="I172" i="126" s="1"/>
  <c r="E95" i="125"/>
  <c r="F95" i="125" s="1"/>
  <c r="B136" i="125"/>
  <c r="D95" i="125"/>
  <c r="E93" i="125"/>
  <c r="E91" i="125"/>
  <c r="E135" i="125"/>
  <c r="F135" i="125" s="1"/>
  <c r="G135" i="125" s="1"/>
  <c r="E133" i="125"/>
  <c r="F133" i="125" s="1"/>
  <c r="G133" i="125" s="1"/>
  <c r="H133" i="125" s="1"/>
  <c r="J133" i="125" s="1"/>
  <c r="K133" i="125" s="1"/>
  <c r="E134" i="125"/>
  <c r="F134" i="125" s="1"/>
  <c r="G134" i="125" s="1"/>
  <c r="H134" i="125" s="1"/>
  <c r="J134" i="125" s="1"/>
  <c r="K134" i="125" s="1"/>
  <c r="E136" i="125"/>
  <c r="F136" i="125" s="1"/>
  <c r="G136" i="125" s="1"/>
  <c r="E132" i="125"/>
  <c r="E92" i="125"/>
  <c r="H90" i="136"/>
  <c r="D134" i="136"/>
  <c r="B176" i="136"/>
  <c r="E134" i="136"/>
  <c r="F134" i="136" s="1"/>
  <c r="H173" i="128"/>
  <c r="G173" i="128"/>
  <c r="I173" i="128" s="1"/>
  <c r="H173" i="138"/>
  <c r="G173" i="138"/>
  <c r="I173" i="138" s="1"/>
  <c r="E133" i="139"/>
  <c r="F133" i="139" s="1"/>
  <c r="G133" i="139" s="1"/>
  <c r="H133" i="139" s="1"/>
  <c r="J133" i="139" s="1"/>
  <c r="K133" i="139" s="1"/>
  <c r="H172" i="134"/>
  <c r="G172" i="134"/>
  <c r="I172" i="134" s="1"/>
  <c r="D133" i="134"/>
  <c r="B175" i="134"/>
  <c r="H132" i="138"/>
  <c r="J132" i="138" s="1"/>
  <c r="K132" i="138" s="1"/>
  <c r="H41" i="128"/>
  <c r="D40" i="128" s="1"/>
  <c r="H40" i="128" s="1"/>
  <c r="D230" i="128" s="1" a="1"/>
  <c r="D230" i="128" s="1"/>
  <c r="D177" i="137"/>
  <c r="D177" i="127"/>
  <c r="B136" i="135"/>
  <c r="D95" i="135"/>
  <c r="H95" i="135" s="1"/>
  <c r="E95" i="135"/>
  <c r="F95" i="135" s="1"/>
  <c r="E133" i="135"/>
  <c r="F133" i="135" s="1"/>
  <c r="G133" i="135" s="1"/>
  <c r="H133" i="135" s="1"/>
  <c r="J133" i="135" s="1"/>
  <c r="K133" i="135" s="1"/>
  <c r="E135" i="135"/>
  <c r="F135" i="135" s="1"/>
  <c r="G135" i="135" s="1"/>
  <c r="D39" i="134"/>
  <c r="H39" i="134" s="1"/>
  <c r="D229" i="134" s="1" a="1"/>
  <c r="D229" i="134" s="1"/>
  <c r="D37" i="134"/>
  <c r="H37" i="134" s="1"/>
  <c r="D227" i="134" s="1" a="1"/>
  <c r="D227" i="134" s="1"/>
  <c r="D35" i="134"/>
  <c r="H35" i="134" s="1"/>
  <c r="D225" i="134" s="1" a="1"/>
  <c r="D225" i="134" s="1"/>
  <c r="D33" i="134"/>
  <c r="H33" i="134" s="1"/>
  <c r="D223" i="134" s="1" a="1"/>
  <c r="D223" i="134" s="1"/>
  <c r="D31" i="134"/>
  <c r="H31" i="134" s="1"/>
  <c r="D221" i="134" s="1" a="1"/>
  <c r="D221" i="134" s="1"/>
  <c r="D29" i="134"/>
  <c r="H29" i="134" s="1"/>
  <c r="D219" i="134" s="1" a="1"/>
  <c r="D219" i="134" s="1"/>
  <c r="D27" i="134"/>
  <c r="H27" i="134" s="1"/>
  <c r="D217" i="134" s="1" a="1"/>
  <c r="D217" i="134" s="1"/>
  <c r="D25" i="134"/>
  <c r="H25" i="134" s="1"/>
  <c r="D215" i="134" s="1" a="1"/>
  <c r="D215" i="134" s="1"/>
  <c r="D23" i="134"/>
  <c r="H23" i="134" s="1"/>
  <c r="D213" i="134" s="1" a="1"/>
  <c r="D213" i="134" s="1"/>
  <c r="D21" i="134"/>
  <c r="H21" i="134" s="1"/>
  <c r="D211" i="134" s="1" a="1"/>
  <c r="D211" i="134" s="1"/>
  <c r="D40" i="134"/>
  <c r="H40" i="134" s="1"/>
  <c r="D230" i="134" s="1" a="1"/>
  <c r="D230" i="134" s="1"/>
  <c r="D38" i="134"/>
  <c r="H38" i="134" s="1"/>
  <c r="D228" i="134" s="1" a="1"/>
  <c r="D228" i="134" s="1"/>
  <c r="D36" i="134"/>
  <c r="H36" i="134" s="1"/>
  <c r="D226" i="134" s="1" a="1"/>
  <c r="D226" i="134" s="1"/>
  <c r="D34" i="134"/>
  <c r="H34" i="134" s="1"/>
  <c r="D224" i="134" s="1" a="1"/>
  <c r="D224" i="134" s="1"/>
  <c r="D32" i="134"/>
  <c r="H32" i="134" s="1"/>
  <c r="D222" i="134" s="1" a="1"/>
  <c r="D222" i="134" s="1"/>
  <c r="D30" i="134"/>
  <c r="H30" i="134" s="1"/>
  <c r="D220" i="134" s="1" a="1"/>
  <c r="D220" i="134" s="1"/>
  <c r="D28" i="134"/>
  <c r="H28" i="134" s="1"/>
  <c r="D218" i="134" s="1" a="1"/>
  <c r="D218" i="134" s="1"/>
  <c r="D26" i="134"/>
  <c r="H26" i="134" s="1"/>
  <c r="D216" i="134" s="1" a="1"/>
  <c r="D216" i="134" s="1"/>
  <c r="D24" i="134"/>
  <c r="H24" i="134" s="1"/>
  <c r="D214" i="134" s="1" a="1"/>
  <c r="D214" i="134" s="1"/>
  <c r="D22" i="134"/>
  <c r="H22" i="134" s="1"/>
  <c r="D212" i="134" s="1" a="1"/>
  <c r="D212" i="134" s="1"/>
  <c r="D28" i="138"/>
  <c r="H28" i="138" s="1"/>
  <c r="D218" i="138" s="1" a="1"/>
  <c r="D218" i="138" s="1"/>
  <c r="D30" i="138"/>
  <c r="H30" i="138" s="1"/>
  <c r="D220" i="138" s="1" a="1"/>
  <c r="D220" i="138" s="1"/>
  <c r="D38" i="138"/>
  <c r="H38" i="138" s="1"/>
  <c r="D228" i="138" s="1" a="1"/>
  <c r="D228" i="138" s="1"/>
  <c r="D25" i="138"/>
  <c r="H25" i="138" s="1"/>
  <c r="D215" i="138" s="1" a="1"/>
  <c r="D215" i="138" s="1"/>
  <c r="D33" i="138"/>
  <c r="H33" i="138" s="1"/>
  <c r="D223" i="138" s="1" a="1"/>
  <c r="D223" i="138" s="1"/>
  <c r="E95" i="123"/>
  <c r="F95" i="123" s="1"/>
  <c r="B136" i="123"/>
  <c r="D95" i="123"/>
  <c r="H95" i="123" s="1"/>
  <c r="E134" i="123"/>
  <c r="F134" i="123" s="1"/>
  <c r="G134" i="123" s="1"/>
  <c r="H134" i="123" s="1"/>
  <c r="J134" i="123" s="1"/>
  <c r="K134" i="123" s="1"/>
  <c r="D174" i="134"/>
  <c r="E21" i="122"/>
  <c r="F21" i="122"/>
  <c r="D96" i="137"/>
  <c r="H96" i="137" s="1"/>
  <c r="B137" i="137"/>
  <c r="E96" i="137"/>
  <c r="F96" i="137" s="1"/>
  <c r="E133" i="123"/>
  <c r="F133" i="123" s="1"/>
  <c r="G133" i="123" s="1"/>
  <c r="H133" i="123" s="1"/>
  <c r="J133" i="123" s="1"/>
  <c r="K133" i="123" s="1"/>
  <c r="H131" i="132"/>
  <c r="J131" i="132" s="1"/>
  <c r="K131" i="132" s="1"/>
  <c r="J12" i="132"/>
  <c r="H12" i="132"/>
  <c r="F9" i="124"/>
  <c r="H9" i="124" s="1"/>
  <c r="D92" i="124"/>
  <c r="H92" i="124" s="1"/>
  <c r="E94" i="131"/>
  <c r="F94" i="131" s="1"/>
  <c r="D95" i="126"/>
  <c r="H90" i="126"/>
  <c r="H89" i="122"/>
  <c r="D61" i="138"/>
  <c r="H61" i="138" s="1"/>
  <c r="E219" i="138" s="1" a="1"/>
  <c r="E219" i="138" s="1"/>
  <c r="D69" i="138"/>
  <c r="H69" i="138" s="1"/>
  <c r="E227" i="138" s="1" a="1"/>
  <c r="E227" i="138" s="1"/>
  <c r="D58" i="138"/>
  <c r="H58" i="138" s="1"/>
  <c r="E216" i="138" s="1" a="1"/>
  <c r="E216" i="138" s="1"/>
  <c r="D66" i="138"/>
  <c r="H66" i="138" s="1"/>
  <c r="E224" i="138" s="1" a="1"/>
  <c r="E224" i="138" s="1"/>
  <c r="D93" i="124"/>
  <c r="H93" i="124" s="1"/>
  <c r="E92" i="135"/>
  <c r="D174" i="140"/>
  <c r="J13" i="135"/>
  <c r="H13" i="135"/>
  <c r="H94" i="124"/>
  <c r="D95" i="130"/>
  <c r="H90" i="130"/>
  <c r="B175" i="136"/>
  <c r="D133" i="136"/>
  <c r="E133" i="136"/>
  <c r="F133" i="136" s="1"/>
  <c r="G133" i="136" s="1"/>
  <c r="H94" i="128"/>
  <c r="D132" i="128"/>
  <c r="H132" i="128" s="1"/>
  <c r="J132" i="128" s="1"/>
  <c r="K132" i="128" s="1"/>
  <c r="E94" i="125"/>
  <c r="F94" i="125" s="1"/>
  <c r="H94" i="133"/>
  <c r="F172" i="138"/>
  <c r="F11" i="124"/>
  <c r="H11" i="124" s="1"/>
  <c r="E73" i="124"/>
  <c r="H41" i="124"/>
  <c r="E41" i="124"/>
  <c r="H134" i="138"/>
  <c r="J134" i="138" s="1"/>
  <c r="G135" i="138"/>
  <c r="H94" i="129"/>
  <c r="D134" i="134"/>
  <c r="B176" i="134"/>
  <c r="E174" i="134" s="1"/>
  <c r="E134" i="134"/>
  <c r="F134" i="134" s="1"/>
  <c r="J175" i="131"/>
  <c r="J176" i="135"/>
  <c r="D60" i="127"/>
  <c r="H60" i="127" s="1"/>
  <c r="E221" i="127" s="1" a="1"/>
  <c r="E221" i="127" s="1"/>
  <c r="D68" i="127"/>
  <c r="H68" i="127" s="1"/>
  <c r="E229" i="127" s="1" a="1"/>
  <c r="E229" i="127" s="1"/>
  <c r="D57" i="127"/>
  <c r="H57" i="127" s="1"/>
  <c r="E218" i="127" s="1" a="1"/>
  <c r="E218" i="127" s="1"/>
  <c r="D65" i="127"/>
  <c r="H65" i="127" s="1"/>
  <c r="E226" i="127" s="1" a="1"/>
  <c r="E226" i="127" s="1"/>
  <c r="D73" i="127"/>
  <c r="H73" i="127" s="1"/>
  <c r="E234" i="127" s="1" a="1"/>
  <c r="E234" i="127" s="1"/>
  <c r="D57" i="133"/>
  <c r="H57" i="133" s="1"/>
  <c r="E218" i="133" s="1" a="1"/>
  <c r="E218" i="133" s="1"/>
  <c r="D65" i="133"/>
  <c r="H65" i="133" s="1"/>
  <c r="E226" i="133" s="1" a="1"/>
  <c r="E226" i="133" s="1"/>
  <c r="D73" i="133"/>
  <c r="H73" i="133" s="1"/>
  <c r="E234" i="133" s="1" a="1"/>
  <c r="E234" i="133" s="1"/>
  <c r="H39" i="122" s="1"/>
  <c r="D60" i="133"/>
  <c r="H60" i="133" s="1"/>
  <c r="E221" i="133" s="1" a="1"/>
  <c r="E221" i="133" s="1"/>
  <c r="D68" i="133"/>
  <c r="H68" i="133" s="1"/>
  <c r="E229" i="133" s="1" a="1"/>
  <c r="E229" i="133" s="1"/>
  <c r="G39" i="122" s="1"/>
  <c r="F10" i="128"/>
  <c r="H10" i="128" s="1"/>
  <c r="D177" i="133"/>
  <c r="H94" i="132"/>
  <c r="G175" i="135"/>
  <c r="I175" i="135" s="1"/>
  <c r="H175" i="135"/>
  <c r="D96" i="125"/>
  <c r="H96" i="125" s="1"/>
  <c r="B137" i="125"/>
  <c r="E137" i="125" s="1"/>
  <c r="F137" i="125" s="1"/>
  <c r="E96" i="125"/>
  <c r="F96" i="125" s="1"/>
  <c r="D177" i="135"/>
  <c r="D177" i="139"/>
  <c r="H133" i="138"/>
  <c r="J133" i="138" s="1"/>
  <c r="K133" i="138" s="1"/>
  <c r="B136" i="129"/>
  <c r="D95" i="129"/>
  <c r="H95" i="129" s="1"/>
  <c r="E95" i="129"/>
  <c r="F95" i="129" s="1"/>
  <c r="E92" i="129"/>
  <c r="E91" i="129"/>
  <c r="D174" i="124"/>
  <c r="B137" i="127"/>
  <c r="D96" i="127"/>
  <c r="E96" i="127"/>
  <c r="F96" i="127" s="1"/>
  <c r="H73" i="136"/>
  <c r="D69" i="136" s="1"/>
  <c r="H69" i="136" s="1"/>
  <c r="E227" i="136" s="1" a="1"/>
  <c r="E227" i="136" s="1"/>
  <c r="D61" i="135"/>
  <c r="H61" i="135" s="1"/>
  <c r="E222" i="135" s="1" a="1"/>
  <c r="E222" i="135" s="1"/>
  <c r="D69" i="135"/>
  <c r="H69" i="135" s="1"/>
  <c r="E230" i="135" s="1" a="1"/>
  <c r="E230" i="135" s="1"/>
  <c r="H94" i="136"/>
  <c r="D66" i="137"/>
  <c r="H66" i="137" s="1"/>
  <c r="E227" i="137" s="1" a="1"/>
  <c r="E227" i="137" s="1"/>
  <c r="D58" i="137"/>
  <c r="H58" i="137" s="1"/>
  <c r="E219" i="137" s="1" a="1"/>
  <c r="E219" i="137" s="1"/>
  <c r="E73" i="122" s="1"/>
  <c r="D71" i="137"/>
  <c r="H71" i="137" s="1"/>
  <c r="E232" i="137" s="1" a="1"/>
  <c r="E232" i="137" s="1"/>
  <c r="D63" i="137"/>
  <c r="H63" i="137" s="1"/>
  <c r="E224" i="137" s="1" a="1"/>
  <c r="E224" i="137" s="1"/>
  <c r="F73" i="122" s="1"/>
  <c r="D55" i="137"/>
  <c r="H55" i="137" s="1"/>
  <c r="E216" i="137" s="1" a="1"/>
  <c r="E216" i="137" s="1"/>
  <c r="D60" i="137"/>
  <c r="H60" i="137" s="1"/>
  <c r="E221" i="137" s="1" a="1"/>
  <c r="E221" i="137" s="1"/>
  <c r="D72" i="137"/>
  <c r="H72" i="137" s="1"/>
  <c r="E233" i="137" s="1" a="1"/>
  <c r="E233" i="137" s="1"/>
  <c r="D64" i="137"/>
  <c r="H64" i="137" s="1"/>
  <c r="E225" i="137" s="1" a="1"/>
  <c r="E225" i="137" s="1"/>
  <c r="D56" i="137"/>
  <c r="H56" i="137" s="1"/>
  <c r="E217" i="137" s="1" a="1"/>
  <c r="E217" i="137" s="1"/>
  <c r="D69" i="137"/>
  <c r="H69" i="137" s="1"/>
  <c r="E230" i="137" s="1" a="1"/>
  <c r="E230" i="137" s="1"/>
  <c r="D61" i="137"/>
  <c r="H61" i="137" s="1"/>
  <c r="E222" i="137" s="1" a="1"/>
  <c r="E222" i="137" s="1"/>
  <c r="D68" i="137"/>
  <c r="H68" i="137" s="1"/>
  <c r="E229" i="137" s="1" a="1"/>
  <c r="E229" i="137" s="1"/>
  <c r="G73" i="122" s="1"/>
  <c r="D57" i="137"/>
  <c r="H57" i="137" s="1"/>
  <c r="E218" i="137" s="1" a="1"/>
  <c r="E218" i="137" s="1"/>
  <c r="D70" i="137"/>
  <c r="H70" i="137" s="1"/>
  <c r="E231" i="137" s="1" a="1"/>
  <c r="E231" i="137" s="1"/>
  <c r="D62" i="137"/>
  <c r="H62" i="137" s="1"/>
  <c r="E223" i="137" s="1" a="1"/>
  <c r="E223" i="137" s="1"/>
  <c r="D54" i="137"/>
  <c r="H54" i="137" s="1"/>
  <c r="E215" i="137" s="1" a="1"/>
  <c r="E215" i="137" s="1"/>
  <c r="D73" i="122" s="1"/>
  <c r="D67" i="137"/>
  <c r="H67" i="137" s="1"/>
  <c r="E228" i="137" s="1" a="1"/>
  <c r="E228" i="137" s="1"/>
  <c r="D59" i="137"/>
  <c r="H59" i="137" s="1"/>
  <c r="E220" i="137" s="1" a="1"/>
  <c r="E220" i="137" s="1"/>
  <c r="D73" i="137"/>
  <c r="H73" i="137" s="1"/>
  <c r="E234" i="137" s="1" a="1"/>
  <c r="E234" i="137" s="1"/>
  <c r="H73" i="122" s="1"/>
  <c r="D65" i="137"/>
  <c r="H65" i="137" s="1"/>
  <c r="E226" i="137" s="1" a="1"/>
  <c r="E226" i="137" s="1"/>
  <c r="H173" i="132"/>
  <c r="G173" i="132"/>
  <c r="I173" i="132" s="1"/>
  <c r="H92" i="132"/>
  <c r="E95" i="133"/>
  <c r="F95" i="133" s="1"/>
  <c r="B136" i="133"/>
  <c r="D95" i="133"/>
  <c r="H95" i="133" s="1"/>
  <c r="E92" i="133"/>
  <c r="E132" i="133"/>
  <c r="E133" i="133"/>
  <c r="F133" i="133" s="1"/>
  <c r="G133" i="133" s="1"/>
  <c r="H133" i="133" s="1"/>
  <c r="J133" i="133" s="1"/>
  <c r="K133" i="133" s="1"/>
  <c r="E134" i="133"/>
  <c r="F134" i="133" s="1"/>
  <c r="G134" i="133" s="1"/>
  <c r="H134" i="133" s="1"/>
  <c r="J134" i="133" s="1"/>
  <c r="K134" i="133" s="1"/>
  <c r="E93" i="133"/>
  <c r="E91" i="133"/>
  <c r="E135" i="133"/>
  <c r="F135" i="133" s="1"/>
  <c r="G135" i="133" s="1"/>
  <c r="H93" i="135"/>
  <c r="E93" i="131"/>
  <c r="D41" i="137"/>
  <c r="H41" i="137" s="1"/>
  <c r="D234" i="137" s="1" a="1"/>
  <c r="D234" i="137" s="1"/>
  <c r="D33" i="137"/>
  <c r="H33" i="137" s="1"/>
  <c r="D226" i="137" s="1" a="1"/>
  <c r="D226" i="137" s="1"/>
  <c r="D25" i="137"/>
  <c r="H25" i="137" s="1"/>
  <c r="D218" i="137" s="1" a="1"/>
  <c r="D218" i="137" s="1"/>
  <c r="D36" i="137"/>
  <c r="H36" i="137" s="1"/>
  <c r="D229" i="137" s="1" a="1"/>
  <c r="D229" i="137" s="1"/>
  <c r="D28" i="137"/>
  <c r="H28" i="137" s="1"/>
  <c r="D221" i="137" s="1" a="1"/>
  <c r="D221" i="137" s="1"/>
  <c r="D39" i="137"/>
  <c r="H39" i="137" s="1"/>
  <c r="D232" i="137" s="1" a="1"/>
  <c r="D232" i="137" s="1"/>
  <c r="D31" i="137"/>
  <c r="H31" i="137" s="1"/>
  <c r="D224" i="137" s="1" a="1"/>
  <c r="D224" i="137" s="1"/>
  <c r="D23" i="137"/>
  <c r="H23" i="137" s="1"/>
  <c r="D216" i="137" s="1" a="1"/>
  <c r="D216" i="137" s="1"/>
  <c r="D34" i="137"/>
  <c r="H34" i="137" s="1"/>
  <c r="D227" i="137" s="1" a="1"/>
  <c r="D227" i="137" s="1"/>
  <c r="D26" i="137"/>
  <c r="H26" i="137" s="1"/>
  <c r="D219" i="137" s="1" a="1"/>
  <c r="D219" i="137" s="1"/>
  <c r="D38" i="137"/>
  <c r="H38" i="137" s="1"/>
  <c r="D231" i="137" s="1" a="1"/>
  <c r="D231" i="137" s="1"/>
  <c r="D37" i="137"/>
  <c r="H37" i="137" s="1"/>
  <c r="D230" i="137" s="1" a="1"/>
  <c r="D230" i="137" s="1"/>
  <c r="D29" i="137"/>
  <c r="H29" i="137" s="1"/>
  <c r="D222" i="137" s="1" a="1"/>
  <c r="D222" i="137" s="1"/>
  <c r="D40" i="137"/>
  <c r="H40" i="137" s="1"/>
  <c r="D233" i="137" s="1" a="1"/>
  <c r="D233" i="137" s="1"/>
  <c r="D32" i="137"/>
  <c r="H32" i="137" s="1"/>
  <c r="D225" i="137" s="1" a="1"/>
  <c r="D225" i="137" s="1"/>
  <c r="D24" i="137"/>
  <c r="H24" i="137" s="1"/>
  <c r="D217" i="137" s="1" a="1"/>
  <c r="D217" i="137" s="1"/>
  <c r="D35" i="137"/>
  <c r="H35" i="137" s="1"/>
  <c r="D228" i="137" s="1" a="1"/>
  <c r="D228" i="137" s="1"/>
  <c r="D27" i="137"/>
  <c r="H27" i="137" s="1"/>
  <c r="D220" i="137" s="1" a="1"/>
  <c r="D220" i="137" s="1"/>
  <c r="D30" i="137"/>
  <c r="H30" i="137" s="1"/>
  <c r="D223" i="137" s="1" a="1"/>
  <c r="D223" i="137" s="1"/>
  <c r="D22" i="137"/>
  <c r="H22" i="137" s="1"/>
  <c r="D215" i="137" s="1" a="1"/>
  <c r="D215" i="137" s="1"/>
  <c r="E135" i="139"/>
  <c r="F135" i="139" s="1"/>
  <c r="G135" i="139" s="1"/>
  <c r="E93" i="123"/>
  <c r="H131" i="138"/>
  <c r="J131" i="138" s="1"/>
  <c r="K131" i="138" s="1"/>
  <c r="J173" i="130"/>
  <c r="D174" i="130"/>
  <c r="J172" i="132"/>
  <c r="H73" i="128"/>
  <c r="D71" i="128" s="1"/>
  <c r="H71" i="128" s="1"/>
  <c r="E229" i="128" s="1" a="1"/>
  <c r="E229" i="128" s="1"/>
  <c r="B137" i="135"/>
  <c r="E96" i="135"/>
  <c r="F96" i="135" s="1"/>
  <c r="D96" i="135"/>
  <c r="H96" i="135" s="1"/>
  <c r="D65" i="139"/>
  <c r="H65" i="139" s="1"/>
  <c r="E226" i="139" s="1" a="1"/>
  <c r="E226" i="139" s="1"/>
  <c r="D55" i="139"/>
  <c r="H55" i="139" s="1"/>
  <c r="E216" i="139" s="1" a="1"/>
  <c r="E216" i="139" s="1"/>
  <c r="D57" i="139"/>
  <c r="H57" i="139" s="1"/>
  <c r="E218" i="139" s="1" a="1"/>
  <c r="E218" i="139" s="1"/>
  <c r="D56" i="139"/>
  <c r="H56" i="139" s="1"/>
  <c r="E217" i="139" s="1" a="1"/>
  <c r="E217" i="139" s="1"/>
  <c r="D72" i="139"/>
  <c r="H72" i="139" s="1"/>
  <c r="E233" i="139" s="1" a="1"/>
  <c r="E233" i="139" s="1"/>
  <c r="D22" i="138"/>
  <c r="H22" i="138" s="1"/>
  <c r="D212" i="138" s="1" a="1"/>
  <c r="D212" i="138" s="1"/>
  <c r="D32" i="138"/>
  <c r="H32" i="138" s="1"/>
  <c r="D222" i="138" s="1" a="1"/>
  <c r="D222" i="138" s="1"/>
  <c r="D40" i="138"/>
  <c r="H40" i="138" s="1"/>
  <c r="D230" i="138" s="1" a="1"/>
  <c r="D230" i="138" s="1"/>
  <c r="D27" i="138"/>
  <c r="H27" i="138" s="1"/>
  <c r="D217" i="138" s="1" a="1"/>
  <c r="D217" i="138" s="1"/>
  <c r="D35" i="138"/>
  <c r="H35" i="138" s="1"/>
  <c r="D225" i="138" s="1" a="1"/>
  <c r="D225" i="138" s="1"/>
  <c r="H73" i="132"/>
  <c r="D68" i="132" s="1"/>
  <c r="H68" i="132" s="1"/>
  <c r="E226" i="132" s="1" a="1"/>
  <c r="E226" i="132" s="1"/>
  <c r="D56" i="131"/>
  <c r="H56" i="131" s="1"/>
  <c r="E217" i="131" s="1" a="1"/>
  <c r="E217" i="131" s="1"/>
  <c r="D64" i="131"/>
  <c r="H64" i="131" s="1"/>
  <c r="E225" i="131" s="1" a="1"/>
  <c r="E225" i="131" s="1"/>
  <c r="D72" i="131"/>
  <c r="H72" i="131" s="1"/>
  <c r="E233" i="131" s="1" a="1"/>
  <c r="E233" i="131" s="1"/>
  <c r="D59" i="131"/>
  <c r="H59" i="131" s="1"/>
  <c r="E220" i="131" s="1" a="1"/>
  <c r="E220" i="131" s="1"/>
  <c r="D67" i="131"/>
  <c r="H67" i="131" s="1"/>
  <c r="E228" i="131" s="1" a="1"/>
  <c r="E228" i="131" s="1"/>
  <c r="D96" i="123"/>
  <c r="B137" i="123"/>
  <c r="E96" i="123"/>
  <c r="F96" i="123" s="1"/>
  <c r="H90" i="132"/>
  <c r="H95" i="132" s="1"/>
  <c r="D95" i="132"/>
  <c r="E136" i="129"/>
  <c r="F136" i="129" s="1"/>
  <c r="G136" i="129" s="1"/>
  <c r="G21" i="122"/>
  <c r="H21" i="122"/>
  <c r="E92" i="139"/>
  <c r="J12" i="130"/>
  <c r="J173" i="126"/>
  <c r="H91" i="123"/>
  <c r="D56" i="129"/>
  <c r="H56" i="129" s="1"/>
  <c r="E217" i="129" s="1" a="1"/>
  <c r="E217" i="129" s="1"/>
  <c r="D64" i="129"/>
  <c r="H64" i="129" s="1"/>
  <c r="E225" i="129" s="1" a="1"/>
  <c r="E225" i="129" s="1"/>
  <c r="D72" i="129"/>
  <c r="H72" i="129" s="1"/>
  <c r="E233" i="129" s="1" a="1"/>
  <c r="E233" i="129" s="1"/>
  <c r="D59" i="129"/>
  <c r="H59" i="129" s="1"/>
  <c r="E220" i="129" s="1" a="1"/>
  <c r="E220" i="129" s="1"/>
  <c r="D67" i="129"/>
  <c r="H67" i="129" s="1"/>
  <c r="E228" i="129" s="1" a="1"/>
  <c r="E228" i="129" s="1"/>
  <c r="F55" i="122"/>
  <c r="E55" i="122"/>
  <c r="D57" i="125"/>
  <c r="H57" i="125" s="1"/>
  <c r="E218" i="125" s="1" a="1"/>
  <c r="E218" i="125" s="1"/>
  <c r="D65" i="125"/>
  <c r="H65" i="125" s="1"/>
  <c r="E226" i="125" s="1" a="1"/>
  <c r="E226" i="125" s="1"/>
  <c r="D73" i="125"/>
  <c r="H73" i="125" s="1"/>
  <c r="E234" i="125" s="1" a="1"/>
  <c r="E234" i="125" s="1"/>
  <c r="H22" i="122" s="1"/>
  <c r="D60" i="125"/>
  <c r="H60" i="125" s="1"/>
  <c r="E221" i="125" s="1" a="1"/>
  <c r="E221" i="125" s="1"/>
  <c r="D68" i="125"/>
  <c r="H68" i="125" s="1"/>
  <c r="E229" i="125" s="1" a="1"/>
  <c r="E229" i="125" s="1"/>
  <c r="G22" i="122" s="1"/>
  <c r="D135" i="137"/>
  <c r="H135" i="137" s="1"/>
  <c r="J135" i="137" s="1"/>
  <c r="K135" i="137" s="1"/>
  <c r="B178" i="137"/>
  <c r="B178" i="131"/>
  <c r="D135" i="131"/>
  <c r="E89" i="122"/>
  <c r="D55" i="138"/>
  <c r="H55" i="138" s="1"/>
  <c r="E213" i="138" s="1" a="1"/>
  <c r="E213" i="138" s="1"/>
  <c r="D63" i="138"/>
  <c r="H63" i="138" s="1"/>
  <c r="E221" i="138" s="1" a="1"/>
  <c r="E221" i="138" s="1"/>
  <c r="D71" i="138"/>
  <c r="H71" i="138" s="1"/>
  <c r="E229" i="138" s="1" a="1"/>
  <c r="E229" i="138" s="1"/>
  <c r="D60" i="138"/>
  <c r="H60" i="138" s="1"/>
  <c r="E218" i="138" s="1" a="1"/>
  <c r="E218" i="138" s="1"/>
  <c r="D68" i="138"/>
  <c r="H68" i="138" s="1"/>
  <c r="E226" i="138" s="1" a="1"/>
  <c r="E226" i="138" s="1"/>
  <c r="B175" i="124"/>
  <c r="E173" i="124" s="1"/>
  <c r="D133" i="124"/>
  <c r="E133" i="129"/>
  <c r="F133" i="129" s="1"/>
  <c r="G133" i="129" s="1"/>
  <c r="H133" i="129" s="1"/>
  <c r="J133" i="129" s="1"/>
  <c r="K133" i="129" s="1"/>
  <c r="D134" i="124"/>
  <c r="B176" i="124"/>
  <c r="C6" i="141"/>
  <c r="C29" i="141"/>
  <c r="C5" i="141" s="1"/>
  <c r="H173" i="140"/>
  <c r="G173" i="140"/>
  <c r="I173" i="140" s="1"/>
  <c r="D174" i="128"/>
  <c r="D40" i="126"/>
  <c r="H40" i="126" s="1"/>
  <c r="D230" i="126" s="1" a="1"/>
  <c r="D230" i="126" s="1"/>
  <c r="D38" i="126"/>
  <c r="H38" i="126" s="1"/>
  <c r="D228" i="126" s="1" a="1"/>
  <c r="D228" i="126" s="1"/>
  <c r="D36" i="126"/>
  <c r="H36" i="126" s="1"/>
  <c r="D226" i="126" s="1" a="1"/>
  <c r="D226" i="126" s="1"/>
  <c r="D34" i="126"/>
  <c r="H34" i="126" s="1"/>
  <c r="D224" i="126" s="1" a="1"/>
  <c r="D224" i="126" s="1"/>
  <c r="D32" i="126"/>
  <c r="H32" i="126" s="1"/>
  <c r="D222" i="126" s="1" a="1"/>
  <c r="D222" i="126" s="1"/>
  <c r="D30" i="126"/>
  <c r="H30" i="126" s="1"/>
  <c r="D220" i="126" s="1" a="1"/>
  <c r="D220" i="126" s="1"/>
  <c r="D28" i="126"/>
  <c r="H28" i="126" s="1"/>
  <c r="D218" i="126" s="1" a="1"/>
  <c r="D218" i="126" s="1"/>
  <c r="D26" i="126"/>
  <c r="H26" i="126" s="1"/>
  <c r="D216" i="126" s="1" a="1"/>
  <c r="D216" i="126" s="1"/>
  <c r="D24" i="126"/>
  <c r="H24" i="126" s="1"/>
  <c r="D214" i="126" s="1" a="1"/>
  <c r="D214" i="126" s="1"/>
  <c r="D22" i="126"/>
  <c r="H22" i="126" s="1"/>
  <c r="D212" i="126" s="1" a="1"/>
  <c r="D212" i="126" s="1"/>
  <c r="D39" i="126"/>
  <c r="H39" i="126" s="1"/>
  <c r="D229" i="126" s="1" a="1"/>
  <c r="D229" i="126" s="1"/>
  <c r="D37" i="126"/>
  <c r="H37" i="126" s="1"/>
  <c r="D227" i="126" s="1" a="1"/>
  <c r="D227" i="126" s="1"/>
  <c r="D35" i="126"/>
  <c r="H35" i="126" s="1"/>
  <c r="D225" i="126" s="1" a="1"/>
  <c r="D225" i="126" s="1"/>
  <c r="D33" i="126"/>
  <c r="H33" i="126" s="1"/>
  <c r="D223" i="126" s="1" a="1"/>
  <c r="D223" i="126" s="1"/>
  <c r="D31" i="126"/>
  <c r="H31" i="126" s="1"/>
  <c r="D221" i="126" s="1" a="1"/>
  <c r="D221" i="126" s="1"/>
  <c r="D29" i="126"/>
  <c r="H29" i="126" s="1"/>
  <c r="D219" i="126" s="1" a="1"/>
  <c r="D219" i="126" s="1"/>
  <c r="D27" i="126"/>
  <c r="H27" i="126" s="1"/>
  <c r="D217" i="126" s="1" a="1"/>
  <c r="D217" i="126" s="1"/>
  <c r="D25" i="126"/>
  <c r="H25" i="126" s="1"/>
  <c r="D215" i="126" s="1" a="1"/>
  <c r="D215" i="126" s="1"/>
  <c r="D23" i="126"/>
  <c r="H23" i="126" s="1"/>
  <c r="D213" i="126" s="1" a="1"/>
  <c r="D213" i="126" s="1"/>
  <c r="D21" i="126"/>
  <c r="H21" i="126" s="1"/>
  <c r="D211" i="126" s="1" a="1"/>
  <c r="D211" i="126" s="1"/>
  <c r="H172" i="136"/>
  <c r="G172" i="136"/>
  <c r="I172" i="136" s="1"/>
  <c r="D174" i="126"/>
  <c r="H90" i="140"/>
  <c r="D95" i="140"/>
  <c r="B178" i="135"/>
  <c r="D135" i="135"/>
  <c r="E38" i="122"/>
  <c r="F38" i="122"/>
  <c r="B136" i="139"/>
  <c r="D95" i="139"/>
  <c r="E95" i="139"/>
  <c r="F95" i="139" s="1"/>
  <c r="E91" i="139"/>
  <c r="E134" i="139"/>
  <c r="F134" i="139" s="1"/>
  <c r="G134" i="139" s="1"/>
  <c r="H134" i="139" s="1"/>
  <c r="J134" i="139" s="1"/>
  <c r="K134" i="139" s="1"/>
  <c r="D59" i="133"/>
  <c r="H59" i="133" s="1"/>
  <c r="E220" i="133" s="1" a="1"/>
  <c r="E220" i="133" s="1"/>
  <c r="D67" i="133"/>
  <c r="H67" i="133" s="1"/>
  <c r="E228" i="133" s="1" a="1"/>
  <c r="E228" i="133" s="1"/>
  <c r="D54" i="133"/>
  <c r="H54" i="133" s="1"/>
  <c r="E215" i="133" s="1" a="1"/>
  <c r="E215" i="133" s="1"/>
  <c r="D39" i="122" s="1"/>
  <c r="D62" i="133"/>
  <c r="H62" i="133" s="1"/>
  <c r="E223" i="133" s="1" a="1"/>
  <c r="E223" i="133" s="1"/>
  <c r="D70" i="133"/>
  <c r="H70" i="133" s="1"/>
  <c r="E231" i="133" s="1" a="1"/>
  <c r="E231" i="133" s="1"/>
  <c r="H90" i="138"/>
  <c r="H95" i="138" s="1"/>
  <c r="D95" i="138"/>
  <c r="H73" i="130"/>
  <c r="D67" i="130" s="1"/>
  <c r="H67" i="130" s="1"/>
  <c r="E225" i="130" s="1" a="1"/>
  <c r="E225" i="130" s="1"/>
  <c r="F9" i="136"/>
  <c r="H9" i="136" s="1"/>
  <c r="D92" i="136"/>
  <c r="H92" i="136" s="1"/>
  <c r="B137" i="129"/>
  <c r="E96" i="129"/>
  <c r="F96" i="129" s="1"/>
  <c r="D96" i="129"/>
  <c r="H96" i="129" s="1"/>
  <c r="H132" i="124"/>
  <c r="J132" i="124" s="1"/>
  <c r="K132" i="124" s="1"/>
  <c r="B136" i="127"/>
  <c r="D95" i="127"/>
  <c r="E95" i="127"/>
  <c r="F95" i="127" s="1"/>
  <c r="E93" i="127"/>
  <c r="E132" i="127"/>
  <c r="E135" i="127"/>
  <c r="F135" i="127" s="1"/>
  <c r="G135" i="127" s="1"/>
  <c r="E136" i="127"/>
  <c r="F136" i="127" s="1"/>
  <c r="G136" i="127" s="1"/>
  <c r="E92" i="127"/>
  <c r="E134" i="127"/>
  <c r="F134" i="127" s="1"/>
  <c r="G134" i="127" s="1"/>
  <c r="H134" i="127" s="1"/>
  <c r="J134" i="127" s="1"/>
  <c r="K134" i="127" s="1"/>
  <c r="E91" i="127"/>
  <c r="F91" i="127" s="1"/>
  <c r="E137" i="127"/>
  <c r="F137" i="127" s="1"/>
  <c r="E133" i="127"/>
  <c r="F133" i="127" s="1"/>
  <c r="G133" i="127" s="1"/>
  <c r="H93" i="128"/>
  <c r="H93" i="137"/>
  <c r="E96" i="133"/>
  <c r="F96" i="133" s="1"/>
  <c r="D96" i="133"/>
  <c r="B137" i="133"/>
  <c r="E137" i="133" s="1"/>
  <c r="F137" i="133" s="1"/>
  <c r="D134" i="130"/>
  <c r="B176" i="130"/>
  <c r="E134" i="130"/>
  <c r="F134" i="130" s="1"/>
  <c r="E91" i="135"/>
  <c r="F91" i="135" s="1"/>
  <c r="E134" i="131"/>
  <c r="F134" i="131" s="1"/>
  <c r="G134" i="131" s="1"/>
  <c r="H134" i="131" s="1"/>
  <c r="J134" i="131" s="1"/>
  <c r="K134" i="131" s="1"/>
  <c r="H91" i="137"/>
  <c r="H131" i="130"/>
  <c r="J131" i="130" s="1"/>
  <c r="K131" i="130" s="1"/>
  <c r="H94" i="140"/>
  <c r="J13" i="123"/>
  <c r="H73" i="134"/>
  <c r="D70" i="134" s="1"/>
  <c r="H70" i="134" s="1"/>
  <c r="E228" i="134" s="1" a="1"/>
  <c r="E228" i="134" s="1"/>
  <c r="D26" i="138"/>
  <c r="H26" i="138" s="1"/>
  <c r="D216" i="138" s="1" a="1"/>
  <c r="D216" i="138" s="1"/>
  <c r="D34" i="138"/>
  <c r="H34" i="138" s="1"/>
  <c r="D224" i="138" s="1" a="1"/>
  <c r="D224" i="138" s="1"/>
  <c r="D21" i="138"/>
  <c r="H21" i="138" s="1"/>
  <c r="D211" i="138" s="1" a="1"/>
  <c r="D211" i="138" s="1"/>
  <c r="D29" i="138"/>
  <c r="H29" i="138" s="1"/>
  <c r="D219" i="138" s="1" a="1"/>
  <c r="D219" i="138" s="1"/>
  <c r="D37" i="138"/>
  <c r="H37" i="138" s="1"/>
  <c r="D227" i="138" s="1" a="1"/>
  <c r="D227" i="138" s="1"/>
  <c r="D61" i="131"/>
  <c r="H61" i="131" s="1"/>
  <c r="E222" i="131" s="1" a="1"/>
  <c r="E222" i="131" s="1"/>
  <c r="D69" i="131"/>
  <c r="H69" i="131" s="1"/>
  <c r="E230" i="131" s="1" a="1"/>
  <c r="E230" i="131" s="1"/>
  <c r="E94" i="127"/>
  <c r="F94" i="127" s="1"/>
  <c r="B175" i="140"/>
  <c r="D133" i="140"/>
  <c r="H133" i="140" s="1"/>
  <c r="J133" i="140" s="1"/>
  <c r="K133" i="140" s="1"/>
  <c r="H173" i="134"/>
  <c r="G173" i="134"/>
  <c r="I173" i="134" s="1"/>
  <c r="H90" i="124"/>
  <c r="E134" i="129"/>
  <c r="F134" i="129" s="1"/>
  <c r="G134" i="129" s="1"/>
  <c r="H134" i="129" s="1"/>
  <c r="J134" i="129" s="1"/>
  <c r="K134" i="129" s="1"/>
  <c r="D21" i="122"/>
  <c r="H93" i="130"/>
  <c r="E132" i="135"/>
  <c r="E135" i="131"/>
  <c r="F135" i="131" s="1"/>
  <c r="G135" i="131" s="1"/>
  <c r="J12" i="138"/>
  <c r="H12" i="138"/>
  <c r="D61" i="129"/>
  <c r="H61" i="129" s="1"/>
  <c r="E222" i="129" s="1" a="1"/>
  <c r="E222" i="129" s="1"/>
  <c r="D69" i="129"/>
  <c r="H69" i="129" s="1"/>
  <c r="E230" i="129" s="1" a="1"/>
  <c r="E230" i="129" s="1"/>
  <c r="H55" i="122"/>
  <c r="G55" i="122"/>
  <c r="E94" i="123"/>
  <c r="F94" i="123" s="1"/>
  <c r="D59" i="125"/>
  <c r="H59" i="125" s="1"/>
  <c r="E220" i="125" s="1" a="1"/>
  <c r="E220" i="125" s="1"/>
  <c r="D67" i="125"/>
  <c r="H67" i="125" s="1"/>
  <c r="E228" i="125" s="1" a="1"/>
  <c r="E228" i="125" s="1"/>
  <c r="D54" i="125"/>
  <c r="H54" i="125" s="1"/>
  <c r="E215" i="125" s="1" a="1"/>
  <c r="E215" i="125" s="1"/>
  <c r="D22" i="122" s="1"/>
  <c r="D62" i="125"/>
  <c r="H62" i="125" s="1"/>
  <c r="E223" i="125" s="1" a="1"/>
  <c r="E223" i="125" s="1"/>
  <c r="D70" i="125"/>
  <c r="H70" i="125" s="1"/>
  <c r="E231" i="125" s="1" a="1"/>
  <c r="E231" i="125" s="1"/>
  <c r="D175" i="138"/>
  <c r="E175" i="138"/>
  <c r="D89" i="122"/>
  <c r="F89" i="122"/>
  <c r="F95" i="124"/>
  <c r="D57" i="138"/>
  <c r="H57" i="138" s="1"/>
  <c r="E215" i="138" s="1" a="1"/>
  <c r="E215" i="138" s="1"/>
  <c r="E79" i="122" s="1"/>
  <c r="D65" i="138"/>
  <c r="H65" i="138" s="1"/>
  <c r="E223" i="138" s="1" a="1"/>
  <c r="E223" i="138" s="1"/>
  <c r="D54" i="138"/>
  <c r="H54" i="138" s="1"/>
  <c r="E212" i="138" s="1" a="1"/>
  <c r="E212" i="138" s="1"/>
  <c r="D62" i="138"/>
  <c r="H62" i="138" s="1"/>
  <c r="E220" i="138" s="1" a="1"/>
  <c r="E220" i="138" s="1"/>
  <c r="F79" i="122" s="1"/>
  <c r="D70" i="138"/>
  <c r="H70" i="138" s="1"/>
  <c r="E228" i="138" s="1" a="1"/>
  <c r="E228" i="138" s="1"/>
  <c r="H12" i="140"/>
  <c r="J172" i="128"/>
  <c r="H73" i="140"/>
  <c r="D62" i="140" s="1"/>
  <c r="H62" i="140" s="1"/>
  <c r="E220" i="140" s="1" a="1"/>
  <c r="E220" i="140" s="1"/>
  <c r="F96" i="122" s="1"/>
  <c r="D134" i="128"/>
  <c r="B176" i="128"/>
  <c r="E134" i="128"/>
  <c r="F134" i="128" s="1"/>
  <c r="H94" i="125"/>
  <c r="E134" i="124"/>
  <c r="F134" i="124" s="1"/>
  <c r="F9" i="128"/>
  <c r="H9" i="128" s="1"/>
  <c r="H12" i="128" s="1"/>
  <c r="D92" i="128"/>
  <c r="H92" i="128" s="1"/>
  <c r="D135" i="125"/>
  <c r="B178" i="125"/>
  <c r="H74" i="123"/>
  <c r="D72" i="123" s="1"/>
  <c r="H72" i="123" s="1"/>
  <c r="E233" i="123" s="1" a="1"/>
  <c r="E233" i="123" s="1"/>
  <c r="H94" i="134"/>
  <c r="D40" i="140"/>
  <c r="H40" i="140" s="1"/>
  <c r="D230" i="140" s="1" a="1"/>
  <c r="D230" i="140" s="1"/>
  <c r="D35" i="140"/>
  <c r="H35" i="140" s="1"/>
  <c r="D225" i="140" s="1" a="1"/>
  <c r="D225" i="140" s="1"/>
  <c r="D32" i="140"/>
  <c r="H32" i="140" s="1"/>
  <c r="D222" i="140" s="1" a="1"/>
  <c r="D222" i="140" s="1"/>
  <c r="D27" i="140"/>
  <c r="H27" i="140" s="1"/>
  <c r="D217" i="140" s="1" a="1"/>
  <c r="D217" i="140" s="1"/>
  <c r="D24" i="140"/>
  <c r="H24" i="140" s="1"/>
  <c r="D214" i="140" s="1" a="1"/>
  <c r="D214" i="140" s="1"/>
  <c r="D37" i="140"/>
  <c r="H37" i="140" s="1"/>
  <c r="D227" i="140" s="1" a="1"/>
  <c r="D227" i="140" s="1"/>
  <c r="D30" i="140"/>
  <c r="H30" i="140" s="1"/>
  <c r="D220" i="140" s="1" a="1"/>
  <c r="D220" i="140" s="1"/>
  <c r="D36" i="140"/>
  <c r="H36" i="140" s="1"/>
  <c r="D226" i="140" s="1" a="1"/>
  <c r="D226" i="140" s="1"/>
  <c r="D39" i="140"/>
  <c r="H39" i="140" s="1"/>
  <c r="D229" i="140" s="1" a="1"/>
  <c r="D229" i="140" s="1"/>
  <c r="D34" i="140"/>
  <c r="H34" i="140" s="1"/>
  <c r="D224" i="140" s="1" a="1"/>
  <c r="D224" i="140" s="1"/>
  <c r="D29" i="140"/>
  <c r="H29" i="140" s="1"/>
  <c r="D219" i="140" s="1" a="1"/>
  <c r="D219" i="140" s="1"/>
  <c r="D22" i="140"/>
  <c r="H22" i="140" s="1"/>
  <c r="D212" i="140" s="1" a="1"/>
  <c r="D212" i="140" s="1"/>
  <c r="D33" i="140"/>
  <c r="H33" i="140" s="1"/>
  <c r="D223" i="140" s="1" a="1"/>
  <c r="D223" i="140" s="1"/>
  <c r="D25" i="140"/>
  <c r="H25" i="140" s="1"/>
  <c r="D215" i="140" s="1" a="1"/>
  <c r="D215" i="140" s="1"/>
  <c r="D31" i="140"/>
  <c r="H31" i="140" s="1"/>
  <c r="D221" i="140" s="1" a="1"/>
  <c r="D221" i="140" s="1"/>
  <c r="D23" i="140"/>
  <c r="H23" i="140" s="1"/>
  <c r="D213" i="140" s="1" a="1"/>
  <c r="D213" i="140" s="1"/>
  <c r="D26" i="140"/>
  <c r="H26" i="140" s="1"/>
  <c r="D216" i="140" s="1" a="1"/>
  <c r="D216" i="140" s="1"/>
  <c r="D38" i="140"/>
  <c r="H38" i="140" s="1"/>
  <c r="D228" i="140" s="1" a="1"/>
  <c r="D228" i="140" s="1"/>
  <c r="D28" i="140"/>
  <c r="H28" i="140" s="1"/>
  <c r="D218" i="140" s="1" a="1"/>
  <c r="D218" i="140" s="1"/>
  <c r="D21" i="140"/>
  <c r="H21" i="140" s="1"/>
  <c r="D211" i="140" s="1" a="1"/>
  <c r="D211" i="140" s="1"/>
  <c r="H133" i="124"/>
  <c r="J133" i="124" s="1"/>
  <c r="K133" i="124" s="1"/>
  <c r="H93" i="126"/>
  <c r="E176" i="138"/>
  <c r="D176" i="138"/>
  <c r="F135" i="132"/>
  <c r="G134" i="132"/>
  <c r="B178" i="133"/>
  <c r="D135" i="133"/>
  <c r="D177" i="131"/>
  <c r="D41" i="123"/>
  <c r="H41" i="123" s="1"/>
  <c r="D234" i="123" s="1" a="1"/>
  <c r="D234" i="123" s="1"/>
  <c r="D39" i="123"/>
  <c r="H39" i="123" s="1"/>
  <c r="D232" i="123" s="1" a="1"/>
  <c r="D232" i="123" s="1"/>
  <c r="D37" i="123"/>
  <c r="H37" i="123" s="1"/>
  <c r="D230" i="123" s="1" a="1"/>
  <c r="D230" i="123" s="1"/>
  <c r="D35" i="123"/>
  <c r="H35" i="123" s="1"/>
  <c r="D228" i="123" s="1" a="1"/>
  <c r="D228" i="123" s="1"/>
  <c r="D33" i="123"/>
  <c r="H33" i="123" s="1"/>
  <c r="D226" i="123" s="1" a="1"/>
  <c r="D226" i="123" s="1"/>
  <c r="D31" i="123"/>
  <c r="H31" i="123" s="1"/>
  <c r="D224" i="123" s="1" a="1"/>
  <c r="D224" i="123" s="1"/>
  <c r="D29" i="123"/>
  <c r="H29" i="123" s="1"/>
  <c r="D222" i="123" s="1" a="1"/>
  <c r="D222" i="123" s="1"/>
  <c r="D27" i="123"/>
  <c r="H27" i="123" s="1"/>
  <c r="D220" i="123" s="1" a="1"/>
  <c r="D220" i="123" s="1"/>
  <c r="D25" i="123"/>
  <c r="H25" i="123" s="1"/>
  <c r="D218" i="123" s="1" a="1"/>
  <c r="D218" i="123" s="1"/>
  <c r="D23" i="123"/>
  <c r="H23" i="123" s="1"/>
  <c r="D216" i="123" s="1" a="1"/>
  <c r="D216" i="123" s="1"/>
  <c r="D40" i="123"/>
  <c r="H40" i="123" s="1"/>
  <c r="D233" i="123" s="1" a="1"/>
  <c r="D233" i="123" s="1"/>
  <c r="D38" i="123"/>
  <c r="H38" i="123" s="1"/>
  <c r="D231" i="123" s="1" a="1"/>
  <c r="D231" i="123" s="1"/>
  <c r="D36" i="123"/>
  <c r="H36" i="123" s="1"/>
  <c r="D229" i="123" s="1" a="1"/>
  <c r="D229" i="123" s="1"/>
  <c r="D34" i="123"/>
  <c r="H34" i="123" s="1"/>
  <c r="D227" i="123" s="1" a="1"/>
  <c r="D227" i="123" s="1"/>
  <c r="D32" i="123"/>
  <c r="H32" i="123" s="1"/>
  <c r="D225" i="123" s="1" a="1"/>
  <c r="D225" i="123" s="1"/>
  <c r="D30" i="123"/>
  <c r="H30" i="123" s="1"/>
  <c r="D223" i="123" s="1" a="1"/>
  <c r="D223" i="123" s="1"/>
  <c r="D28" i="123"/>
  <c r="H28" i="123" s="1"/>
  <c r="D221" i="123" s="1" a="1"/>
  <c r="D221" i="123" s="1"/>
  <c r="D26" i="123"/>
  <c r="H26" i="123" s="1"/>
  <c r="D219" i="123" s="1" a="1"/>
  <c r="D219" i="123" s="1"/>
  <c r="D24" i="123"/>
  <c r="H24" i="123" s="1"/>
  <c r="D217" i="123" s="1" a="1"/>
  <c r="D217" i="123" s="1"/>
  <c r="D22" i="123"/>
  <c r="H22" i="123" s="1"/>
  <c r="D215" i="123" s="1" a="1"/>
  <c r="D215" i="123" s="1"/>
  <c r="D177" i="123"/>
  <c r="D132" i="136"/>
  <c r="H132" i="136" s="1"/>
  <c r="J132" i="136" s="1"/>
  <c r="K132" i="136" s="1"/>
  <c r="B178" i="129"/>
  <c r="D135" i="129"/>
  <c r="H135" i="129" s="1"/>
  <c r="J135" i="129" s="1"/>
  <c r="K135" i="129" s="1"/>
  <c r="H131" i="140"/>
  <c r="J131" i="140" s="1"/>
  <c r="K131" i="140" s="1"/>
  <c r="H92" i="137"/>
  <c r="E94" i="139"/>
  <c r="F94" i="139" s="1"/>
  <c r="D56" i="127"/>
  <c r="H56" i="127" s="1"/>
  <c r="E217" i="127" s="1" a="1"/>
  <c r="E217" i="127" s="1"/>
  <c r="D64" i="127"/>
  <c r="H64" i="127" s="1"/>
  <c r="E225" i="127" s="1" a="1"/>
  <c r="E225" i="127" s="1"/>
  <c r="D72" i="127"/>
  <c r="H72" i="127" s="1"/>
  <c r="E233" i="127" s="1" a="1"/>
  <c r="E233" i="127" s="1"/>
  <c r="D61" i="127"/>
  <c r="H61" i="127" s="1"/>
  <c r="E222" i="127" s="1" a="1"/>
  <c r="E222" i="127" s="1"/>
  <c r="G38" i="122"/>
  <c r="H38" i="122"/>
  <c r="B137" i="139"/>
  <c r="E96" i="139"/>
  <c r="F96" i="139" s="1"/>
  <c r="D96" i="139"/>
  <c r="H96" i="139" s="1"/>
  <c r="D61" i="133"/>
  <c r="H61" i="133" s="1"/>
  <c r="E222" i="133" s="1" a="1"/>
  <c r="E222" i="133" s="1"/>
  <c r="D69" i="133"/>
  <c r="H69" i="133" s="1"/>
  <c r="E230" i="133" s="1" a="1"/>
  <c r="E230" i="133" s="1"/>
  <c r="D56" i="133"/>
  <c r="H56" i="133" s="1"/>
  <c r="E217" i="133" s="1" a="1"/>
  <c r="E217" i="133" s="1"/>
  <c r="D64" i="133"/>
  <c r="H64" i="133" s="1"/>
  <c r="E225" i="133" s="1" a="1"/>
  <c r="E225" i="133" s="1"/>
  <c r="F8" i="124"/>
  <c r="H8" i="124" s="1"/>
  <c r="D91" i="124"/>
  <c r="H91" i="124" s="1"/>
  <c r="D131" i="124"/>
  <c r="H131" i="124" s="1"/>
  <c r="J131" i="124" s="1"/>
  <c r="K131" i="124" s="1"/>
  <c r="D173" i="124"/>
  <c r="B136" i="131"/>
  <c r="D95" i="131"/>
  <c r="E95" i="131"/>
  <c r="F95" i="131" s="1"/>
  <c r="B176" i="132"/>
  <c r="D134" i="132"/>
  <c r="H91" i="135"/>
  <c r="D97" i="135"/>
  <c r="D174" i="132"/>
  <c r="J172" i="124"/>
  <c r="D12" i="136"/>
  <c r="H41" i="136"/>
  <c r="D38" i="136" s="1"/>
  <c r="H38" i="136" s="1"/>
  <c r="D228" i="136" s="1" a="1"/>
  <c r="D228" i="136" s="1"/>
  <c r="D54" i="135"/>
  <c r="H54" i="135" s="1"/>
  <c r="E215" i="135" s="1" a="1"/>
  <c r="E215" i="135" s="1"/>
  <c r="D56" i="122" s="1"/>
  <c r="D62" i="135"/>
  <c r="H62" i="135" s="1"/>
  <c r="E223" i="135" s="1" a="1"/>
  <c r="E223" i="135" s="1"/>
  <c r="D70" i="135"/>
  <c r="H70" i="135" s="1"/>
  <c r="E231" i="135" s="1" a="1"/>
  <c r="E231" i="135" s="1"/>
  <c r="D57" i="135"/>
  <c r="H57" i="135" s="1"/>
  <c r="E218" i="135" s="1" a="1"/>
  <c r="E218" i="135" s="1"/>
  <c r="D65" i="135"/>
  <c r="H65" i="135" s="1"/>
  <c r="E226" i="135" s="1" a="1"/>
  <c r="E226" i="135" s="1"/>
  <c r="F9" i="134"/>
  <c r="H9" i="134" s="1"/>
  <c r="J12" i="134" s="1"/>
  <c r="D92" i="134"/>
  <c r="H92" i="134" s="1"/>
  <c r="D133" i="128"/>
  <c r="B175" i="128"/>
  <c r="E133" i="128"/>
  <c r="F133" i="128" s="1"/>
  <c r="G133" i="128" s="1"/>
  <c r="D134" i="126"/>
  <c r="B176" i="126"/>
  <c r="E173" i="126" s="1"/>
  <c r="E134" i="126"/>
  <c r="F134" i="126" s="1"/>
  <c r="H133" i="137"/>
  <c r="J133" i="137" s="1"/>
  <c r="K133" i="137" s="1"/>
  <c r="J175" i="125"/>
  <c r="D177" i="129"/>
  <c r="E133" i="134"/>
  <c r="F133" i="134" s="1"/>
  <c r="G133" i="134" s="1"/>
  <c r="H133" i="134" s="1"/>
  <c r="J133" i="134" s="1"/>
  <c r="K133" i="134" s="1"/>
  <c r="H94" i="130"/>
  <c r="E173" i="138"/>
  <c r="E177" i="138" s="1"/>
  <c r="E133" i="131"/>
  <c r="F133" i="131" s="1"/>
  <c r="G133" i="131" s="1"/>
  <c r="H133" i="131" s="1"/>
  <c r="J133" i="131" s="1"/>
  <c r="K133" i="131" s="1"/>
  <c r="E137" i="123"/>
  <c r="F137" i="123" s="1"/>
  <c r="J12" i="126"/>
  <c r="H12" i="126"/>
  <c r="H90" i="134"/>
  <c r="H93" i="134"/>
  <c r="D91" i="127"/>
  <c r="D13" i="127"/>
  <c r="D132" i="127"/>
  <c r="H132" i="127" s="1"/>
  <c r="D175" i="127"/>
  <c r="F8" i="127"/>
  <c r="H8" i="127" s="1"/>
  <c r="H42" i="127"/>
  <c r="J176" i="129"/>
  <c r="F10" i="136"/>
  <c r="H10" i="136" s="1"/>
  <c r="J12" i="136" s="1"/>
  <c r="B176" i="140"/>
  <c r="E172" i="140" s="1"/>
  <c r="D134" i="140"/>
  <c r="E134" i="140"/>
  <c r="F134" i="140" s="1"/>
  <c r="D95" i="128"/>
  <c r="H90" i="128"/>
  <c r="H95" i="128" s="1"/>
  <c r="E92" i="131"/>
  <c r="D54" i="139"/>
  <c r="H54" i="139" s="1"/>
  <c r="E215" i="139" s="1" a="1"/>
  <c r="E215" i="139" s="1"/>
  <c r="D90" i="122" s="1"/>
  <c r="D63" i="139"/>
  <c r="H63" i="139" s="1"/>
  <c r="E224" i="139" s="1" a="1"/>
  <c r="E224" i="139" s="1"/>
  <c r="F90" i="122" s="1"/>
  <c r="D66" i="139"/>
  <c r="H66" i="139" s="1"/>
  <c r="E227" i="139" s="1" a="1"/>
  <c r="E227" i="139" s="1"/>
  <c r="D67" i="139"/>
  <c r="H67" i="139" s="1"/>
  <c r="E228" i="139" s="1" a="1"/>
  <c r="E228" i="139" s="1"/>
  <c r="D24" i="138"/>
  <c r="H24" i="138" s="1"/>
  <c r="D214" i="138" s="1" a="1"/>
  <c r="D214" i="138" s="1"/>
  <c r="D36" i="138"/>
  <c r="H36" i="138" s="1"/>
  <c r="D226" i="138" s="1" a="1"/>
  <c r="D226" i="138" s="1"/>
  <c r="D23" i="138"/>
  <c r="H23" i="138" s="1"/>
  <c r="D213" i="138" s="1" a="1"/>
  <c r="D213" i="138" s="1"/>
  <c r="D31" i="138"/>
  <c r="H31" i="138" s="1"/>
  <c r="D221" i="138" s="1" a="1"/>
  <c r="D221" i="138" s="1"/>
  <c r="D39" i="132"/>
  <c r="H39" i="132" s="1"/>
  <c r="D229" i="132" s="1" a="1"/>
  <c r="D229" i="132" s="1"/>
  <c r="D37" i="132"/>
  <c r="H37" i="132" s="1"/>
  <c r="D227" i="132" s="1" a="1"/>
  <c r="D227" i="132" s="1"/>
  <c r="D35" i="132"/>
  <c r="H35" i="132" s="1"/>
  <c r="D225" i="132" s="1" a="1"/>
  <c r="D225" i="132" s="1"/>
  <c r="D33" i="132"/>
  <c r="H33" i="132" s="1"/>
  <c r="D223" i="132" s="1" a="1"/>
  <c r="D223" i="132" s="1"/>
  <c r="D31" i="132"/>
  <c r="H31" i="132" s="1"/>
  <c r="D221" i="132" s="1" a="1"/>
  <c r="D221" i="132" s="1"/>
  <c r="D29" i="132"/>
  <c r="H29" i="132" s="1"/>
  <c r="D219" i="132" s="1" a="1"/>
  <c r="D219" i="132" s="1"/>
  <c r="D27" i="132"/>
  <c r="H27" i="132" s="1"/>
  <c r="D217" i="132" s="1" a="1"/>
  <c r="D217" i="132" s="1"/>
  <c r="D25" i="132"/>
  <c r="H25" i="132" s="1"/>
  <c r="D215" i="132" s="1" a="1"/>
  <c r="D215" i="132" s="1"/>
  <c r="D23" i="132"/>
  <c r="H23" i="132" s="1"/>
  <c r="D213" i="132" s="1" a="1"/>
  <c r="D213" i="132" s="1"/>
  <c r="D21" i="132"/>
  <c r="H21" i="132" s="1"/>
  <c r="D211" i="132" s="1" a="1"/>
  <c r="D211" i="132" s="1"/>
  <c r="D40" i="132"/>
  <c r="H40" i="132" s="1"/>
  <c r="D230" i="132" s="1" a="1"/>
  <c r="D230" i="132" s="1"/>
  <c r="D38" i="132"/>
  <c r="H38" i="132" s="1"/>
  <c r="D228" i="132" s="1" a="1"/>
  <c r="D228" i="132" s="1"/>
  <c r="D36" i="132"/>
  <c r="H36" i="132" s="1"/>
  <c r="D226" i="132" s="1" a="1"/>
  <c r="D226" i="132" s="1"/>
  <c r="D34" i="132"/>
  <c r="H34" i="132" s="1"/>
  <c r="D224" i="132" s="1" a="1"/>
  <c r="D224" i="132" s="1"/>
  <c r="D32" i="132"/>
  <c r="H32" i="132" s="1"/>
  <c r="D222" i="132" s="1" a="1"/>
  <c r="D222" i="132" s="1"/>
  <c r="D30" i="132"/>
  <c r="H30" i="132" s="1"/>
  <c r="D220" i="132" s="1" a="1"/>
  <c r="D220" i="132" s="1"/>
  <c r="D28" i="132"/>
  <c r="H28" i="132" s="1"/>
  <c r="D218" i="132" s="1" a="1"/>
  <c r="D218" i="132" s="1"/>
  <c r="D26" i="132"/>
  <c r="H26" i="132" s="1"/>
  <c r="D216" i="132" s="1" a="1"/>
  <c r="D216" i="132" s="1"/>
  <c r="D24" i="132"/>
  <c r="H24" i="132" s="1"/>
  <c r="D214" i="132" s="1" a="1"/>
  <c r="D214" i="132" s="1"/>
  <c r="D22" i="132"/>
  <c r="H22" i="132" s="1"/>
  <c r="D212" i="132" s="1" a="1"/>
  <c r="D212" i="132" s="1"/>
  <c r="D60" i="131"/>
  <c r="H60" i="131" s="1"/>
  <c r="E221" i="131" s="1" a="1"/>
  <c r="E221" i="131" s="1"/>
  <c r="D68" i="131"/>
  <c r="H68" i="131" s="1"/>
  <c r="E229" i="131" s="1" a="1"/>
  <c r="E229" i="131" s="1"/>
  <c r="D55" i="131"/>
  <c r="H55" i="131" s="1"/>
  <c r="E216" i="131" s="1" a="1"/>
  <c r="E216" i="131" s="1"/>
  <c r="D63" i="131"/>
  <c r="H63" i="131" s="1"/>
  <c r="E224" i="131" s="1" a="1"/>
  <c r="E224" i="131" s="1"/>
  <c r="B178" i="127"/>
  <c r="D135" i="127"/>
  <c r="B175" i="132"/>
  <c r="E172" i="132" s="1"/>
  <c r="D133" i="132"/>
  <c r="H133" i="132" s="1"/>
  <c r="J133" i="132" s="1"/>
  <c r="K133" i="132" s="1"/>
  <c r="F95" i="132"/>
  <c r="D132" i="134"/>
  <c r="H132" i="134" s="1"/>
  <c r="J132" i="134" s="1"/>
  <c r="K132" i="134" s="1"/>
  <c r="D133" i="130"/>
  <c r="B175" i="130"/>
  <c r="E172" i="130" s="1"/>
  <c r="E133" i="130"/>
  <c r="F133" i="130" s="1"/>
  <c r="G133" i="130" s="1"/>
  <c r="H174" i="138"/>
  <c r="G174" i="138"/>
  <c r="I174" i="138" s="1"/>
  <c r="E137" i="131"/>
  <c r="F137" i="131" s="1"/>
  <c r="E95" i="137"/>
  <c r="F95" i="137" s="1"/>
  <c r="F97" i="137" s="1"/>
  <c r="B136" i="137"/>
  <c r="D95" i="137"/>
  <c r="H95" i="137" s="1"/>
  <c r="E132" i="123"/>
  <c r="J172" i="130"/>
  <c r="H175" i="123"/>
  <c r="G175" i="123"/>
  <c r="I175" i="123" s="1"/>
  <c r="D60" i="129"/>
  <c r="H60" i="129" s="1"/>
  <c r="E221" i="129" s="1" a="1"/>
  <c r="E221" i="129" s="1"/>
  <c r="D68" i="129"/>
  <c r="H68" i="129" s="1"/>
  <c r="E229" i="129" s="1" a="1"/>
  <c r="E229" i="129" s="1"/>
  <c r="D55" i="129"/>
  <c r="H55" i="129" s="1"/>
  <c r="E216" i="129" s="1" a="1"/>
  <c r="E216" i="129" s="1"/>
  <c r="D63" i="129"/>
  <c r="H63" i="129" s="1"/>
  <c r="E224" i="129" s="1" a="1"/>
  <c r="E224" i="129" s="1"/>
  <c r="D135" i="123"/>
  <c r="H135" i="123" s="1"/>
  <c r="J135" i="123" s="1"/>
  <c r="K135" i="123" s="1"/>
  <c r="B178" i="123"/>
  <c r="D61" i="125"/>
  <c r="H61" i="125" s="1"/>
  <c r="E222" i="125" s="1" a="1"/>
  <c r="E222" i="125" s="1"/>
  <c r="D69" i="125"/>
  <c r="H69" i="125" s="1"/>
  <c r="E230" i="125" s="1" a="1"/>
  <c r="E230" i="125" s="1"/>
  <c r="D56" i="125"/>
  <c r="H56" i="125" s="1"/>
  <c r="E217" i="125" s="1" a="1"/>
  <c r="E217" i="125" s="1"/>
  <c r="D64" i="125"/>
  <c r="H64" i="125" s="1"/>
  <c r="E225" i="125" s="1" a="1"/>
  <c r="E225" i="125" s="1"/>
  <c r="H94" i="137"/>
  <c r="D177" i="125"/>
  <c r="H94" i="131"/>
  <c r="G89" i="122"/>
  <c r="D59" i="138"/>
  <c r="H59" i="138" s="1"/>
  <c r="E217" i="138" s="1" a="1"/>
  <c r="E217" i="138" s="1"/>
  <c r="D67" i="138"/>
  <c r="H67" i="138" s="1"/>
  <c r="E225" i="138" s="1" a="1"/>
  <c r="E225" i="138" s="1"/>
  <c r="G79" i="122" s="1"/>
  <c r="D56" i="138"/>
  <c r="H56" i="138" s="1"/>
  <c r="E214" i="138" s="1" a="1"/>
  <c r="E214" i="138" s="1"/>
  <c r="D64" i="138"/>
  <c r="H64" i="138" s="1"/>
  <c r="E222" i="138" s="1" a="1"/>
  <c r="E222" i="138" s="1"/>
  <c r="J172" i="138"/>
  <c r="D113" i="20"/>
  <c r="C113" i="20"/>
  <c r="D112" i="20"/>
  <c r="C112" i="20"/>
  <c r="D111" i="20"/>
  <c r="C111" i="20"/>
  <c r="D110" i="20"/>
  <c r="C110" i="20"/>
  <c r="D109" i="20"/>
  <c r="C109" i="20"/>
  <c r="D108" i="20"/>
  <c r="C108" i="20"/>
  <c r="D107" i="20"/>
  <c r="C107" i="20"/>
  <c r="D105" i="20"/>
  <c r="C105" i="20"/>
  <c r="D104" i="20"/>
  <c r="C104" i="20"/>
  <c r="D106" i="20"/>
  <c r="C106" i="20"/>
  <c r="L113" i="20"/>
  <c r="L112" i="20"/>
  <c r="L111" i="20"/>
  <c r="L110" i="20"/>
  <c r="L109" i="20"/>
  <c r="L108" i="20"/>
  <c r="L107" i="20"/>
  <c r="L106" i="20"/>
  <c r="K96" i="132" l="1"/>
  <c r="D39" i="128"/>
  <c r="H39" i="128" s="1"/>
  <c r="D229" i="128" s="1" a="1"/>
  <c r="D229" i="128" s="1"/>
  <c r="D31" i="128"/>
  <c r="H31" i="128" s="1"/>
  <c r="D221" i="128" s="1" a="1"/>
  <c r="D221" i="128" s="1"/>
  <c r="D28" i="128"/>
  <c r="H28" i="128" s="1"/>
  <c r="D218" i="128" s="1" a="1"/>
  <c r="D218" i="128" s="1"/>
  <c r="D23" i="128"/>
  <c r="H23" i="128" s="1"/>
  <c r="D213" i="128" s="1" a="1"/>
  <c r="D213" i="128" s="1"/>
  <c r="D36" i="128"/>
  <c r="H36" i="128" s="1"/>
  <c r="D226" i="128" s="1" a="1"/>
  <c r="D226" i="128" s="1"/>
  <c r="D21" i="128"/>
  <c r="H21" i="128" s="1"/>
  <c r="D211" i="128" s="1" a="1"/>
  <c r="D211" i="128" s="1"/>
  <c r="D29" i="128"/>
  <c r="H29" i="128" s="1"/>
  <c r="D219" i="128" s="1" a="1"/>
  <c r="D219" i="128" s="1"/>
  <c r="D37" i="128"/>
  <c r="H37" i="128" s="1"/>
  <c r="D227" i="128" s="1" a="1"/>
  <c r="D227" i="128" s="1"/>
  <c r="D26" i="128"/>
  <c r="H26" i="128" s="1"/>
  <c r="D216" i="128" s="1" a="1"/>
  <c r="D216" i="128" s="1"/>
  <c r="D34" i="128"/>
  <c r="H34" i="128" s="1"/>
  <c r="D224" i="128" s="1" a="1"/>
  <c r="D224" i="128" s="1"/>
  <c r="D25" i="128"/>
  <c r="H25" i="128" s="1"/>
  <c r="D215" i="128" s="1" a="1"/>
  <c r="D215" i="128" s="1"/>
  <c r="D33" i="128"/>
  <c r="H33" i="128" s="1"/>
  <c r="D223" i="128" s="1" a="1"/>
  <c r="D223" i="128" s="1"/>
  <c r="D22" i="128"/>
  <c r="H22" i="128" s="1"/>
  <c r="D212" i="128" s="1" a="1"/>
  <c r="D212" i="128" s="1"/>
  <c r="D30" i="128"/>
  <c r="H30" i="128" s="1"/>
  <c r="D220" i="128" s="1" a="1"/>
  <c r="D220" i="128" s="1"/>
  <c r="D38" i="128"/>
  <c r="H38" i="128" s="1"/>
  <c r="D228" i="128" s="1" a="1"/>
  <c r="D228" i="128" s="1"/>
  <c r="D27" i="128"/>
  <c r="H27" i="128" s="1"/>
  <c r="D217" i="128" s="1" a="1"/>
  <c r="D217" i="128" s="1"/>
  <c r="D35" i="128"/>
  <c r="H35" i="128" s="1"/>
  <c r="D225" i="128" s="1" a="1"/>
  <c r="D225" i="128" s="1"/>
  <c r="D24" i="128"/>
  <c r="H24" i="128" s="1"/>
  <c r="D214" i="128" s="1" a="1"/>
  <c r="D214" i="128" s="1"/>
  <c r="D32" i="128"/>
  <c r="H32" i="128" s="1"/>
  <c r="D222" i="128" s="1" a="1"/>
  <c r="D222" i="128" s="1"/>
  <c r="H135" i="139"/>
  <c r="J135" i="139" s="1"/>
  <c r="K135" i="139" s="1"/>
  <c r="H12" i="136"/>
  <c r="D55" i="140"/>
  <c r="H55" i="140" s="1"/>
  <c r="E213" i="140" s="1" a="1"/>
  <c r="E213" i="140" s="1"/>
  <c r="D57" i="134"/>
  <c r="H57" i="134" s="1"/>
  <c r="E215" i="134" s="1" a="1"/>
  <c r="E215" i="134" s="1"/>
  <c r="E45" i="122" s="1"/>
  <c r="D67" i="132"/>
  <c r="H67" i="132" s="1"/>
  <c r="E225" i="132" s="1" a="1"/>
  <c r="E225" i="132" s="1"/>
  <c r="H133" i="136"/>
  <c r="J133" i="136" s="1"/>
  <c r="K133" i="136" s="1"/>
  <c r="D54" i="126"/>
  <c r="H54" i="126" s="1"/>
  <c r="E212" i="126" s="1" a="1"/>
  <c r="E212" i="126" s="1"/>
  <c r="D59" i="123"/>
  <c r="H59" i="123" s="1"/>
  <c r="E220" i="123" s="1" a="1"/>
  <c r="E220" i="123" s="1"/>
  <c r="D68" i="123"/>
  <c r="H68" i="123" s="1"/>
  <c r="E229" i="123" s="1" a="1"/>
  <c r="E229" i="123" s="1"/>
  <c r="G6" i="122" s="1"/>
  <c r="D63" i="132"/>
  <c r="H63" i="132" s="1"/>
  <c r="E221" i="132" s="1" a="1"/>
  <c r="E221" i="132" s="1"/>
  <c r="D70" i="126"/>
  <c r="H70" i="126" s="1"/>
  <c r="E228" i="126" s="1" a="1"/>
  <c r="E228" i="126" s="1"/>
  <c r="D95" i="134"/>
  <c r="D67" i="123"/>
  <c r="H67" i="123" s="1"/>
  <c r="E228" i="123" s="1" a="1"/>
  <c r="E228" i="123" s="1"/>
  <c r="D65" i="126"/>
  <c r="H65" i="126" s="1"/>
  <c r="E223" i="126" s="1" a="1"/>
  <c r="E223" i="126" s="1"/>
  <c r="D54" i="123"/>
  <c r="H54" i="123" s="1"/>
  <c r="E215" i="123" s="1" a="1"/>
  <c r="E215" i="123" s="1"/>
  <c r="D6" i="122" s="1"/>
  <c r="K96" i="128"/>
  <c r="D55" i="123"/>
  <c r="H55" i="123" s="1"/>
  <c r="E216" i="123" s="1" a="1"/>
  <c r="E216" i="123" s="1"/>
  <c r="D60" i="123"/>
  <c r="H60" i="123" s="1"/>
  <c r="E221" i="123" s="1" a="1"/>
  <c r="E221" i="123" s="1"/>
  <c r="D57" i="132"/>
  <c r="H57" i="132" s="1"/>
  <c r="E215" i="132" s="1" a="1"/>
  <c r="E215" i="132" s="1"/>
  <c r="D58" i="132"/>
  <c r="H58" i="132" s="1"/>
  <c r="E216" i="132" s="1" a="1"/>
  <c r="E216" i="132" s="1"/>
  <c r="D62" i="126"/>
  <c r="H62" i="126" s="1"/>
  <c r="E220" i="126" s="1" a="1"/>
  <c r="E220" i="126" s="1"/>
  <c r="F28" i="122" s="1"/>
  <c r="D65" i="123"/>
  <c r="H65" i="123" s="1"/>
  <c r="E226" i="123" s="1" a="1"/>
  <c r="E226" i="123" s="1"/>
  <c r="D58" i="123"/>
  <c r="H58" i="123" s="1"/>
  <c r="E219" i="123" s="1" a="1"/>
  <c r="E219" i="123" s="1"/>
  <c r="E6" i="122" s="1"/>
  <c r="D70" i="123"/>
  <c r="H70" i="123" s="1"/>
  <c r="E231" i="123" s="1" a="1"/>
  <c r="E231" i="123" s="1"/>
  <c r="D55" i="132"/>
  <c r="H55" i="132" s="1"/>
  <c r="E213" i="132" s="1" a="1"/>
  <c r="E213" i="132" s="1"/>
  <c r="D65" i="132"/>
  <c r="H65" i="132" s="1"/>
  <c r="E223" i="132" s="1" a="1"/>
  <c r="E223" i="132" s="1"/>
  <c r="D54" i="132"/>
  <c r="H54" i="132" s="1"/>
  <c r="E212" i="132" s="1" a="1"/>
  <c r="E212" i="132" s="1"/>
  <c r="D58" i="128"/>
  <c r="H58" i="128" s="1"/>
  <c r="E216" i="128" s="1" a="1"/>
  <c r="E216" i="128" s="1"/>
  <c r="D53" i="128"/>
  <c r="H53" i="128" s="1"/>
  <c r="E211" i="128" s="1" a="1"/>
  <c r="E211" i="128" s="1"/>
  <c r="D67" i="128"/>
  <c r="H67" i="128" s="1"/>
  <c r="E225" i="128" s="1" a="1"/>
  <c r="E225" i="128" s="1"/>
  <c r="D63" i="136"/>
  <c r="H63" i="136" s="1"/>
  <c r="E221" i="136" s="1" a="1"/>
  <c r="E221" i="136" s="1"/>
  <c r="D57" i="126"/>
  <c r="H57" i="126" s="1"/>
  <c r="E215" i="126" s="1" a="1"/>
  <c r="E215" i="126" s="1"/>
  <c r="E28" i="122" s="1"/>
  <c r="D64" i="128"/>
  <c r="H64" i="128" s="1"/>
  <c r="E222" i="128" s="1" a="1"/>
  <c r="E222" i="128" s="1"/>
  <c r="D57" i="128"/>
  <c r="H57" i="128" s="1"/>
  <c r="E215" i="128" s="1" a="1"/>
  <c r="E215" i="128" s="1"/>
  <c r="D69" i="128"/>
  <c r="H69" i="128" s="1"/>
  <c r="E227" i="128" s="1" a="1"/>
  <c r="E227" i="128" s="1"/>
  <c r="D57" i="123"/>
  <c r="H57" i="123" s="1"/>
  <c r="E218" i="123" s="1" a="1"/>
  <c r="E218" i="123" s="1"/>
  <c r="D71" i="123"/>
  <c r="H71" i="123" s="1"/>
  <c r="E232" i="123" s="1" a="1"/>
  <c r="E232" i="123" s="1"/>
  <c r="D66" i="123"/>
  <c r="H66" i="123" s="1"/>
  <c r="E227" i="123" s="1" a="1"/>
  <c r="E227" i="123" s="1"/>
  <c r="D53" i="140"/>
  <c r="H53" i="140" s="1"/>
  <c r="E211" i="140" s="1" a="1"/>
  <c r="E211" i="140" s="1"/>
  <c r="D96" i="122" s="1"/>
  <c r="D59" i="132"/>
  <c r="H59" i="132" s="1"/>
  <c r="E217" i="132" s="1" a="1"/>
  <c r="E217" i="132" s="1"/>
  <c r="D71" i="132"/>
  <c r="H71" i="132" s="1"/>
  <c r="E229" i="132" s="1" a="1"/>
  <c r="E229" i="132" s="1"/>
  <c r="D64" i="132"/>
  <c r="H64" i="132" s="1"/>
  <c r="E222" i="132" s="1" a="1"/>
  <c r="E222" i="132" s="1"/>
  <c r="D54" i="128"/>
  <c r="H54" i="128" s="1"/>
  <c r="E212" i="128" s="1" a="1"/>
  <c r="E212" i="128" s="1"/>
  <c r="D66" i="128"/>
  <c r="H66" i="128" s="1"/>
  <c r="E224" i="128" s="1" a="1"/>
  <c r="E224" i="128" s="1"/>
  <c r="D59" i="128"/>
  <c r="H59" i="128" s="1"/>
  <c r="E217" i="128" s="1" a="1"/>
  <c r="E217" i="128" s="1"/>
  <c r="D62" i="136"/>
  <c r="H62" i="136" s="1"/>
  <c r="E220" i="136" s="1" a="1"/>
  <c r="E220" i="136" s="1"/>
  <c r="F62" i="122" s="1"/>
  <c r="D70" i="132"/>
  <c r="H70" i="132" s="1"/>
  <c r="E228" i="132" s="1" a="1"/>
  <c r="E228" i="132" s="1"/>
  <c r="D56" i="128"/>
  <c r="H56" i="128" s="1"/>
  <c r="E214" i="128" s="1" a="1"/>
  <c r="E214" i="128" s="1"/>
  <c r="D70" i="128"/>
  <c r="H70" i="128" s="1"/>
  <c r="E228" i="128" s="1" a="1"/>
  <c r="E228" i="128" s="1"/>
  <c r="D65" i="128"/>
  <c r="H65" i="128" s="1"/>
  <c r="E223" i="128" s="1" a="1"/>
  <c r="E223" i="128" s="1"/>
  <c r="D72" i="136"/>
  <c r="H72" i="136" s="1"/>
  <c r="E230" i="136" s="1" a="1"/>
  <c r="E230" i="136" s="1"/>
  <c r="H62" i="122" s="1"/>
  <c r="H133" i="128"/>
  <c r="J133" i="128" s="1"/>
  <c r="K133" i="128" s="1"/>
  <c r="D68" i="140"/>
  <c r="H68" i="140" s="1"/>
  <c r="E226" i="140" s="1" a="1"/>
  <c r="E226" i="140" s="1"/>
  <c r="D64" i="140"/>
  <c r="H64" i="140" s="1"/>
  <c r="E222" i="140" s="1" a="1"/>
  <c r="E222" i="140" s="1"/>
  <c r="D59" i="140"/>
  <c r="H59" i="140" s="1"/>
  <c r="E217" i="140" s="1" a="1"/>
  <c r="E217" i="140" s="1"/>
  <c r="D65" i="134"/>
  <c r="H65" i="134" s="1"/>
  <c r="E223" i="134" s="1" a="1"/>
  <c r="E223" i="134" s="1"/>
  <c r="D64" i="134"/>
  <c r="H64" i="134" s="1"/>
  <c r="E222" i="134" s="1" a="1"/>
  <c r="E222" i="134" s="1"/>
  <c r="D58" i="130"/>
  <c r="H58" i="130" s="1"/>
  <c r="E216" i="130" s="1" a="1"/>
  <c r="E216" i="130" s="1"/>
  <c r="D53" i="130"/>
  <c r="H53" i="130" s="1"/>
  <c r="E211" i="130" s="1" a="1"/>
  <c r="E211" i="130" s="1"/>
  <c r="D69" i="130"/>
  <c r="H69" i="130" s="1"/>
  <c r="E227" i="130" s="1" a="1"/>
  <c r="E227" i="130" s="1"/>
  <c r="D56" i="136"/>
  <c r="H56" i="136" s="1"/>
  <c r="E214" i="136" s="1" a="1"/>
  <c r="E214" i="136" s="1"/>
  <c r="D68" i="136"/>
  <c r="H68" i="136" s="1"/>
  <c r="E226" i="136" s="1" a="1"/>
  <c r="E226" i="136" s="1"/>
  <c r="D57" i="136"/>
  <c r="H57" i="136" s="1"/>
  <c r="E215" i="136" s="1" a="1"/>
  <c r="E215" i="136" s="1"/>
  <c r="E62" i="122" s="1"/>
  <c r="D67" i="136"/>
  <c r="H67" i="136" s="1"/>
  <c r="E225" i="136" s="1" a="1"/>
  <c r="E225" i="136" s="1"/>
  <c r="G62" i="122" s="1"/>
  <c r="H95" i="134"/>
  <c r="G96" i="134" s="1"/>
  <c r="D56" i="140"/>
  <c r="H56" i="140" s="1"/>
  <c r="E214" i="140" s="1" a="1"/>
  <c r="E214" i="140" s="1"/>
  <c r="D61" i="140"/>
  <c r="H61" i="140" s="1"/>
  <c r="E219" i="140" s="1" a="1"/>
  <c r="E219" i="140" s="1"/>
  <c r="D67" i="140"/>
  <c r="H67" i="140" s="1"/>
  <c r="E225" i="140" s="1" a="1"/>
  <c r="E225" i="140" s="1"/>
  <c r="G96" i="122" s="1"/>
  <c r="D53" i="134"/>
  <c r="H53" i="134" s="1"/>
  <c r="E211" i="134" s="1" a="1"/>
  <c r="E211" i="134" s="1"/>
  <c r="D45" i="122" s="1"/>
  <c r="D69" i="134"/>
  <c r="H69" i="134" s="1"/>
  <c r="E227" i="134" s="1" a="1"/>
  <c r="E227" i="134" s="1"/>
  <c r="D72" i="134"/>
  <c r="H72" i="134" s="1"/>
  <c r="E230" i="134" s="1" a="1"/>
  <c r="E230" i="134" s="1"/>
  <c r="H45" i="122" s="1"/>
  <c r="D62" i="130"/>
  <c r="H62" i="130" s="1"/>
  <c r="E220" i="130" s="1" a="1"/>
  <c r="E220" i="130" s="1"/>
  <c r="D57" i="130"/>
  <c r="H57" i="130" s="1"/>
  <c r="E215" i="130" s="1" a="1"/>
  <c r="E215" i="130" s="1"/>
  <c r="K96" i="138"/>
  <c r="J172" i="136"/>
  <c r="D62" i="132"/>
  <c r="H62" i="132" s="1"/>
  <c r="E220" i="132" s="1" a="1"/>
  <c r="E220" i="132" s="1"/>
  <c r="D72" i="132"/>
  <c r="H72" i="132" s="1"/>
  <c r="E230" i="132" s="1" a="1"/>
  <c r="E230" i="132" s="1"/>
  <c r="D60" i="136"/>
  <c r="H60" i="136" s="1"/>
  <c r="E218" i="136" s="1" a="1"/>
  <c r="E218" i="136" s="1"/>
  <c r="D70" i="136"/>
  <c r="H70" i="136" s="1"/>
  <c r="E228" i="136" s="1" a="1"/>
  <c r="E228" i="136" s="1"/>
  <c r="D59" i="136"/>
  <c r="H59" i="136" s="1"/>
  <c r="E217" i="136" s="1" a="1"/>
  <c r="E217" i="136" s="1"/>
  <c r="D71" i="136"/>
  <c r="H71" i="136" s="1"/>
  <c r="E229" i="136" s="1" a="1"/>
  <c r="E229" i="136" s="1"/>
  <c r="D66" i="126"/>
  <c r="H66" i="126" s="1"/>
  <c r="E224" i="126" s="1" a="1"/>
  <c r="E224" i="126" s="1"/>
  <c r="D61" i="126"/>
  <c r="H61" i="126" s="1"/>
  <c r="E219" i="126" s="1" a="1"/>
  <c r="E219" i="126" s="1"/>
  <c r="H133" i="126"/>
  <c r="J133" i="126" s="1"/>
  <c r="K133" i="126" s="1"/>
  <c r="K96" i="134"/>
  <c r="D66" i="130"/>
  <c r="H66" i="130" s="1"/>
  <c r="E224" i="130" s="1" a="1"/>
  <c r="E224" i="130" s="1"/>
  <c r="D61" i="130"/>
  <c r="H61" i="130" s="1"/>
  <c r="E219" i="130" s="1" a="1"/>
  <c r="E219" i="130" s="1"/>
  <c r="G96" i="128"/>
  <c r="D117" i="128" s="1"/>
  <c r="H117" i="128" s="1"/>
  <c r="F227" i="128" s="1" a="1"/>
  <c r="F227" i="128" s="1"/>
  <c r="D63" i="123"/>
  <c r="H63" i="123" s="1"/>
  <c r="E224" i="123" s="1" a="1"/>
  <c r="E224" i="123" s="1"/>
  <c r="F6" i="122" s="1"/>
  <c r="D73" i="123"/>
  <c r="H73" i="123" s="1"/>
  <c r="E234" i="123" s="1" a="1"/>
  <c r="E234" i="123" s="1"/>
  <c r="H6" i="122" s="1"/>
  <c r="D62" i="123"/>
  <c r="H62" i="123" s="1"/>
  <c r="E223" i="123" s="1" a="1"/>
  <c r="E223" i="123" s="1"/>
  <c r="D72" i="140"/>
  <c r="H72" i="140" s="1"/>
  <c r="E230" i="140" s="1" a="1"/>
  <c r="E230" i="140" s="1"/>
  <c r="H96" i="122" s="1"/>
  <c r="D69" i="140"/>
  <c r="H69" i="140" s="1"/>
  <c r="E227" i="140" s="1" a="1"/>
  <c r="E227" i="140" s="1"/>
  <c r="H135" i="131"/>
  <c r="J135" i="131" s="1"/>
  <c r="K135" i="131" s="1"/>
  <c r="D61" i="134"/>
  <c r="H61" i="134" s="1"/>
  <c r="E219" i="134" s="1" a="1"/>
  <c r="E219" i="134" s="1"/>
  <c r="D56" i="134"/>
  <c r="H56" i="134" s="1"/>
  <c r="E214" i="134" s="1" a="1"/>
  <c r="E214" i="134" s="1"/>
  <c r="D54" i="130"/>
  <c r="H54" i="130" s="1"/>
  <c r="E212" i="130" s="1" a="1"/>
  <c r="E212" i="130" s="1"/>
  <c r="D70" i="130"/>
  <c r="H70" i="130" s="1"/>
  <c r="E228" i="130" s="1" a="1"/>
  <c r="E228" i="130" s="1"/>
  <c r="D65" i="130"/>
  <c r="H65" i="130" s="1"/>
  <c r="E223" i="130" s="1" a="1"/>
  <c r="E223" i="130" s="1"/>
  <c r="D53" i="132"/>
  <c r="H53" i="132" s="1"/>
  <c r="E211" i="132" s="1" a="1"/>
  <c r="E211" i="132" s="1"/>
  <c r="D61" i="132"/>
  <c r="H61" i="132" s="1"/>
  <c r="E219" i="132" s="1" a="1"/>
  <c r="E219" i="132" s="1"/>
  <c r="D69" i="132"/>
  <c r="H69" i="132" s="1"/>
  <c r="E227" i="132" s="1" a="1"/>
  <c r="E227" i="132" s="1"/>
  <c r="D56" i="132"/>
  <c r="H56" i="132" s="1"/>
  <c r="E214" i="132" s="1" a="1"/>
  <c r="E214" i="132" s="1"/>
  <c r="D66" i="132"/>
  <c r="H66" i="132" s="1"/>
  <c r="E224" i="132" s="1" a="1"/>
  <c r="E224" i="132" s="1"/>
  <c r="D62" i="128"/>
  <c r="H62" i="128" s="1"/>
  <c r="E220" i="128" s="1" a="1"/>
  <c r="E220" i="128" s="1"/>
  <c r="D72" i="128"/>
  <c r="H72" i="128" s="1"/>
  <c r="E230" i="128" s="1" a="1"/>
  <c r="E230" i="128" s="1"/>
  <c r="D61" i="128"/>
  <c r="H61" i="128" s="1"/>
  <c r="E219" i="128" s="1" a="1"/>
  <c r="E219" i="128" s="1"/>
  <c r="D54" i="136"/>
  <c r="H54" i="136" s="1"/>
  <c r="E212" i="136" s="1" a="1"/>
  <c r="E212" i="136" s="1"/>
  <c r="D64" i="136"/>
  <c r="H64" i="136" s="1"/>
  <c r="E222" i="136" s="1" a="1"/>
  <c r="E222" i="136" s="1"/>
  <c r="D55" i="136"/>
  <c r="H55" i="136" s="1"/>
  <c r="E213" i="136" s="1" a="1"/>
  <c r="E213" i="136" s="1"/>
  <c r="D65" i="136"/>
  <c r="H65" i="136" s="1"/>
  <c r="E223" i="136" s="1" a="1"/>
  <c r="E223" i="136" s="1"/>
  <c r="J173" i="128"/>
  <c r="J172" i="140"/>
  <c r="K172" i="140" s="1"/>
  <c r="D58" i="126"/>
  <c r="H58" i="126" s="1"/>
  <c r="E216" i="126" s="1" a="1"/>
  <c r="E216" i="126" s="1"/>
  <c r="D53" i="126"/>
  <c r="H53" i="126" s="1"/>
  <c r="E211" i="126" s="1" a="1"/>
  <c r="E211" i="126" s="1"/>
  <c r="D28" i="122" s="1"/>
  <c r="D69" i="126"/>
  <c r="H69" i="126" s="1"/>
  <c r="E227" i="126" s="1" a="1"/>
  <c r="E227" i="126" s="1"/>
  <c r="F172" i="140"/>
  <c r="G178" i="138"/>
  <c r="G137" i="133"/>
  <c r="F173" i="124"/>
  <c r="F138" i="125"/>
  <c r="G137" i="125"/>
  <c r="F174" i="134"/>
  <c r="K172" i="130"/>
  <c r="F172" i="130"/>
  <c r="K172" i="132"/>
  <c r="F172" i="132"/>
  <c r="K173" i="126"/>
  <c r="F173" i="126"/>
  <c r="J175" i="123"/>
  <c r="D136" i="137"/>
  <c r="B179" i="137"/>
  <c r="J174" i="138"/>
  <c r="K174" i="138" s="1"/>
  <c r="G175" i="127"/>
  <c r="I175" i="127" s="1"/>
  <c r="H175" i="127"/>
  <c r="H177" i="129"/>
  <c r="G177" i="129"/>
  <c r="I177" i="129" s="1"/>
  <c r="F135" i="126"/>
  <c r="G134" i="126"/>
  <c r="E175" i="128"/>
  <c r="D175" i="128"/>
  <c r="D5" i="122"/>
  <c r="E95" i="122"/>
  <c r="G95" i="122"/>
  <c r="D65" i="140"/>
  <c r="H65" i="140" s="1"/>
  <c r="E223" i="140" s="1" a="1"/>
  <c r="E223" i="140" s="1"/>
  <c r="D60" i="140"/>
  <c r="H60" i="140" s="1"/>
  <c r="E218" i="140" s="1" a="1"/>
  <c r="E218" i="140" s="1"/>
  <c r="D71" i="140"/>
  <c r="H71" i="140" s="1"/>
  <c r="E229" i="140" s="1" a="1"/>
  <c r="E229" i="140" s="1"/>
  <c r="D54" i="140"/>
  <c r="H54" i="140" s="1"/>
  <c r="E212" i="140" s="1" a="1"/>
  <c r="E212" i="140" s="1"/>
  <c r="D70" i="140"/>
  <c r="H70" i="140" s="1"/>
  <c r="E228" i="140" s="1" a="1"/>
  <c r="E228" i="140" s="1"/>
  <c r="J173" i="134"/>
  <c r="D78" i="122"/>
  <c r="D55" i="134"/>
  <c r="H55" i="134" s="1"/>
  <c r="E213" i="134" s="1" a="1"/>
  <c r="E213" i="134" s="1"/>
  <c r="D63" i="134"/>
  <c r="H63" i="134" s="1"/>
  <c r="E221" i="134" s="1" a="1"/>
  <c r="E221" i="134" s="1"/>
  <c r="D71" i="134"/>
  <c r="H71" i="134" s="1"/>
  <c r="E229" i="134" s="1" a="1"/>
  <c r="E229" i="134" s="1"/>
  <c r="D58" i="134"/>
  <c r="H58" i="134" s="1"/>
  <c r="E216" i="134" s="1" a="1"/>
  <c r="E216" i="134" s="1"/>
  <c r="D66" i="134"/>
  <c r="H66" i="134" s="1"/>
  <c r="E224" i="134" s="1" a="1"/>
  <c r="E224" i="134" s="1"/>
  <c r="H97" i="137"/>
  <c r="F135" i="130"/>
  <c r="G134" i="130"/>
  <c r="H96" i="133"/>
  <c r="D97" i="129"/>
  <c r="H135" i="127"/>
  <c r="J135" i="127" s="1"/>
  <c r="K135" i="127" s="1"/>
  <c r="H95" i="127"/>
  <c r="D60" i="130"/>
  <c r="H60" i="130" s="1"/>
  <c r="E218" i="130" s="1" a="1"/>
  <c r="E218" i="130" s="1"/>
  <c r="D68" i="130"/>
  <c r="H68" i="130" s="1"/>
  <c r="E226" i="130" s="1" a="1"/>
  <c r="E226" i="130" s="1"/>
  <c r="D55" i="130"/>
  <c r="H55" i="130" s="1"/>
  <c r="E213" i="130" s="1" a="1"/>
  <c r="E213" i="130" s="1"/>
  <c r="D63" i="130"/>
  <c r="H63" i="130" s="1"/>
  <c r="E221" i="130" s="1" a="1"/>
  <c r="E221" i="130" s="1"/>
  <c r="D71" i="130"/>
  <c r="H71" i="130" s="1"/>
  <c r="E229" i="130" s="1" a="1"/>
  <c r="E229" i="130" s="1"/>
  <c r="B179" i="139"/>
  <c r="D136" i="139"/>
  <c r="E136" i="139"/>
  <c r="F136" i="139" s="1"/>
  <c r="G136" i="139" s="1"/>
  <c r="D178" i="135"/>
  <c r="E172" i="128"/>
  <c r="J173" i="140"/>
  <c r="E176" i="124"/>
  <c r="D176" i="124"/>
  <c r="D178" i="131"/>
  <c r="H94" i="123"/>
  <c r="G96" i="132"/>
  <c r="B180" i="123"/>
  <c r="D137" i="123"/>
  <c r="E173" i="130"/>
  <c r="E177" i="130" s="1"/>
  <c r="D72" i="122"/>
  <c r="G72" i="122"/>
  <c r="F93" i="131"/>
  <c r="H93" i="131"/>
  <c r="F93" i="133"/>
  <c r="H93" i="133"/>
  <c r="D136" i="133"/>
  <c r="B179" i="133"/>
  <c r="J173" i="132"/>
  <c r="E172" i="124"/>
  <c r="F91" i="129"/>
  <c r="H91" i="129"/>
  <c r="B179" i="129"/>
  <c r="D136" i="129"/>
  <c r="H136" i="129" s="1"/>
  <c r="J136" i="129" s="1"/>
  <c r="K136" i="129" s="1"/>
  <c r="H177" i="139"/>
  <c r="G177" i="139"/>
  <c r="I177" i="139" s="1"/>
  <c r="H177" i="135"/>
  <c r="G177" i="135"/>
  <c r="I177" i="135" s="1"/>
  <c r="H177" i="133"/>
  <c r="G177" i="133"/>
  <c r="I177" i="133" s="1"/>
  <c r="F135" i="134"/>
  <c r="G134" i="134"/>
  <c r="H174" i="140"/>
  <c r="G174" i="140"/>
  <c r="I174" i="140" s="1"/>
  <c r="F92" i="135"/>
  <c r="H92" i="135"/>
  <c r="H97" i="135" s="1"/>
  <c r="H95" i="126"/>
  <c r="G96" i="126" s="1"/>
  <c r="E78" i="122"/>
  <c r="F44" i="122"/>
  <c r="E44" i="122"/>
  <c r="H135" i="135"/>
  <c r="J135" i="135" s="1"/>
  <c r="K135" i="135" s="1"/>
  <c r="B179" i="135"/>
  <c r="D136" i="135"/>
  <c r="E136" i="135"/>
  <c r="F136" i="135" s="1"/>
  <c r="G136" i="135" s="1"/>
  <c r="D27" i="136"/>
  <c r="H27" i="136" s="1"/>
  <c r="D217" i="136" s="1" a="1"/>
  <c r="D217" i="136" s="1"/>
  <c r="D35" i="136"/>
  <c r="H35" i="136" s="1"/>
  <c r="D225" i="136" s="1" a="1"/>
  <c r="D225" i="136" s="1"/>
  <c r="D24" i="136"/>
  <c r="H24" i="136" s="1"/>
  <c r="D214" i="136" s="1" a="1"/>
  <c r="D214" i="136" s="1"/>
  <c r="D32" i="136"/>
  <c r="H32" i="136" s="1"/>
  <c r="D222" i="136" s="1" a="1"/>
  <c r="D222" i="136" s="1"/>
  <c r="D40" i="136"/>
  <c r="H40" i="136" s="1"/>
  <c r="D230" i="136" s="1" a="1"/>
  <c r="D230" i="136" s="1"/>
  <c r="H135" i="125"/>
  <c r="J135" i="125" s="1"/>
  <c r="K135" i="125" s="1"/>
  <c r="H95" i="125"/>
  <c r="J172" i="126"/>
  <c r="B180" i="131"/>
  <c r="D137" i="131"/>
  <c r="H174" i="136"/>
  <c r="G174" i="136"/>
  <c r="I174" i="136" s="1"/>
  <c r="D60" i="126"/>
  <c r="H60" i="126" s="1"/>
  <c r="E218" i="126" s="1" a="1"/>
  <c r="E218" i="126" s="1"/>
  <c r="D68" i="126"/>
  <c r="H68" i="126" s="1"/>
  <c r="E226" i="126" s="1" a="1"/>
  <c r="E226" i="126" s="1"/>
  <c r="D55" i="126"/>
  <c r="H55" i="126" s="1"/>
  <c r="E213" i="126" s="1" a="1"/>
  <c r="E213" i="126" s="1"/>
  <c r="D63" i="126"/>
  <c r="H63" i="126" s="1"/>
  <c r="E221" i="126" s="1" a="1"/>
  <c r="E221" i="126" s="1"/>
  <c r="D71" i="126"/>
  <c r="H71" i="126" s="1"/>
  <c r="E229" i="126" s="1" a="1"/>
  <c r="E229" i="126" s="1"/>
  <c r="D175" i="132"/>
  <c r="E175" i="132"/>
  <c r="F135" i="140"/>
  <c r="G134" i="140"/>
  <c r="G137" i="123"/>
  <c r="E176" i="126"/>
  <c r="D176" i="126"/>
  <c r="E173" i="132"/>
  <c r="H95" i="131"/>
  <c r="D97" i="131"/>
  <c r="D137" i="139"/>
  <c r="B180" i="139"/>
  <c r="D178" i="133"/>
  <c r="H176" i="138"/>
  <c r="G176" i="138"/>
  <c r="I176" i="138" s="1"/>
  <c r="H95" i="122"/>
  <c r="F135" i="124"/>
  <c r="G134" i="124"/>
  <c r="F135" i="128"/>
  <c r="G134" i="128"/>
  <c r="F175" i="138"/>
  <c r="H12" i="134"/>
  <c r="D60" i="134"/>
  <c r="H60" i="134" s="1"/>
  <c r="E218" i="134" s="1" a="1"/>
  <c r="E218" i="134" s="1"/>
  <c r="D68" i="134"/>
  <c r="H68" i="134" s="1"/>
  <c r="E226" i="134" s="1" a="1"/>
  <c r="E226" i="134" s="1"/>
  <c r="D97" i="137"/>
  <c r="E176" i="130"/>
  <c r="D176" i="130"/>
  <c r="B179" i="127"/>
  <c r="D136" i="127"/>
  <c r="B180" i="129"/>
  <c r="D137" i="129"/>
  <c r="E137" i="129"/>
  <c r="F137" i="129" s="1"/>
  <c r="F91" i="139"/>
  <c r="H91" i="139"/>
  <c r="E174" i="126"/>
  <c r="E27" i="122"/>
  <c r="F27" i="122"/>
  <c r="H174" i="128"/>
  <c r="G174" i="128"/>
  <c r="I174" i="128" s="1"/>
  <c r="D178" i="137"/>
  <c r="F92" i="139"/>
  <c r="H92" i="139"/>
  <c r="J12" i="128"/>
  <c r="H96" i="123"/>
  <c r="G78" i="122"/>
  <c r="B180" i="135"/>
  <c r="D137" i="135"/>
  <c r="F72" i="122"/>
  <c r="F92" i="133"/>
  <c r="H92" i="133"/>
  <c r="F92" i="129"/>
  <c r="H92" i="129"/>
  <c r="E177" i="135"/>
  <c r="J175" i="135"/>
  <c r="E176" i="134"/>
  <c r="D176" i="134"/>
  <c r="H73" i="124"/>
  <c r="D67" i="124" s="1"/>
  <c r="H67" i="124" s="1"/>
  <c r="E225" i="124" s="1" a="1"/>
  <c r="E225" i="124" s="1"/>
  <c r="G12" i="122" s="1"/>
  <c r="E175" i="136"/>
  <c r="D175" i="136"/>
  <c r="E137" i="139"/>
  <c r="F137" i="139" s="1"/>
  <c r="E173" i="134"/>
  <c r="D136" i="123"/>
  <c r="B179" i="123"/>
  <c r="H44" i="122"/>
  <c r="G44" i="122"/>
  <c r="D21" i="136"/>
  <c r="H21" i="136" s="1"/>
  <c r="D211" i="136" s="1" a="1"/>
  <c r="D211" i="136" s="1"/>
  <c r="D29" i="136"/>
  <c r="H29" i="136" s="1"/>
  <c r="D219" i="136" s="1" a="1"/>
  <c r="D219" i="136" s="1"/>
  <c r="D37" i="136"/>
  <c r="H37" i="136" s="1"/>
  <c r="D227" i="136" s="1" a="1"/>
  <c r="D227" i="136" s="1"/>
  <c r="D26" i="136"/>
  <c r="H26" i="136" s="1"/>
  <c r="D216" i="136" s="1" a="1"/>
  <c r="D216" i="136" s="1"/>
  <c r="D34" i="136"/>
  <c r="H34" i="136" s="1"/>
  <c r="D224" i="136" s="1" a="1"/>
  <c r="D224" i="136" s="1"/>
  <c r="H95" i="136"/>
  <c r="D136" i="125"/>
  <c r="H136" i="125" s="1"/>
  <c r="J136" i="125" s="1"/>
  <c r="K136" i="125" s="1"/>
  <c r="B179" i="125"/>
  <c r="E172" i="136"/>
  <c r="E175" i="126"/>
  <c r="D175" i="126"/>
  <c r="D97" i="133"/>
  <c r="H133" i="130"/>
  <c r="J133" i="130" s="1"/>
  <c r="K133" i="130" s="1"/>
  <c r="E178" i="123"/>
  <c r="D178" i="123"/>
  <c r="G137" i="131"/>
  <c r="E175" i="130"/>
  <c r="D175" i="130"/>
  <c r="E136" i="137"/>
  <c r="F136" i="137" s="1"/>
  <c r="G136" i="137" s="1"/>
  <c r="H136" i="137" s="1"/>
  <c r="J136" i="137" s="1"/>
  <c r="K136" i="137" s="1"/>
  <c r="F92" i="131"/>
  <c r="H92" i="131"/>
  <c r="D34" i="127"/>
  <c r="H34" i="127" s="1"/>
  <c r="D227" i="127" s="1" a="1"/>
  <c r="D227" i="127" s="1"/>
  <c r="D26" i="127"/>
  <c r="H26" i="127" s="1"/>
  <c r="D219" i="127" s="1" a="1"/>
  <c r="D219" i="127" s="1"/>
  <c r="D39" i="127"/>
  <c r="H39" i="127" s="1"/>
  <c r="D232" i="127" s="1" a="1"/>
  <c r="D232" i="127" s="1"/>
  <c r="D31" i="127"/>
  <c r="H31" i="127" s="1"/>
  <c r="D224" i="127" s="1" a="1"/>
  <c r="D224" i="127" s="1"/>
  <c r="D23" i="127"/>
  <c r="H23" i="127" s="1"/>
  <c r="D216" i="127" s="1" a="1"/>
  <c r="D216" i="127" s="1"/>
  <c r="D40" i="127"/>
  <c r="H40" i="127" s="1"/>
  <c r="D233" i="127" s="1" a="1"/>
  <c r="D233" i="127" s="1"/>
  <c r="D32" i="127"/>
  <c r="H32" i="127" s="1"/>
  <c r="D225" i="127" s="1" a="1"/>
  <c r="D225" i="127" s="1"/>
  <c r="D24" i="127"/>
  <c r="H24" i="127" s="1"/>
  <c r="D217" i="127" s="1" a="1"/>
  <c r="D217" i="127" s="1"/>
  <c r="D37" i="127"/>
  <c r="H37" i="127" s="1"/>
  <c r="D230" i="127" s="1" a="1"/>
  <c r="D230" i="127" s="1"/>
  <c r="D29" i="127"/>
  <c r="H29" i="127" s="1"/>
  <c r="D222" i="127" s="1" a="1"/>
  <c r="D222" i="127" s="1"/>
  <c r="D38" i="127"/>
  <c r="H38" i="127" s="1"/>
  <c r="D231" i="127" s="1" a="1"/>
  <c r="D231" i="127" s="1"/>
  <c r="D30" i="127"/>
  <c r="H30" i="127" s="1"/>
  <c r="D223" i="127" s="1" a="1"/>
  <c r="D223" i="127" s="1"/>
  <c r="D22" i="127"/>
  <c r="H22" i="127" s="1"/>
  <c r="D215" i="127" s="1" a="1"/>
  <c r="D215" i="127" s="1"/>
  <c r="D35" i="127"/>
  <c r="H35" i="127" s="1"/>
  <c r="D228" i="127" s="1" a="1"/>
  <c r="D228" i="127" s="1"/>
  <c r="D27" i="127"/>
  <c r="H27" i="127" s="1"/>
  <c r="D220" i="127" s="1" a="1"/>
  <c r="D220" i="127" s="1"/>
  <c r="D36" i="127"/>
  <c r="H36" i="127" s="1"/>
  <c r="D229" i="127" s="1" a="1"/>
  <c r="D229" i="127" s="1"/>
  <c r="D28" i="127"/>
  <c r="H28" i="127" s="1"/>
  <c r="D221" i="127" s="1" a="1"/>
  <c r="D221" i="127" s="1"/>
  <c r="D41" i="127"/>
  <c r="H41" i="127" s="1"/>
  <c r="D234" i="127" s="1" a="1"/>
  <c r="D234" i="127" s="1"/>
  <c r="D33" i="127"/>
  <c r="H33" i="127" s="1"/>
  <c r="D226" i="127" s="1" a="1"/>
  <c r="D226" i="127" s="1"/>
  <c r="D25" i="127"/>
  <c r="H25" i="127" s="1"/>
  <c r="D218" i="127" s="1" a="1"/>
  <c r="D218" i="127" s="1"/>
  <c r="H174" i="132"/>
  <c r="G174" i="132"/>
  <c r="I174" i="132" s="1"/>
  <c r="B179" i="131"/>
  <c r="D136" i="131"/>
  <c r="J12" i="124"/>
  <c r="H12" i="124"/>
  <c r="D178" i="129"/>
  <c r="E178" i="129"/>
  <c r="H177" i="123"/>
  <c r="G177" i="123"/>
  <c r="I177" i="123" s="1"/>
  <c r="E5" i="122"/>
  <c r="F5" i="122"/>
  <c r="H177" i="131"/>
  <c r="G177" i="131"/>
  <c r="I177" i="131" s="1"/>
  <c r="G135" i="132"/>
  <c r="H134" i="132"/>
  <c r="J134" i="132" s="1"/>
  <c r="F176" i="138"/>
  <c r="D95" i="122"/>
  <c r="H94" i="139"/>
  <c r="D61" i="123"/>
  <c r="H61" i="123" s="1"/>
  <c r="E222" i="123" s="1" a="1"/>
  <c r="E222" i="123" s="1"/>
  <c r="D69" i="123"/>
  <c r="H69" i="123" s="1"/>
  <c r="E230" i="123" s="1" a="1"/>
  <c r="E230" i="123" s="1"/>
  <c r="D56" i="123"/>
  <c r="H56" i="123" s="1"/>
  <c r="E217" i="123" s="1" a="1"/>
  <c r="E217" i="123" s="1"/>
  <c r="D64" i="123"/>
  <c r="H64" i="123" s="1"/>
  <c r="E225" i="123" s="1" a="1"/>
  <c r="E225" i="123" s="1"/>
  <c r="E176" i="128"/>
  <c r="D176" i="128"/>
  <c r="D58" i="140"/>
  <c r="H58" i="140" s="1"/>
  <c r="E216" i="140" s="1" a="1"/>
  <c r="E216" i="140" s="1"/>
  <c r="D63" i="140"/>
  <c r="H63" i="140" s="1"/>
  <c r="E221" i="140" s="1" a="1"/>
  <c r="E221" i="140" s="1"/>
  <c r="D57" i="140"/>
  <c r="H57" i="140" s="1"/>
  <c r="E215" i="140" s="1" a="1"/>
  <c r="E215" i="140" s="1"/>
  <c r="E96" i="122" s="1"/>
  <c r="D66" i="140"/>
  <c r="H66" i="140" s="1"/>
  <c r="E224" i="140" s="1" a="1"/>
  <c r="E224" i="140" s="1"/>
  <c r="H175" i="138"/>
  <c r="G175" i="138"/>
  <c r="I175" i="138" s="1"/>
  <c r="H95" i="124"/>
  <c r="E175" i="140"/>
  <c r="D175" i="140"/>
  <c r="E173" i="140"/>
  <c r="D59" i="134"/>
  <c r="H59" i="134" s="1"/>
  <c r="E217" i="134" s="1" a="1"/>
  <c r="E217" i="134" s="1"/>
  <c r="D67" i="134"/>
  <c r="H67" i="134" s="1"/>
  <c r="E225" i="134" s="1" a="1"/>
  <c r="E225" i="134" s="1"/>
  <c r="G45" i="122" s="1"/>
  <c r="D54" i="134"/>
  <c r="H54" i="134" s="1"/>
  <c r="E212" i="134" s="1" a="1"/>
  <c r="E212" i="134" s="1"/>
  <c r="D62" i="134"/>
  <c r="H62" i="134" s="1"/>
  <c r="E220" i="134" s="1" a="1"/>
  <c r="E220" i="134" s="1"/>
  <c r="F45" i="122" s="1"/>
  <c r="H133" i="127"/>
  <c r="J133" i="127" s="1"/>
  <c r="K133" i="127" s="1"/>
  <c r="F92" i="127"/>
  <c r="F97" i="127" s="1"/>
  <c r="H92" i="127"/>
  <c r="F93" i="127"/>
  <c r="H93" i="127"/>
  <c r="D56" i="130"/>
  <c r="H56" i="130" s="1"/>
  <c r="E214" i="130" s="1" a="1"/>
  <c r="E214" i="130" s="1"/>
  <c r="D64" i="130"/>
  <c r="H64" i="130" s="1"/>
  <c r="E222" i="130" s="1" a="1"/>
  <c r="E222" i="130" s="1"/>
  <c r="D72" i="130"/>
  <c r="H72" i="130" s="1"/>
  <c r="E230" i="130" s="1" a="1"/>
  <c r="E230" i="130" s="1"/>
  <c r="D59" i="130"/>
  <c r="H59" i="130" s="1"/>
  <c r="E217" i="130" s="1" a="1"/>
  <c r="E217" i="130" s="1"/>
  <c r="G96" i="138"/>
  <c r="H95" i="140"/>
  <c r="G96" i="140" s="1"/>
  <c r="H174" i="126"/>
  <c r="G174" i="126"/>
  <c r="I174" i="126" s="1"/>
  <c r="G27" i="122"/>
  <c r="H27" i="122"/>
  <c r="E174" i="128"/>
  <c r="E175" i="124"/>
  <c r="D175" i="124"/>
  <c r="D177" i="124" s="1"/>
  <c r="D97" i="123"/>
  <c r="E137" i="135"/>
  <c r="F137" i="135" s="1"/>
  <c r="H94" i="127"/>
  <c r="D60" i="132"/>
  <c r="H60" i="132" s="1"/>
  <c r="E218" i="132" s="1" a="1"/>
  <c r="E218" i="132" s="1"/>
  <c r="D60" i="128"/>
  <c r="H60" i="128" s="1"/>
  <c r="E218" i="128" s="1" a="1"/>
  <c r="E218" i="128" s="1"/>
  <c r="D68" i="128"/>
  <c r="H68" i="128" s="1"/>
  <c r="E226" i="128" s="1" a="1"/>
  <c r="E226" i="128" s="1"/>
  <c r="D55" i="128"/>
  <c r="H55" i="128" s="1"/>
  <c r="E213" i="128" s="1" a="1"/>
  <c r="E213" i="128" s="1"/>
  <c r="D63" i="128"/>
  <c r="H63" i="128" s="1"/>
  <c r="E221" i="128" s="1" a="1"/>
  <c r="E221" i="128" s="1"/>
  <c r="H174" i="130"/>
  <c r="G174" i="130"/>
  <c r="I174" i="130" s="1"/>
  <c r="D177" i="130"/>
  <c r="F93" i="123"/>
  <c r="F97" i="123" s="1"/>
  <c r="H93" i="123"/>
  <c r="E72" i="122"/>
  <c r="H135" i="133"/>
  <c r="J135" i="133" s="1"/>
  <c r="K135" i="133" s="1"/>
  <c r="E136" i="133"/>
  <c r="F136" i="133" s="1"/>
  <c r="G136" i="133" s="1"/>
  <c r="D58" i="136"/>
  <c r="H58" i="136" s="1"/>
  <c r="E216" i="136" s="1" a="1"/>
  <c r="E216" i="136" s="1"/>
  <c r="D66" i="136"/>
  <c r="H66" i="136" s="1"/>
  <c r="E224" i="136" s="1" a="1"/>
  <c r="E224" i="136" s="1"/>
  <c r="D53" i="136"/>
  <c r="H53" i="136" s="1"/>
  <c r="E211" i="136" s="1" a="1"/>
  <c r="E211" i="136" s="1"/>
  <c r="D62" i="122" s="1"/>
  <c r="D61" i="136"/>
  <c r="H61" i="136" s="1"/>
  <c r="E219" i="136" s="1" a="1"/>
  <c r="E219" i="136" s="1"/>
  <c r="H96" i="127"/>
  <c r="E174" i="124"/>
  <c r="E175" i="135"/>
  <c r="J135" i="138"/>
  <c r="K134" i="138"/>
  <c r="K135" i="138" s="1"/>
  <c r="K172" i="138"/>
  <c r="H95" i="130"/>
  <c r="G96" i="130" s="1"/>
  <c r="E172" i="134"/>
  <c r="E136" i="123"/>
  <c r="F136" i="123" s="1"/>
  <c r="G136" i="123" s="1"/>
  <c r="H136" i="123" s="1"/>
  <c r="J136" i="123" s="1"/>
  <c r="K136" i="123" s="1"/>
  <c r="F78" i="122"/>
  <c r="D44" i="122"/>
  <c r="J172" i="134"/>
  <c r="J173" i="138"/>
  <c r="F135" i="136"/>
  <c r="G134" i="136"/>
  <c r="D23" i="136"/>
  <c r="H23" i="136" s="1"/>
  <c r="D213" i="136" s="1" a="1"/>
  <c r="D213" i="136" s="1"/>
  <c r="D31" i="136"/>
  <c r="H31" i="136" s="1"/>
  <c r="D221" i="136" s="1" a="1"/>
  <c r="D221" i="136" s="1"/>
  <c r="D39" i="136"/>
  <c r="H39" i="136" s="1"/>
  <c r="D229" i="136" s="1" a="1"/>
  <c r="D229" i="136" s="1"/>
  <c r="D28" i="136"/>
  <c r="H28" i="136" s="1"/>
  <c r="D218" i="136" s="1" a="1"/>
  <c r="D218" i="136" s="1"/>
  <c r="D36" i="136"/>
  <c r="H36" i="136" s="1"/>
  <c r="D226" i="136" s="1" a="1"/>
  <c r="D226" i="136" s="1"/>
  <c r="D95" i="136"/>
  <c r="F91" i="125"/>
  <c r="H91" i="125"/>
  <c r="H96" i="131"/>
  <c r="E173" i="136"/>
  <c r="D56" i="126"/>
  <c r="H56" i="126" s="1"/>
  <c r="E214" i="126" s="1" a="1"/>
  <c r="E214" i="126" s="1"/>
  <c r="D64" i="126"/>
  <c r="H64" i="126" s="1"/>
  <c r="E222" i="126" s="1" a="1"/>
  <c r="E222" i="126" s="1"/>
  <c r="D72" i="126"/>
  <c r="H72" i="126" s="1"/>
  <c r="E230" i="126" s="1" a="1"/>
  <c r="E230" i="126" s="1"/>
  <c r="H28" i="122" s="1"/>
  <c r="D59" i="126"/>
  <c r="H59" i="126" s="1"/>
  <c r="E217" i="126" s="1" a="1"/>
  <c r="E217" i="126" s="1"/>
  <c r="F97" i="131"/>
  <c r="H177" i="125"/>
  <c r="G177" i="125"/>
  <c r="I177" i="125" s="1"/>
  <c r="D178" i="127"/>
  <c r="D115" i="128"/>
  <c r="H115" i="128" s="1"/>
  <c r="F225" i="128" s="1" a="1"/>
  <c r="F225" i="128" s="1"/>
  <c r="D107" i="128"/>
  <c r="H107" i="128" s="1"/>
  <c r="F217" i="128" s="1" a="1"/>
  <c r="F217" i="128" s="1"/>
  <c r="D120" i="128"/>
  <c r="H120" i="128" s="1"/>
  <c r="F230" i="128" s="1" a="1"/>
  <c r="F230" i="128" s="1"/>
  <c r="D112" i="128"/>
  <c r="H112" i="128" s="1"/>
  <c r="F222" i="128" s="1" a="1"/>
  <c r="F222" i="128" s="1"/>
  <c r="D104" i="128"/>
  <c r="H104" i="128" s="1"/>
  <c r="F214" i="128" s="1" a="1"/>
  <c r="F214" i="128" s="1"/>
  <c r="D176" i="140"/>
  <c r="E176" i="140"/>
  <c r="H13" i="127"/>
  <c r="J13" i="127"/>
  <c r="H91" i="127"/>
  <c r="D97" i="127"/>
  <c r="F173" i="138"/>
  <c r="F177" i="138" s="1"/>
  <c r="K173" i="138"/>
  <c r="E174" i="132"/>
  <c r="E176" i="132"/>
  <c r="D176" i="132"/>
  <c r="H173" i="124"/>
  <c r="G173" i="124"/>
  <c r="I173" i="124" s="1"/>
  <c r="G5" i="122"/>
  <c r="H5" i="122"/>
  <c r="F95" i="122"/>
  <c r="E178" i="125"/>
  <c r="D178" i="125"/>
  <c r="D95" i="124"/>
  <c r="K96" i="124" s="1"/>
  <c r="F97" i="135"/>
  <c r="D137" i="133"/>
  <c r="B180" i="133"/>
  <c r="E178" i="133" s="1"/>
  <c r="F138" i="127"/>
  <c r="G137" i="127"/>
  <c r="H136" i="127"/>
  <c r="J136" i="127" s="1"/>
  <c r="K136" i="127" s="1"/>
  <c r="H95" i="139"/>
  <c r="D97" i="139"/>
  <c r="E172" i="126"/>
  <c r="D27" i="122"/>
  <c r="E173" i="128"/>
  <c r="H78" i="122"/>
  <c r="E174" i="130"/>
  <c r="H72" i="122"/>
  <c r="F91" i="133"/>
  <c r="F97" i="133" s="1"/>
  <c r="H91" i="133"/>
  <c r="H97" i="133" s="1"/>
  <c r="G98" i="133" s="1"/>
  <c r="B180" i="127"/>
  <c r="D137" i="127"/>
  <c r="H174" i="124"/>
  <c r="G174" i="124"/>
  <c r="I174" i="124" s="1"/>
  <c r="E176" i="135"/>
  <c r="B180" i="125"/>
  <c r="D137" i="125"/>
  <c r="E177" i="133"/>
  <c r="D40" i="124"/>
  <c r="H40" i="124" s="1"/>
  <c r="D230" i="124" s="1" a="1"/>
  <c r="D230" i="124" s="1"/>
  <c r="D38" i="124"/>
  <c r="H38" i="124" s="1"/>
  <c r="D228" i="124" s="1" a="1"/>
  <c r="D228" i="124" s="1"/>
  <c r="D36" i="124"/>
  <c r="H36" i="124" s="1"/>
  <c r="D226" i="124" s="1" a="1"/>
  <c r="D226" i="124" s="1"/>
  <c r="D34" i="124"/>
  <c r="H34" i="124" s="1"/>
  <c r="D224" i="124" s="1" a="1"/>
  <c r="D224" i="124" s="1"/>
  <c r="D32" i="124"/>
  <c r="H32" i="124" s="1"/>
  <c r="D222" i="124" s="1" a="1"/>
  <c r="D222" i="124" s="1"/>
  <c r="D30" i="124"/>
  <c r="H30" i="124" s="1"/>
  <c r="D220" i="124" s="1" a="1"/>
  <c r="D220" i="124" s="1"/>
  <c r="D28" i="124"/>
  <c r="H28" i="124" s="1"/>
  <c r="D218" i="124" s="1" a="1"/>
  <c r="D218" i="124" s="1"/>
  <c r="D26" i="124"/>
  <c r="H26" i="124" s="1"/>
  <c r="D216" i="124" s="1" a="1"/>
  <c r="D216" i="124" s="1"/>
  <c r="D24" i="124"/>
  <c r="H24" i="124" s="1"/>
  <c r="D214" i="124" s="1" a="1"/>
  <c r="D214" i="124" s="1"/>
  <c r="D22" i="124"/>
  <c r="H22" i="124" s="1"/>
  <c r="D212" i="124" s="1" a="1"/>
  <c r="D212" i="124" s="1"/>
  <c r="D39" i="124"/>
  <c r="H39" i="124" s="1"/>
  <c r="D229" i="124" s="1" a="1"/>
  <c r="D229" i="124" s="1"/>
  <c r="D37" i="124"/>
  <c r="H37" i="124" s="1"/>
  <c r="D227" i="124" s="1" a="1"/>
  <c r="D227" i="124" s="1"/>
  <c r="D35" i="124"/>
  <c r="H35" i="124" s="1"/>
  <c r="D225" i="124" s="1" a="1"/>
  <c r="D225" i="124" s="1"/>
  <c r="D33" i="124"/>
  <c r="H33" i="124" s="1"/>
  <c r="D223" i="124" s="1" a="1"/>
  <c r="D223" i="124" s="1"/>
  <c r="D31" i="124"/>
  <c r="H31" i="124" s="1"/>
  <c r="D221" i="124" s="1" a="1"/>
  <c r="D221" i="124" s="1"/>
  <c r="D29" i="124"/>
  <c r="H29" i="124" s="1"/>
  <c r="D219" i="124" s="1" a="1"/>
  <c r="D219" i="124" s="1"/>
  <c r="D27" i="124"/>
  <c r="H27" i="124" s="1"/>
  <c r="D217" i="124" s="1" a="1"/>
  <c r="D217" i="124" s="1"/>
  <c r="D25" i="124"/>
  <c r="H25" i="124" s="1"/>
  <c r="D215" i="124" s="1" a="1"/>
  <c r="D215" i="124" s="1"/>
  <c r="D23" i="124"/>
  <c r="H23" i="124" s="1"/>
  <c r="D213" i="124" s="1" a="1"/>
  <c r="D213" i="124" s="1"/>
  <c r="D21" i="124"/>
  <c r="H21" i="124" s="1"/>
  <c r="D211" i="124" s="1" a="1"/>
  <c r="D211" i="124" s="1"/>
  <c r="E136" i="131"/>
  <c r="F136" i="131" s="1"/>
  <c r="G136" i="131" s="1"/>
  <c r="E174" i="140"/>
  <c r="D177" i="138"/>
  <c r="B180" i="137"/>
  <c r="D137" i="137"/>
  <c r="E137" i="137"/>
  <c r="F137" i="137" s="1"/>
  <c r="G174" i="134"/>
  <c r="I174" i="134" s="1"/>
  <c r="H174" i="134"/>
  <c r="H177" i="127"/>
  <c r="G177" i="127"/>
  <c r="I177" i="127" s="1"/>
  <c r="H177" i="137"/>
  <c r="G177" i="137"/>
  <c r="I177" i="137" s="1"/>
  <c r="E175" i="134"/>
  <c r="D175" i="134"/>
  <c r="E176" i="136"/>
  <c r="D176" i="136"/>
  <c r="D25" i="136"/>
  <c r="H25" i="136" s="1"/>
  <c r="D215" i="136" s="1" a="1"/>
  <c r="D215" i="136" s="1"/>
  <c r="D33" i="136"/>
  <c r="H33" i="136" s="1"/>
  <c r="D223" i="136" s="1" a="1"/>
  <c r="D223" i="136" s="1"/>
  <c r="D22" i="136"/>
  <c r="H22" i="136" s="1"/>
  <c r="D212" i="136" s="1" a="1"/>
  <c r="D212" i="136" s="1"/>
  <c r="D30" i="136"/>
  <c r="H30" i="136" s="1"/>
  <c r="D220" i="136" s="1" a="1"/>
  <c r="D220" i="136" s="1"/>
  <c r="F92" i="125"/>
  <c r="H92" i="125"/>
  <c r="F93" i="125"/>
  <c r="H93" i="125"/>
  <c r="D178" i="139"/>
  <c r="E178" i="139"/>
  <c r="E174" i="136"/>
  <c r="D97" i="125"/>
  <c r="E103" i="27"/>
  <c r="C103" i="27"/>
  <c r="E102" i="27"/>
  <c r="C102" i="27"/>
  <c r="E101" i="27"/>
  <c r="C101" i="27"/>
  <c r="E100" i="27"/>
  <c r="K100" i="27" s="1"/>
  <c r="C100" i="27"/>
  <c r="K99" i="27"/>
  <c r="E99" i="27"/>
  <c r="C99" i="27"/>
  <c r="E98" i="27"/>
  <c r="K98" i="27" s="1"/>
  <c r="C98" i="27"/>
  <c r="E97" i="27"/>
  <c r="C97" i="27"/>
  <c r="F96" i="27"/>
  <c r="E96" i="27"/>
  <c r="D96" i="27" s="1"/>
  <c r="N96" i="27" s="1"/>
  <c r="C96" i="27"/>
  <c r="F95" i="27"/>
  <c r="E95" i="27"/>
  <c r="C95" i="27"/>
  <c r="F94" i="27"/>
  <c r="E94" i="27"/>
  <c r="D94" i="27" s="1"/>
  <c r="C94" i="27"/>
  <c r="B94" i="27"/>
  <c r="E93" i="27"/>
  <c r="K93" i="27" s="1"/>
  <c r="C93" i="27"/>
  <c r="E92" i="27"/>
  <c r="K92" i="27" s="1"/>
  <c r="C92" i="27"/>
  <c r="E91" i="27"/>
  <c r="C91" i="27"/>
  <c r="E90" i="27"/>
  <c r="C90" i="27"/>
  <c r="E89" i="27"/>
  <c r="C89" i="27"/>
  <c r="E88" i="27"/>
  <c r="C88" i="27"/>
  <c r="E87" i="27"/>
  <c r="C87" i="27"/>
  <c r="F86" i="27"/>
  <c r="L86" i="27" s="1"/>
  <c r="E86" i="27"/>
  <c r="C86" i="27"/>
  <c r="F85" i="27"/>
  <c r="D85" i="27" s="1"/>
  <c r="E85" i="27"/>
  <c r="C85" i="27"/>
  <c r="F84" i="27"/>
  <c r="E84" i="27"/>
  <c r="C84" i="27"/>
  <c r="B84" i="27"/>
  <c r="G114" i="22"/>
  <c r="F114" i="22"/>
  <c r="L114" i="22" s="1"/>
  <c r="E114" i="22"/>
  <c r="K114" i="22" s="1"/>
  <c r="D114" i="22"/>
  <c r="E113" i="27" s="1"/>
  <c r="C114" i="22"/>
  <c r="G113" i="22"/>
  <c r="F113" i="22"/>
  <c r="L113" i="22" s="1"/>
  <c r="E113" i="22"/>
  <c r="D113" i="22"/>
  <c r="C113" i="22"/>
  <c r="G112" i="22"/>
  <c r="M112" i="22" s="1"/>
  <c r="M111" i="20" s="1"/>
  <c r="F112" i="22"/>
  <c r="L112" i="22" s="1"/>
  <c r="E112" i="22"/>
  <c r="D112" i="22"/>
  <c r="E111" i="27" s="1"/>
  <c r="C112" i="22"/>
  <c r="G111" i="22"/>
  <c r="F111" i="22"/>
  <c r="E111" i="22"/>
  <c r="D111" i="22"/>
  <c r="C111" i="22"/>
  <c r="G110" i="22"/>
  <c r="F110" i="22"/>
  <c r="L110" i="22" s="1"/>
  <c r="E110" i="22"/>
  <c r="K110" i="22" s="1"/>
  <c r="D110" i="22"/>
  <c r="E109" i="27" s="1"/>
  <c r="C110" i="22"/>
  <c r="G109" i="22"/>
  <c r="F109" i="22"/>
  <c r="L109" i="22" s="1"/>
  <c r="E109" i="22"/>
  <c r="D109" i="22"/>
  <c r="C109" i="22"/>
  <c r="G108" i="22"/>
  <c r="M108" i="22" s="1"/>
  <c r="M107" i="20" s="1"/>
  <c r="F108" i="22"/>
  <c r="L108" i="22" s="1"/>
  <c r="E108" i="22"/>
  <c r="D108" i="22"/>
  <c r="E107" i="27" s="1"/>
  <c r="C108" i="22"/>
  <c r="H107" i="22"/>
  <c r="F107" i="22"/>
  <c r="E107" i="22"/>
  <c r="D107" i="22"/>
  <c r="E106" i="27" s="1"/>
  <c r="C107" i="22"/>
  <c r="H106" i="22"/>
  <c r="G106" i="22"/>
  <c r="F106" i="22"/>
  <c r="L106" i="22" s="1"/>
  <c r="E106" i="22"/>
  <c r="D106" i="22"/>
  <c r="E105" i="27" s="1"/>
  <c r="C106" i="22"/>
  <c r="H105" i="22"/>
  <c r="N105" i="22" s="1"/>
  <c r="G105" i="22"/>
  <c r="F105" i="22"/>
  <c r="E105" i="22"/>
  <c r="D105" i="22"/>
  <c r="E104" i="27" s="1"/>
  <c r="C105" i="22"/>
  <c r="M114" i="22"/>
  <c r="M113" i="20" s="1"/>
  <c r="J114" i="22"/>
  <c r="B114" i="22"/>
  <c r="M113" i="22"/>
  <c r="M112" i="20" s="1"/>
  <c r="K113" i="22"/>
  <c r="B113" i="22"/>
  <c r="K112" i="22"/>
  <c r="J112" i="22"/>
  <c r="B112" i="22"/>
  <c r="M111" i="22"/>
  <c r="M110" i="20" s="1"/>
  <c r="L111" i="22"/>
  <c r="K111" i="22"/>
  <c r="B111" i="22"/>
  <c r="M110" i="22"/>
  <c r="M109" i="20" s="1"/>
  <c r="J110" i="22"/>
  <c r="B110" i="22"/>
  <c r="M109" i="22"/>
  <c r="M108" i="20" s="1"/>
  <c r="K109" i="22"/>
  <c r="B109" i="22"/>
  <c r="K108" i="22"/>
  <c r="J108" i="22"/>
  <c r="B108" i="22"/>
  <c r="N107" i="22"/>
  <c r="L107" i="22"/>
  <c r="K107" i="22"/>
  <c r="B107" i="22"/>
  <c r="N106" i="22"/>
  <c r="M106" i="22"/>
  <c r="M105" i="20" s="1"/>
  <c r="K106" i="22"/>
  <c r="J106" i="22"/>
  <c r="B106" i="22"/>
  <c r="M105" i="22"/>
  <c r="M104" i="20" s="1"/>
  <c r="L105" i="22"/>
  <c r="K105" i="22"/>
  <c r="B105" i="22"/>
  <c r="H136" i="131" l="1"/>
  <c r="J136" i="131" s="1"/>
  <c r="K136" i="131" s="1"/>
  <c r="D108" i="128"/>
  <c r="H108" i="128" s="1"/>
  <c r="F218" i="128" s="1" a="1"/>
  <c r="F218" i="128" s="1"/>
  <c r="D116" i="128"/>
  <c r="H116" i="128" s="1"/>
  <c r="F226" i="128" s="1" a="1"/>
  <c r="F226" i="128" s="1"/>
  <c r="D103" i="128"/>
  <c r="H103" i="128" s="1"/>
  <c r="F213" i="128" s="1" a="1"/>
  <c r="F213" i="128" s="1"/>
  <c r="D111" i="128"/>
  <c r="H111" i="128" s="1"/>
  <c r="F221" i="128" s="1" a="1"/>
  <c r="F221" i="128" s="1"/>
  <c r="D119" i="128"/>
  <c r="H119" i="128" s="1"/>
  <c r="F229" i="128" s="1" a="1"/>
  <c r="F229" i="128" s="1"/>
  <c r="D102" i="128"/>
  <c r="H102" i="128" s="1"/>
  <c r="F212" i="128" s="1" a="1"/>
  <c r="F212" i="128" s="1"/>
  <c r="D110" i="128"/>
  <c r="H110" i="128" s="1"/>
  <c r="F220" i="128" s="1" a="1"/>
  <c r="F220" i="128" s="1"/>
  <c r="D118" i="128"/>
  <c r="H118" i="128" s="1"/>
  <c r="F228" i="128" s="1" a="1"/>
  <c r="F228" i="128" s="1"/>
  <c r="D105" i="128"/>
  <c r="H105" i="128" s="1"/>
  <c r="F215" i="128" s="1" a="1"/>
  <c r="F215" i="128" s="1"/>
  <c r="D113" i="128"/>
  <c r="H113" i="128" s="1"/>
  <c r="F223" i="128" s="1" a="1"/>
  <c r="F223" i="128" s="1"/>
  <c r="D106" i="128"/>
  <c r="H106" i="128" s="1"/>
  <c r="F216" i="128" s="1" a="1"/>
  <c r="F216" i="128" s="1"/>
  <c r="D114" i="128"/>
  <c r="H114" i="128" s="1"/>
  <c r="F224" i="128" s="1" a="1"/>
  <c r="F224" i="128" s="1"/>
  <c r="D101" i="128"/>
  <c r="H101" i="128" s="1"/>
  <c r="F211" i="128" s="1" a="1"/>
  <c r="F211" i="128" s="1"/>
  <c r="D109" i="128"/>
  <c r="H109" i="128" s="1"/>
  <c r="F219" i="128" s="1" a="1"/>
  <c r="F219" i="128" s="1"/>
  <c r="H97" i="123"/>
  <c r="D109" i="134"/>
  <c r="H109" i="134" s="1"/>
  <c r="F219" i="134" s="1" a="1"/>
  <c r="F219" i="134" s="1"/>
  <c r="D120" i="134"/>
  <c r="H120" i="134" s="1"/>
  <c r="F230" i="134" s="1" a="1"/>
  <c r="F230" i="134" s="1"/>
  <c r="H46" i="122" s="1"/>
  <c r="D117" i="134"/>
  <c r="H117" i="134" s="1"/>
  <c r="F227" i="134" s="1" a="1"/>
  <c r="F227" i="134" s="1"/>
  <c r="D106" i="134"/>
  <c r="H106" i="134" s="1"/>
  <c r="F216" i="134" s="1" a="1"/>
  <c r="F216" i="134" s="1"/>
  <c r="K96" i="136"/>
  <c r="D101" i="134"/>
  <c r="H101" i="134" s="1"/>
  <c r="F211" i="134" s="1" a="1"/>
  <c r="F211" i="134" s="1"/>
  <c r="D46" i="122" s="1"/>
  <c r="D114" i="134"/>
  <c r="H114" i="134" s="1"/>
  <c r="F224" i="134" s="1" a="1"/>
  <c r="F224" i="134" s="1"/>
  <c r="H136" i="133"/>
  <c r="J136" i="133" s="1"/>
  <c r="K136" i="133" s="1"/>
  <c r="D103" i="134"/>
  <c r="H103" i="134" s="1"/>
  <c r="F213" i="134" s="1" a="1"/>
  <c r="F213" i="134" s="1"/>
  <c r="D111" i="134"/>
  <c r="H111" i="134" s="1"/>
  <c r="F221" i="134" s="1" a="1"/>
  <c r="F221" i="134" s="1"/>
  <c r="D119" i="134"/>
  <c r="H119" i="134" s="1"/>
  <c r="F229" i="134" s="1" a="1"/>
  <c r="F229" i="134" s="1"/>
  <c r="D108" i="134"/>
  <c r="H108" i="134" s="1"/>
  <c r="F218" i="134" s="1" a="1"/>
  <c r="F218" i="134" s="1"/>
  <c r="D116" i="134"/>
  <c r="H116" i="134" s="1"/>
  <c r="F226" i="134" s="1" a="1"/>
  <c r="F226" i="134" s="1"/>
  <c r="D177" i="134"/>
  <c r="D105" i="134"/>
  <c r="H105" i="134" s="1"/>
  <c r="F215" i="134" s="1" a="1"/>
  <c r="F215" i="134" s="1"/>
  <c r="E46" i="122" s="1"/>
  <c r="D113" i="134"/>
  <c r="H113" i="134" s="1"/>
  <c r="F223" i="134" s="1" a="1"/>
  <c r="F223" i="134" s="1"/>
  <c r="D102" i="134"/>
  <c r="H102" i="134" s="1"/>
  <c r="F212" i="134" s="1" a="1"/>
  <c r="F212" i="134" s="1"/>
  <c r="D110" i="134"/>
  <c r="H110" i="134" s="1"/>
  <c r="F220" i="134" s="1" a="1"/>
  <c r="F220" i="134" s="1"/>
  <c r="F46" i="122" s="1"/>
  <c r="D118" i="134"/>
  <c r="H118" i="134" s="1"/>
  <c r="F228" i="134" s="1" a="1"/>
  <c r="F228" i="134" s="1"/>
  <c r="D177" i="140"/>
  <c r="K98" i="137"/>
  <c r="D107" i="134"/>
  <c r="H107" i="134" s="1"/>
  <c r="F217" i="134" s="1" a="1"/>
  <c r="F217" i="134" s="1"/>
  <c r="D115" i="134"/>
  <c r="H115" i="134" s="1"/>
  <c r="F225" i="134" s="1" a="1"/>
  <c r="F225" i="134" s="1"/>
  <c r="G46" i="122" s="1"/>
  <c r="D104" i="134"/>
  <c r="H104" i="134" s="1"/>
  <c r="F214" i="134" s="1" a="1"/>
  <c r="F214" i="134" s="1"/>
  <c r="D112" i="134"/>
  <c r="H112" i="134" s="1"/>
  <c r="F222" i="134" s="1" a="1"/>
  <c r="F222" i="134" s="1"/>
  <c r="H136" i="135"/>
  <c r="J136" i="135" s="1"/>
  <c r="K136" i="135" s="1"/>
  <c r="D62" i="124"/>
  <c r="H62" i="124" s="1"/>
  <c r="E220" i="124" s="1" a="1"/>
  <c r="E220" i="124" s="1"/>
  <c r="F12" i="122" s="1"/>
  <c r="J173" i="124"/>
  <c r="K173" i="124" s="1"/>
  <c r="D70" i="124"/>
  <c r="H70" i="124" s="1"/>
  <c r="E228" i="124" s="1" a="1"/>
  <c r="E228" i="124" s="1"/>
  <c r="J177" i="129"/>
  <c r="D63" i="124"/>
  <c r="H63" i="124" s="1"/>
  <c r="E221" i="124" s="1" a="1"/>
  <c r="E221" i="124" s="1"/>
  <c r="E136" i="138"/>
  <c r="D54" i="124"/>
  <c r="H54" i="124" s="1"/>
  <c r="E212" i="124" s="1" a="1"/>
  <c r="E212" i="124" s="1"/>
  <c r="D57" i="124"/>
  <c r="H57" i="124" s="1"/>
  <c r="E215" i="124" s="1" a="1"/>
  <c r="E215" i="124" s="1"/>
  <c r="E12" i="122" s="1"/>
  <c r="J177" i="133"/>
  <c r="K177" i="133" s="1"/>
  <c r="J177" i="127"/>
  <c r="K98" i="135"/>
  <c r="H97" i="127"/>
  <c r="G98" i="127" s="1"/>
  <c r="D68" i="124"/>
  <c r="H68" i="124" s="1"/>
  <c r="E226" i="124" s="1" a="1"/>
  <c r="E226" i="124" s="1"/>
  <c r="D65" i="124"/>
  <c r="H65" i="124" s="1"/>
  <c r="E223" i="124" s="1" a="1"/>
  <c r="E223" i="124" s="1"/>
  <c r="H97" i="131"/>
  <c r="G98" i="131" s="1"/>
  <c r="J136" i="138"/>
  <c r="G98" i="123"/>
  <c r="J174" i="126"/>
  <c r="J177" i="125"/>
  <c r="K98" i="127"/>
  <c r="J177" i="131"/>
  <c r="D60" i="124"/>
  <c r="H60" i="124" s="1"/>
  <c r="E218" i="124" s="1" a="1"/>
  <c r="E218" i="124" s="1"/>
  <c r="D55" i="124"/>
  <c r="H55" i="124" s="1"/>
  <c r="E213" i="124" s="1" a="1"/>
  <c r="E213" i="124" s="1"/>
  <c r="D71" i="124"/>
  <c r="H71" i="124" s="1"/>
  <c r="E229" i="124" s="1" a="1"/>
  <c r="E229" i="124" s="1"/>
  <c r="J174" i="128"/>
  <c r="K174" i="128" s="1"/>
  <c r="J174" i="136"/>
  <c r="H136" i="139"/>
  <c r="J136" i="139" s="1"/>
  <c r="K136" i="139" s="1"/>
  <c r="G178" i="130"/>
  <c r="F178" i="133"/>
  <c r="H178" i="139"/>
  <c r="G178" i="139"/>
  <c r="I178" i="139" s="1"/>
  <c r="H175" i="134"/>
  <c r="G175" i="134"/>
  <c r="I175" i="134" s="1"/>
  <c r="F174" i="140"/>
  <c r="F178" i="139"/>
  <c r="F176" i="136"/>
  <c r="J174" i="134"/>
  <c r="K174" i="134" s="1"/>
  <c r="E180" i="137"/>
  <c r="D180" i="137"/>
  <c r="D11" i="122"/>
  <c r="F176" i="135"/>
  <c r="K176" i="135"/>
  <c r="E180" i="127"/>
  <c r="D180" i="127"/>
  <c r="F172" i="126"/>
  <c r="E177" i="126"/>
  <c r="K172" i="126"/>
  <c r="G138" i="127"/>
  <c r="H137" i="127"/>
  <c r="J137" i="127" s="1"/>
  <c r="F178" i="125"/>
  <c r="F176" i="140"/>
  <c r="F97" i="125"/>
  <c r="K175" i="135"/>
  <c r="F175" i="135"/>
  <c r="K98" i="123"/>
  <c r="F138" i="135"/>
  <c r="G137" i="135"/>
  <c r="F174" i="128"/>
  <c r="H175" i="140"/>
  <c r="G175" i="140"/>
  <c r="I175" i="140" s="1"/>
  <c r="J175" i="138"/>
  <c r="K175" i="138" s="1"/>
  <c r="H178" i="129"/>
  <c r="G178" i="129"/>
  <c r="I178" i="129" s="1"/>
  <c r="E179" i="131"/>
  <c r="D179" i="131"/>
  <c r="E177" i="131"/>
  <c r="E176" i="131"/>
  <c r="E175" i="131"/>
  <c r="F175" i="130"/>
  <c r="F178" i="123"/>
  <c r="G96" i="136"/>
  <c r="D179" i="123"/>
  <c r="E179" i="123"/>
  <c r="E177" i="123"/>
  <c r="E175" i="123"/>
  <c r="H175" i="136"/>
  <c r="G175" i="136"/>
  <c r="I175" i="136" s="1"/>
  <c r="D177" i="136"/>
  <c r="D58" i="124"/>
  <c r="H58" i="124" s="1"/>
  <c r="E216" i="124" s="1" a="1"/>
  <c r="E216" i="124" s="1"/>
  <c r="D66" i="124"/>
  <c r="H66" i="124" s="1"/>
  <c r="E224" i="124" s="1" a="1"/>
  <c r="E224" i="124" s="1"/>
  <c r="D53" i="124"/>
  <c r="H53" i="124" s="1"/>
  <c r="E211" i="124" s="1" a="1"/>
  <c r="E211" i="124" s="1"/>
  <c r="D12" i="122" s="1"/>
  <c r="D61" i="124"/>
  <c r="H61" i="124" s="1"/>
  <c r="E219" i="124" s="1" a="1"/>
  <c r="E219" i="124" s="1"/>
  <c r="D69" i="124"/>
  <c r="H69" i="124" s="1"/>
  <c r="E227" i="124" s="1" a="1"/>
  <c r="E227" i="124" s="1"/>
  <c r="F97" i="139"/>
  <c r="G135" i="128"/>
  <c r="H134" i="128"/>
  <c r="J134" i="128" s="1"/>
  <c r="G178" i="133"/>
  <c r="I178" i="133" s="1"/>
  <c r="H178" i="133"/>
  <c r="F176" i="126"/>
  <c r="D180" i="131"/>
  <c r="E180" i="131"/>
  <c r="H61" i="122"/>
  <c r="E179" i="135"/>
  <c r="D179" i="135"/>
  <c r="E179" i="129"/>
  <c r="D179" i="129"/>
  <c r="E176" i="129"/>
  <c r="E175" i="129"/>
  <c r="E177" i="129"/>
  <c r="E178" i="131"/>
  <c r="H178" i="135"/>
  <c r="G178" i="135"/>
  <c r="I178" i="135" s="1"/>
  <c r="G98" i="137"/>
  <c r="F175" i="128"/>
  <c r="F177" i="132"/>
  <c r="F177" i="133"/>
  <c r="F174" i="130"/>
  <c r="K173" i="128"/>
  <c r="F173" i="128"/>
  <c r="H176" i="132"/>
  <c r="G176" i="132"/>
  <c r="I176" i="132" s="1"/>
  <c r="H176" i="140"/>
  <c r="G176" i="140"/>
  <c r="I176" i="140" s="1"/>
  <c r="E178" i="127"/>
  <c r="E177" i="134"/>
  <c r="K172" i="134"/>
  <c r="F172" i="134"/>
  <c r="F174" i="124"/>
  <c r="F175" i="140"/>
  <c r="K134" i="132"/>
  <c r="K135" i="132" s="1"/>
  <c r="J135" i="132"/>
  <c r="D177" i="132"/>
  <c r="G138" i="131"/>
  <c r="H137" i="131"/>
  <c r="J137" i="131" s="1"/>
  <c r="H175" i="126"/>
  <c r="G175" i="126"/>
  <c r="I175" i="126" s="1"/>
  <c r="D179" i="125"/>
  <c r="E179" i="125"/>
  <c r="E176" i="125"/>
  <c r="E175" i="125"/>
  <c r="E177" i="125"/>
  <c r="D61" i="122"/>
  <c r="F175" i="136"/>
  <c r="H176" i="134"/>
  <c r="G176" i="134"/>
  <c r="I176" i="134" s="1"/>
  <c r="F177" i="135"/>
  <c r="E180" i="135"/>
  <c r="D180" i="135"/>
  <c r="F138" i="129"/>
  <c r="G137" i="129"/>
  <c r="E179" i="127"/>
  <c r="D179" i="127"/>
  <c r="G138" i="123"/>
  <c r="H137" i="123"/>
  <c r="J137" i="123" s="1"/>
  <c r="H134" i="140"/>
  <c r="J134" i="140" s="1"/>
  <c r="G135" i="140"/>
  <c r="E177" i="127"/>
  <c r="G135" i="134"/>
  <c r="H134" i="134"/>
  <c r="J134" i="134" s="1"/>
  <c r="H97" i="129"/>
  <c r="E179" i="133"/>
  <c r="D179" i="133"/>
  <c r="E180" i="123"/>
  <c r="D180" i="123"/>
  <c r="H178" i="131"/>
  <c r="G178" i="131"/>
  <c r="I178" i="131" s="1"/>
  <c r="E177" i="128"/>
  <c r="K172" i="128"/>
  <c r="F172" i="128"/>
  <c r="F177" i="128" s="1"/>
  <c r="G135" i="126"/>
  <c r="H134" i="126"/>
  <c r="J134" i="126" s="1"/>
  <c r="D179" i="137"/>
  <c r="E179" i="137"/>
  <c r="K96" i="130"/>
  <c r="D115" i="130" s="1"/>
  <c r="H115" i="130" s="1"/>
  <c r="F225" i="130" s="1" a="1"/>
  <c r="F225" i="130" s="1"/>
  <c r="K96" i="140"/>
  <c r="D114" i="140" s="1"/>
  <c r="H114" i="140" s="1"/>
  <c r="F224" i="140" s="1" a="1"/>
  <c r="F224" i="140" s="1"/>
  <c r="E177" i="137"/>
  <c r="D177" i="126"/>
  <c r="E176" i="127"/>
  <c r="E61" i="122"/>
  <c r="J177" i="137"/>
  <c r="E11" i="122"/>
  <c r="F11" i="122"/>
  <c r="J174" i="124"/>
  <c r="K98" i="133"/>
  <c r="D119" i="133" s="1"/>
  <c r="H119" i="133" s="1"/>
  <c r="F231" i="133" s="1" a="1"/>
  <c r="F231" i="133" s="1"/>
  <c r="E180" i="133"/>
  <c r="D180" i="133"/>
  <c r="D181" i="133" s="1"/>
  <c r="F176" i="132"/>
  <c r="H178" i="127"/>
  <c r="G178" i="127"/>
  <c r="I178" i="127" s="1"/>
  <c r="E175" i="133"/>
  <c r="H175" i="124"/>
  <c r="G175" i="124"/>
  <c r="I175" i="124" s="1"/>
  <c r="G96" i="124"/>
  <c r="H176" i="128"/>
  <c r="G176" i="128"/>
  <c r="I176" i="128" s="1"/>
  <c r="J177" i="123"/>
  <c r="F138" i="131"/>
  <c r="G98" i="135"/>
  <c r="F175" i="126"/>
  <c r="E175" i="137"/>
  <c r="K173" i="134"/>
  <c r="F173" i="134"/>
  <c r="F176" i="134"/>
  <c r="H178" i="137"/>
  <c r="G178" i="137"/>
  <c r="I178" i="137" s="1"/>
  <c r="K174" i="126"/>
  <c r="F174" i="126"/>
  <c r="H176" i="130"/>
  <c r="G176" i="130"/>
  <c r="I176" i="130" s="1"/>
  <c r="G135" i="124"/>
  <c r="H134" i="124"/>
  <c r="J134" i="124" s="1"/>
  <c r="D180" i="139"/>
  <c r="E180" i="139"/>
  <c r="F173" i="132"/>
  <c r="K173" i="132"/>
  <c r="F138" i="123"/>
  <c r="F175" i="132"/>
  <c r="J177" i="139"/>
  <c r="F97" i="129"/>
  <c r="K173" i="130"/>
  <c r="F173" i="130"/>
  <c r="F177" i="130" s="1"/>
  <c r="D120" i="132"/>
  <c r="H120" i="132" s="1"/>
  <c r="F230" i="132" s="1" a="1"/>
  <c r="F230" i="132" s="1"/>
  <c r="D118" i="132"/>
  <c r="H118" i="132" s="1"/>
  <c r="F228" i="132" s="1" a="1"/>
  <c r="F228" i="132" s="1"/>
  <c r="D116" i="132"/>
  <c r="H116" i="132" s="1"/>
  <c r="F226" i="132" s="1" a="1"/>
  <c r="F226" i="132" s="1"/>
  <c r="D114" i="132"/>
  <c r="H114" i="132" s="1"/>
  <c r="F224" i="132" s="1" a="1"/>
  <c r="F224" i="132" s="1"/>
  <c r="D112" i="132"/>
  <c r="H112" i="132" s="1"/>
  <c r="F222" i="132" s="1" a="1"/>
  <c r="F222" i="132" s="1"/>
  <c r="D110" i="132"/>
  <c r="H110" i="132" s="1"/>
  <c r="F220" i="132" s="1" a="1"/>
  <c r="F220" i="132" s="1"/>
  <c r="D108" i="132"/>
  <c r="H108" i="132" s="1"/>
  <c r="F218" i="132" s="1" a="1"/>
  <c r="F218" i="132" s="1"/>
  <c r="D106" i="132"/>
  <c r="H106" i="132" s="1"/>
  <c r="F216" i="132" s="1" a="1"/>
  <c r="F216" i="132" s="1"/>
  <c r="D104" i="132"/>
  <c r="H104" i="132" s="1"/>
  <c r="F214" i="132" s="1" a="1"/>
  <c r="F214" i="132" s="1"/>
  <c r="D102" i="132"/>
  <c r="H102" i="132" s="1"/>
  <c r="F212" i="132" s="1" a="1"/>
  <c r="F212" i="132" s="1"/>
  <c r="D119" i="132"/>
  <c r="H119" i="132" s="1"/>
  <c r="F229" i="132" s="1" a="1"/>
  <c r="F229" i="132" s="1"/>
  <c r="D117" i="132"/>
  <c r="H117" i="132" s="1"/>
  <c r="F227" i="132" s="1" a="1"/>
  <c r="F227" i="132" s="1"/>
  <c r="D115" i="132"/>
  <c r="H115" i="132" s="1"/>
  <c r="F225" i="132" s="1" a="1"/>
  <c r="F225" i="132" s="1"/>
  <c r="D113" i="132"/>
  <c r="H113" i="132" s="1"/>
  <c r="F223" i="132" s="1" a="1"/>
  <c r="F223" i="132" s="1"/>
  <c r="D111" i="132"/>
  <c r="H111" i="132" s="1"/>
  <c r="F221" i="132" s="1" a="1"/>
  <c r="F221" i="132" s="1"/>
  <c r="D109" i="132"/>
  <c r="H109" i="132" s="1"/>
  <c r="F219" i="132" s="1" a="1"/>
  <c r="F219" i="132" s="1"/>
  <c r="D107" i="132"/>
  <c r="H107" i="132" s="1"/>
  <c r="F217" i="132" s="1" a="1"/>
  <c r="F217" i="132" s="1"/>
  <c r="D105" i="132"/>
  <c r="H105" i="132" s="1"/>
  <c r="F215" i="132" s="1" a="1"/>
  <c r="F215" i="132" s="1"/>
  <c r="D103" i="132"/>
  <c r="H103" i="132" s="1"/>
  <c r="F213" i="132" s="1" a="1"/>
  <c r="F213" i="132" s="1"/>
  <c r="D101" i="132"/>
  <c r="H101" i="132" s="1"/>
  <c r="F211" i="132" s="1" a="1"/>
  <c r="F211" i="132" s="1"/>
  <c r="H176" i="124"/>
  <c r="G176" i="124"/>
  <c r="I176" i="124" s="1"/>
  <c r="G135" i="130"/>
  <c r="H134" i="130"/>
  <c r="J134" i="130" s="1"/>
  <c r="J175" i="127"/>
  <c r="K96" i="126"/>
  <c r="D117" i="126" s="1"/>
  <c r="H117" i="126" s="1"/>
  <c r="F227" i="126" s="1" a="1"/>
  <c r="F227" i="126" s="1"/>
  <c r="G138" i="133"/>
  <c r="H137" i="133"/>
  <c r="J137" i="133" s="1"/>
  <c r="K174" i="136"/>
  <c r="F174" i="136"/>
  <c r="F138" i="137"/>
  <c r="G137" i="137"/>
  <c r="F61" i="122"/>
  <c r="H176" i="136"/>
  <c r="G176" i="136"/>
  <c r="I176" i="136" s="1"/>
  <c r="F175" i="134"/>
  <c r="G11" i="122"/>
  <c r="H11" i="122"/>
  <c r="E180" i="125"/>
  <c r="D180" i="125"/>
  <c r="H178" i="125"/>
  <c r="G178" i="125"/>
  <c r="I178" i="125" s="1"/>
  <c r="F174" i="132"/>
  <c r="K173" i="136"/>
  <c r="F173" i="136"/>
  <c r="H97" i="125"/>
  <c r="G98" i="125" s="1"/>
  <c r="G135" i="136"/>
  <c r="H134" i="136"/>
  <c r="J134" i="136" s="1"/>
  <c r="E176" i="137"/>
  <c r="J174" i="130"/>
  <c r="F175" i="124"/>
  <c r="D120" i="138"/>
  <c r="H120" i="138" s="1"/>
  <c r="F230" i="138" s="1" a="1"/>
  <c r="F230" i="138" s="1"/>
  <c r="D118" i="138"/>
  <c r="H118" i="138" s="1"/>
  <c r="F228" i="138" s="1" a="1"/>
  <c r="F228" i="138" s="1"/>
  <c r="D116" i="138"/>
  <c r="H116" i="138" s="1"/>
  <c r="F226" i="138" s="1" a="1"/>
  <c r="F226" i="138" s="1"/>
  <c r="D114" i="138"/>
  <c r="H114" i="138" s="1"/>
  <c r="F224" i="138" s="1" a="1"/>
  <c r="F224" i="138" s="1"/>
  <c r="D112" i="138"/>
  <c r="H112" i="138" s="1"/>
  <c r="F222" i="138" s="1" a="1"/>
  <c r="F222" i="138" s="1"/>
  <c r="D110" i="138"/>
  <c r="H110" i="138" s="1"/>
  <c r="F220" i="138" s="1" a="1"/>
  <c r="F220" i="138" s="1"/>
  <c r="D108" i="138"/>
  <c r="H108" i="138" s="1"/>
  <c r="F218" i="138" s="1" a="1"/>
  <c r="F218" i="138" s="1"/>
  <c r="D106" i="138"/>
  <c r="H106" i="138" s="1"/>
  <c r="F216" i="138" s="1" a="1"/>
  <c r="F216" i="138" s="1"/>
  <c r="D104" i="138"/>
  <c r="H104" i="138" s="1"/>
  <c r="F214" i="138" s="1" a="1"/>
  <c r="F214" i="138" s="1"/>
  <c r="D102" i="138"/>
  <c r="H102" i="138" s="1"/>
  <c r="F212" i="138" s="1" a="1"/>
  <c r="F212" i="138" s="1"/>
  <c r="D119" i="138"/>
  <c r="H119" i="138" s="1"/>
  <c r="F229" i="138" s="1" a="1"/>
  <c r="F229" i="138" s="1"/>
  <c r="D117" i="138"/>
  <c r="H117" i="138" s="1"/>
  <c r="F227" i="138" s="1" a="1"/>
  <c r="F227" i="138" s="1"/>
  <c r="D115" i="138"/>
  <c r="H115" i="138" s="1"/>
  <c r="F225" i="138" s="1" a="1"/>
  <c r="F225" i="138" s="1"/>
  <c r="D113" i="138"/>
  <c r="H113" i="138" s="1"/>
  <c r="F223" i="138" s="1" a="1"/>
  <c r="F223" i="138" s="1"/>
  <c r="D111" i="138"/>
  <c r="H111" i="138" s="1"/>
  <c r="F221" i="138" s="1" a="1"/>
  <c r="F221" i="138" s="1"/>
  <c r="D109" i="138"/>
  <c r="H109" i="138" s="1"/>
  <c r="F219" i="138" s="1" a="1"/>
  <c r="F219" i="138" s="1"/>
  <c r="D107" i="138"/>
  <c r="H107" i="138" s="1"/>
  <c r="F217" i="138" s="1" a="1"/>
  <c r="F217" i="138" s="1"/>
  <c r="D105" i="138"/>
  <c r="H105" i="138" s="1"/>
  <c r="F215" i="138" s="1" a="1"/>
  <c r="F215" i="138" s="1"/>
  <c r="D103" i="138"/>
  <c r="H103" i="138" s="1"/>
  <c r="F213" i="138" s="1" a="1"/>
  <c r="F213" i="138" s="1"/>
  <c r="D101" i="138"/>
  <c r="H101" i="138" s="1"/>
  <c r="F211" i="138" s="1" a="1"/>
  <c r="F211" i="138" s="1"/>
  <c r="F173" i="140"/>
  <c r="F177" i="140" s="1"/>
  <c r="K173" i="140"/>
  <c r="F176" i="128"/>
  <c r="F178" i="129"/>
  <c r="J174" i="132"/>
  <c r="H175" i="130"/>
  <c r="G175" i="130"/>
  <c r="I175" i="130" s="1"/>
  <c r="H178" i="123"/>
  <c r="G178" i="123"/>
  <c r="I178" i="123" s="1"/>
  <c r="F172" i="136"/>
  <c r="F177" i="136" s="1"/>
  <c r="E177" i="136"/>
  <c r="K172" i="136"/>
  <c r="E175" i="127"/>
  <c r="F138" i="139"/>
  <c r="G137" i="139"/>
  <c r="D56" i="124"/>
  <c r="H56" i="124" s="1"/>
  <c r="E214" i="124" s="1" a="1"/>
  <c r="E214" i="124" s="1"/>
  <c r="D64" i="124"/>
  <c r="H64" i="124" s="1"/>
  <c r="E222" i="124" s="1" a="1"/>
  <c r="E222" i="124" s="1"/>
  <c r="D72" i="124"/>
  <c r="H72" i="124" s="1"/>
  <c r="E230" i="124" s="1" a="1"/>
  <c r="E230" i="124" s="1"/>
  <c r="H12" i="122" s="1"/>
  <c r="D59" i="124"/>
  <c r="H59" i="124" s="1"/>
  <c r="E217" i="124" s="1" a="1"/>
  <c r="E217" i="124" s="1"/>
  <c r="E176" i="133"/>
  <c r="E178" i="137"/>
  <c r="H97" i="139"/>
  <c r="G98" i="139" s="1"/>
  <c r="E180" i="129"/>
  <c r="D180" i="129"/>
  <c r="F176" i="130"/>
  <c r="J176" i="138"/>
  <c r="K176" i="138" s="1"/>
  <c r="H176" i="126"/>
  <c r="G176" i="126"/>
  <c r="I176" i="126" s="1"/>
  <c r="H175" i="132"/>
  <c r="G175" i="132"/>
  <c r="I175" i="132" s="1"/>
  <c r="G61" i="122"/>
  <c r="D119" i="126"/>
  <c r="H119" i="126" s="1"/>
  <c r="F229" i="126" s="1" a="1"/>
  <c r="F229" i="126" s="1"/>
  <c r="D113" i="126"/>
  <c r="H113" i="126" s="1"/>
  <c r="F223" i="126" s="1" a="1"/>
  <c r="F223" i="126" s="1"/>
  <c r="D111" i="126"/>
  <c r="H111" i="126" s="1"/>
  <c r="F221" i="126" s="1" a="1"/>
  <c r="F221" i="126" s="1"/>
  <c r="D105" i="126"/>
  <c r="H105" i="126" s="1"/>
  <c r="F215" i="126" s="1" a="1"/>
  <c r="F215" i="126" s="1"/>
  <c r="D103" i="126"/>
  <c r="H103" i="126" s="1"/>
  <c r="F213" i="126" s="1" a="1"/>
  <c r="F213" i="126" s="1"/>
  <c r="D118" i="126"/>
  <c r="H118" i="126" s="1"/>
  <c r="F228" i="126" s="1" a="1"/>
  <c r="F228" i="126" s="1"/>
  <c r="D116" i="126"/>
  <c r="H116" i="126" s="1"/>
  <c r="F226" i="126" s="1" a="1"/>
  <c r="F226" i="126" s="1"/>
  <c r="D110" i="126"/>
  <c r="H110" i="126" s="1"/>
  <c r="F220" i="126" s="1" a="1"/>
  <c r="F220" i="126" s="1"/>
  <c r="D108" i="126"/>
  <c r="H108" i="126" s="1"/>
  <c r="F218" i="126" s="1" a="1"/>
  <c r="F218" i="126" s="1"/>
  <c r="D102" i="126"/>
  <c r="H102" i="126" s="1"/>
  <c r="F212" i="126" s="1" a="1"/>
  <c r="F212" i="126" s="1"/>
  <c r="J174" i="140"/>
  <c r="J177" i="135"/>
  <c r="K177" i="135" s="1"/>
  <c r="F172" i="124"/>
  <c r="E177" i="124"/>
  <c r="K172" i="124"/>
  <c r="F176" i="124"/>
  <c r="E178" i="135"/>
  <c r="E181" i="135" s="1"/>
  <c r="E179" i="139"/>
  <c r="D179" i="139"/>
  <c r="E176" i="139"/>
  <c r="E175" i="139"/>
  <c r="E177" i="139"/>
  <c r="H175" i="128"/>
  <c r="G175" i="128"/>
  <c r="I175" i="128" s="1"/>
  <c r="D177" i="128"/>
  <c r="D181" i="129"/>
  <c r="D181" i="127"/>
  <c r="E177" i="132"/>
  <c r="G138" i="125"/>
  <c r="H137" i="125"/>
  <c r="J137" i="125" s="1"/>
  <c r="F138" i="133"/>
  <c r="E177" i="140"/>
  <c r="E176" i="123"/>
  <c r="G96" i="27"/>
  <c r="K103" i="27"/>
  <c r="N85" i="27"/>
  <c r="F104" i="27"/>
  <c r="F106" i="27"/>
  <c r="J105" i="22"/>
  <c r="J107" i="22"/>
  <c r="P107" i="22" s="1"/>
  <c r="F105" i="27"/>
  <c r="J109" i="22"/>
  <c r="E108" i="27"/>
  <c r="J113" i="22"/>
  <c r="E112" i="27"/>
  <c r="P105" i="22"/>
  <c r="J111" i="22"/>
  <c r="E110" i="27"/>
  <c r="K97" i="27"/>
  <c r="K88" i="27"/>
  <c r="K101" i="27"/>
  <c r="J95" i="27"/>
  <c r="K96" i="27"/>
  <c r="N94" i="27"/>
  <c r="L96" i="27"/>
  <c r="H96" i="27"/>
  <c r="K102" i="27"/>
  <c r="D86" i="27"/>
  <c r="G86" i="27" s="1"/>
  <c r="K89" i="27"/>
  <c r="K90" i="27"/>
  <c r="D95" i="27"/>
  <c r="K86" i="27"/>
  <c r="J86" i="27" s="1"/>
  <c r="J85" i="27"/>
  <c r="N86" i="27"/>
  <c r="J84" i="27"/>
  <c r="K87" i="27"/>
  <c r="K91" i="27"/>
  <c r="D84" i="27"/>
  <c r="P106" i="22"/>
  <c r="G13" i="20"/>
  <c r="G12" i="20"/>
  <c r="G11" i="20"/>
  <c r="G10" i="20"/>
  <c r="G9" i="20"/>
  <c r="G8" i="20"/>
  <c r="G7" i="20"/>
  <c r="G6" i="20"/>
  <c r="G5" i="20"/>
  <c r="G4" i="20"/>
  <c r="M7" i="20"/>
  <c r="M8" i="20"/>
  <c r="M9" i="20"/>
  <c r="M10" i="20"/>
  <c r="M11" i="20"/>
  <c r="M12" i="20"/>
  <c r="M13" i="20"/>
  <c r="D107" i="140" l="1"/>
  <c r="H107" i="140" s="1"/>
  <c r="F217" i="140" s="1" a="1"/>
  <c r="F217" i="140" s="1"/>
  <c r="K98" i="131"/>
  <c r="D118" i="131" s="1"/>
  <c r="H118" i="131" s="1"/>
  <c r="F230" i="131" s="1" a="1"/>
  <c r="F230" i="131" s="1"/>
  <c r="D104" i="126"/>
  <c r="H104" i="126" s="1"/>
  <c r="F214" i="126" s="1" a="1"/>
  <c r="F214" i="126" s="1"/>
  <c r="D112" i="126"/>
  <c r="H112" i="126" s="1"/>
  <c r="F222" i="126" s="1" a="1"/>
  <c r="F222" i="126" s="1"/>
  <c r="D120" i="126"/>
  <c r="H120" i="126" s="1"/>
  <c r="F230" i="126" s="1" a="1"/>
  <c r="F230" i="126" s="1"/>
  <c r="D107" i="126"/>
  <c r="H107" i="126" s="1"/>
  <c r="F217" i="126" s="1" a="1"/>
  <c r="F217" i="126" s="1"/>
  <c r="D115" i="126"/>
  <c r="H115" i="126" s="1"/>
  <c r="F225" i="126" s="1" a="1"/>
  <c r="F225" i="126" s="1"/>
  <c r="D106" i="126"/>
  <c r="H106" i="126" s="1"/>
  <c r="F216" i="126" s="1" a="1"/>
  <c r="F216" i="126" s="1"/>
  <c r="D114" i="126"/>
  <c r="H114" i="126" s="1"/>
  <c r="F224" i="126" s="1" a="1"/>
  <c r="F224" i="126" s="1"/>
  <c r="D101" i="126"/>
  <c r="H101" i="126" s="1"/>
  <c r="F211" i="126" s="1" a="1"/>
  <c r="F211" i="126" s="1"/>
  <c r="D109" i="126"/>
  <c r="H109" i="126" s="1"/>
  <c r="F219" i="126" s="1" a="1"/>
  <c r="F219" i="126" s="1"/>
  <c r="D114" i="130"/>
  <c r="H114" i="130" s="1"/>
  <c r="F224" i="130" s="1" a="1"/>
  <c r="F224" i="130" s="1"/>
  <c r="D118" i="123"/>
  <c r="H118" i="123" s="1"/>
  <c r="F230" i="123" s="1" a="1"/>
  <c r="F230" i="123" s="1"/>
  <c r="K98" i="129"/>
  <c r="D152" i="138"/>
  <c r="H152" i="138" s="1"/>
  <c r="G222" i="138" s="1" a="1"/>
  <c r="G222" i="138" s="1"/>
  <c r="D115" i="140"/>
  <c r="H115" i="140" s="1"/>
  <c r="F225" i="140" s="1" a="1"/>
  <c r="F225" i="140" s="1"/>
  <c r="G97" i="122" s="1"/>
  <c r="D110" i="130"/>
  <c r="H110" i="130" s="1"/>
  <c r="F220" i="130" s="1" a="1"/>
  <c r="F220" i="130" s="1"/>
  <c r="D119" i="130"/>
  <c r="H119" i="130" s="1"/>
  <c r="F229" i="130" s="1" a="1"/>
  <c r="F229" i="130" s="1"/>
  <c r="J175" i="124"/>
  <c r="K175" i="124" s="1"/>
  <c r="D103" i="130"/>
  <c r="H103" i="130" s="1"/>
  <c r="F213" i="130" s="1" a="1"/>
  <c r="F213" i="130" s="1"/>
  <c r="D109" i="130"/>
  <c r="H109" i="130" s="1"/>
  <c r="F219" i="130" s="1" a="1"/>
  <c r="F219" i="130" s="1"/>
  <c r="E136" i="132"/>
  <c r="D158" i="138"/>
  <c r="H158" i="138" s="1"/>
  <c r="G228" i="138" s="1" a="1"/>
  <c r="G228" i="138" s="1"/>
  <c r="J228" i="138" s="1"/>
  <c r="D111" i="140"/>
  <c r="H111" i="140" s="1"/>
  <c r="F221" i="140" s="1" a="1"/>
  <c r="F221" i="140" s="1"/>
  <c r="D102" i="130"/>
  <c r="H102" i="130" s="1"/>
  <c r="F212" i="130" s="1" a="1"/>
  <c r="F212" i="130" s="1"/>
  <c r="D118" i="130"/>
  <c r="H118" i="130" s="1"/>
  <c r="F228" i="130" s="1" a="1"/>
  <c r="F228" i="130" s="1"/>
  <c r="D111" i="130"/>
  <c r="H111" i="130" s="1"/>
  <c r="F221" i="130" s="1" a="1"/>
  <c r="F221" i="130" s="1"/>
  <c r="J178" i="131"/>
  <c r="K178" i="131" s="1"/>
  <c r="J175" i="132"/>
  <c r="K175" i="132" s="1"/>
  <c r="D108" i="130"/>
  <c r="H108" i="130" s="1"/>
  <c r="F218" i="130" s="1" a="1"/>
  <c r="F218" i="130" s="1"/>
  <c r="D101" i="130"/>
  <c r="H101" i="130" s="1"/>
  <c r="F211" i="130" s="1" a="1"/>
  <c r="F211" i="130" s="1"/>
  <c r="D113" i="130"/>
  <c r="H113" i="130" s="1"/>
  <c r="F223" i="130" s="1" a="1"/>
  <c r="F223" i="130" s="1"/>
  <c r="J175" i="128"/>
  <c r="K175" i="128" s="1"/>
  <c r="K177" i="128" s="1"/>
  <c r="J178" i="123"/>
  <c r="K178" i="123" s="1"/>
  <c r="D181" i="125"/>
  <c r="D113" i="140"/>
  <c r="H113" i="140" s="1"/>
  <c r="F223" i="140" s="1" a="1"/>
  <c r="F223" i="140" s="1"/>
  <c r="J178" i="129"/>
  <c r="K178" i="129" s="1"/>
  <c r="J175" i="134"/>
  <c r="K175" i="134" s="1"/>
  <c r="D146" i="138"/>
  <c r="H146" i="138" s="1"/>
  <c r="G216" i="138" s="1" a="1"/>
  <c r="G216" i="138" s="1"/>
  <c r="J216" i="138" s="1"/>
  <c r="D148" i="138"/>
  <c r="H148" i="138" s="1"/>
  <c r="G218" i="138" s="1" a="1"/>
  <c r="G218" i="138" s="1"/>
  <c r="J218" i="138" s="1"/>
  <c r="K177" i="138"/>
  <c r="J176" i="136"/>
  <c r="K176" i="136" s="1"/>
  <c r="D101" i="140"/>
  <c r="H101" i="140" s="1"/>
  <c r="F211" i="140" s="1" a="1"/>
  <c r="F211" i="140" s="1"/>
  <c r="D106" i="130"/>
  <c r="H106" i="130" s="1"/>
  <c r="F216" i="130" s="1" a="1"/>
  <c r="F216" i="130" s="1"/>
  <c r="D116" i="130"/>
  <c r="H116" i="130" s="1"/>
  <c r="F226" i="130" s="1" a="1"/>
  <c r="F226" i="130" s="1"/>
  <c r="D105" i="130"/>
  <c r="H105" i="130" s="1"/>
  <c r="F215" i="130" s="1" a="1"/>
  <c r="F215" i="130" s="1"/>
  <c r="D117" i="130"/>
  <c r="H117" i="130" s="1"/>
  <c r="F227" i="130" s="1" a="1"/>
  <c r="F227" i="130" s="1"/>
  <c r="D118" i="133"/>
  <c r="H118" i="133" s="1"/>
  <c r="F230" i="133" s="1" a="1"/>
  <c r="F230" i="133" s="1"/>
  <c r="D153" i="138"/>
  <c r="H153" i="138" s="1"/>
  <c r="G223" i="138" s="1" a="1"/>
  <c r="G223" i="138" s="1"/>
  <c r="J223" i="138" s="1"/>
  <c r="D151" i="138"/>
  <c r="H151" i="138" s="1"/>
  <c r="G221" i="138" s="1" a="1"/>
  <c r="G221" i="138" s="1"/>
  <c r="J221" i="138" s="1"/>
  <c r="J136" i="132"/>
  <c r="D108" i="140"/>
  <c r="H108" i="140" s="1"/>
  <c r="F218" i="140" s="1" a="1"/>
  <c r="F218" i="140" s="1"/>
  <c r="D109" i="140"/>
  <c r="H109" i="140" s="1"/>
  <c r="F219" i="140" s="1" a="1"/>
  <c r="F219" i="140" s="1"/>
  <c r="D116" i="140"/>
  <c r="H116" i="140" s="1"/>
  <c r="F226" i="140" s="1" a="1"/>
  <c r="F226" i="140" s="1"/>
  <c r="D103" i="140"/>
  <c r="H103" i="140" s="1"/>
  <c r="F213" i="140" s="1" a="1"/>
  <c r="F213" i="140" s="1"/>
  <c r="D119" i="140"/>
  <c r="H119" i="140" s="1"/>
  <c r="F229" i="140" s="1" a="1"/>
  <c r="F229" i="140" s="1"/>
  <c r="D113" i="133"/>
  <c r="H113" i="133" s="1"/>
  <c r="F225" i="133" s="1" a="1"/>
  <c r="F225" i="133" s="1"/>
  <c r="D154" i="138"/>
  <c r="H154" i="138" s="1"/>
  <c r="G224" i="138" s="1" a="1"/>
  <c r="G224" i="138" s="1"/>
  <c r="J224" i="138" s="1"/>
  <c r="D145" i="138"/>
  <c r="H145" i="138" s="1"/>
  <c r="G215" i="138" s="1" a="1"/>
  <c r="G215" i="138" s="1"/>
  <c r="J215" i="138" s="1"/>
  <c r="D143" i="138"/>
  <c r="H143" i="138" s="1"/>
  <c r="G213" i="138" s="1" a="1"/>
  <c r="G213" i="138" s="1"/>
  <c r="J213" i="138" s="1"/>
  <c r="D159" i="138"/>
  <c r="H159" i="138" s="1"/>
  <c r="G229" i="138" s="1" a="1"/>
  <c r="G229" i="138" s="1"/>
  <c r="J229" i="138" s="1"/>
  <c r="D156" i="138"/>
  <c r="H156" i="138" s="1"/>
  <c r="G226" i="138" s="1" a="1"/>
  <c r="G226" i="138" s="1"/>
  <c r="J226" i="138" s="1"/>
  <c r="J222" i="138"/>
  <c r="J176" i="124"/>
  <c r="K176" i="124" s="1"/>
  <c r="D105" i="140"/>
  <c r="H105" i="140" s="1"/>
  <c r="F215" i="140" s="1" a="1"/>
  <c r="F215" i="140" s="1"/>
  <c r="E97" i="122" s="1"/>
  <c r="D118" i="140"/>
  <c r="H118" i="140" s="1"/>
  <c r="F228" i="140" s="1" a="1"/>
  <c r="F228" i="140" s="1"/>
  <c r="D102" i="140"/>
  <c r="H102" i="140" s="1"/>
  <c r="F212" i="140" s="1" a="1"/>
  <c r="F212" i="140" s="1"/>
  <c r="D110" i="140"/>
  <c r="H110" i="140" s="1"/>
  <c r="F220" i="140" s="1" a="1"/>
  <c r="F220" i="140" s="1"/>
  <c r="F97" i="122" s="1"/>
  <c r="D106" i="140"/>
  <c r="H106" i="140" s="1"/>
  <c r="F216" i="140" s="1" a="1"/>
  <c r="F216" i="140" s="1"/>
  <c r="J176" i="132"/>
  <c r="K176" i="132" s="1"/>
  <c r="D110" i="133"/>
  <c r="H110" i="133" s="1"/>
  <c r="F222" i="133" s="1" a="1"/>
  <c r="F222" i="133" s="1"/>
  <c r="D121" i="133"/>
  <c r="H121" i="133" s="1"/>
  <c r="F233" i="133" s="1" a="1"/>
  <c r="F233" i="133" s="1"/>
  <c r="J175" i="136"/>
  <c r="D142" i="138"/>
  <c r="H142" i="138" s="1"/>
  <c r="G212" i="138" s="1" a="1"/>
  <c r="G212" i="138" s="1"/>
  <c r="J212" i="138" s="1"/>
  <c r="D149" i="138"/>
  <c r="H149" i="138" s="1"/>
  <c r="G219" i="138" s="1" a="1"/>
  <c r="G219" i="138" s="1"/>
  <c r="J219" i="138" s="1"/>
  <c r="D147" i="138"/>
  <c r="H147" i="138" s="1"/>
  <c r="G217" i="138" s="1" a="1"/>
  <c r="G217" i="138" s="1"/>
  <c r="J217" i="138" s="1"/>
  <c r="D144" i="138"/>
  <c r="H144" i="138" s="1"/>
  <c r="G214" i="138" s="1" a="1"/>
  <c r="G214" i="138" s="1"/>
  <c r="J214" i="138" s="1"/>
  <c r="D160" i="138"/>
  <c r="H160" i="138" s="1"/>
  <c r="G230" i="138" s="1" a="1"/>
  <c r="G230" i="138" s="1"/>
  <c r="J230" i="138" s="1"/>
  <c r="J176" i="130"/>
  <c r="K176" i="130" s="1"/>
  <c r="J178" i="137"/>
  <c r="K178" i="137" s="1"/>
  <c r="J176" i="128"/>
  <c r="K176" i="128" s="1"/>
  <c r="D104" i="140"/>
  <c r="H104" i="140" s="1"/>
  <c r="F214" i="140" s="1" a="1"/>
  <c r="F214" i="140" s="1"/>
  <c r="D120" i="140"/>
  <c r="H120" i="140" s="1"/>
  <c r="F230" i="140" s="1" a="1"/>
  <c r="F230" i="140" s="1"/>
  <c r="H97" i="122" s="1"/>
  <c r="D112" i="140"/>
  <c r="H112" i="140" s="1"/>
  <c r="F222" i="140" s="1" a="1"/>
  <c r="F222" i="140" s="1"/>
  <c r="D117" i="140"/>
  <c r="H117" i="140" s="1"/>
  <c r="F227" i="140" s="1" a="1"/>
  <c r="F227" i="140" s="1"/>
  <c r="J176" i="140"/>
  <c r="K176" i="140" s="1"/>
  <c r="D105" i="133"/>
  <c r="H105" i="133" s="1"/>
  <c r="F217" i="133" s="1" a="1"/>
  <c r="F217" i="133" s="1"/>
  <c r="D150" i="138"/>
  <c r="H150" i="138" s="1"/>
  <c r="G220" i="138" s="1" a="1"/>
  <c r="G220" i="138" s="1"/>
  <c r="J220" i="138" s="1"/>
  <c r="D141" i="138"/>
  <c r="H141" i="138" s="1"/>
  <c r="G211" i="138" s="1" a="1"/>
  <c r="G211" i="138" s="1"/>
  <c r="J211" i="138" s="1"/>
  <c r="D157" i="138"/>
  <c r="H157" i="138" s="1"/>
  <c r="G227" i="138" s="1" a="1"/>
  <c r="G227" i="138" s="1"/>
  <c r="J227" i="138" s="1"/>
  <c r="D155" i="138"/>
  <c r="H155" i="138" s="1"/>
  <c r="G225" i="138" s="1" a="1"/>
  <c r="G225" i="138" s="1"/>
  <c r="G81" i="122" s="1"/>
  <c r="G182" i="135"/>
  <c r="K176" i="123"/>
  <c r="F176" i="123"/>
  <c r="H179" i="139"/>
  <c r="G179" i="139"/>
  <c r="I179" i="139" s="1"/>
  <c r="F178" i="137"/>
  <c r="E80" i="122"/>
  <c r="K134" i="124"/>
  <c r="K135" i="124" s="1"/>
  <c r="J135" i="124"/>
  <c r="D119" i="124"/>
  <c r="H119" i="124" s="1"/>
  <c r="F229" i="124" s="1" a="1"/>
  <c r="F229" i="124" s="1"/>
  <c r="D117" i="124"/>
  <c r="H117" i="124" s="1"/>
  <c r="F227" i="124" s="1" a="1"/>
  <c r="F227" i="124" s="1"/>
  <c r="D115" i="124"/>
  <c r="H115" i="124" s="1"/>
  <c r="F225" i="124" s="1" a="1"/>
  <c r="F225" i="124" s="1"/>
  <c r="D113" i="124"/>
  <c r="H113" i="124" s="1"/>
  <c r="F223" i="124" s="1" a="1"/>
  <c r="F223" i="124" s="1"/>
  <c r="D111" i="124"/>
  <c r="H111" i="124" s="1"/>
  <c r="F221" i="124" s="1" a="1"/>
  <c r="F221" i="124" s="1"/>
  <c r="D109" i="124"/>
  <c r="H109" i="124" s="1"/>
  <c r="F219" i="124" s="1" a="1"/>
  <c r="F219" i="124" s="1"/>
  <c r="D107" i="124"/>
  <c r="H107" i="124" s="1"/>
  <c r="F217" i="124" s="1" a="1"/>
  <c r="F217" i="124" s="1"/>
  <c r="D105" i="124"/>
  <c r="H105" i="124" s="1"/>
  <c r="F215" i="124" s="1" a="1"/>
  <c r="F215" i="124" s="1"/>
  <c r="D103" i="124"/>
  <c r="H103" i="124" s="1"/>
  <c r="F213" i="124" s="1" a="1"/>
  <c r="F213" i="124" s="1"/>
  <c r="D101" i="124"/>
  <c r="H101" i="124" s="1"/>
  <c r="F211" i="124" s="1" a="1"/>
  <c r="F211" i="124" s="1"/>
  <c r="D120" i="124"/>
  <c r="H120" i="124" s="1"/>
  <c r="F230" i="124" s="1" a="1"/>
  <c r="F230" i="124" s="1"/>
  <c r="D118" i="124"/>
  <c r="H118" i="124" s="1"/>
  <c r="F228" i="124" s="1" a="1"/>
  <c r="F228" i="124" s="1"/>
  <c r="D116" i="124"/>
  <c r="H116" i="124" s="1"/>
  <c r="F226" i="124" s="1" a="1"/>
  <c r="F226" i="124" s="1"/>
  <c r="D114" i="124"/>
  <c r="H114" i="124" s="1"/>
  <c r="F224" i="124" s="1" a="1"/>
  <c r="F224" i="124" s="1"/>
  <c r="D112" i="124"/>
  <c r="H112" i="124" s="1"/>
  <c r="F222" i="124" s="1" a="1"/>
  <c r="F222" i="124" s="1"/>
  <c r="D110" i="124"/>
  <c r="H110" i="124" s="1"/>
  <c r="F220" i="124" s="1" a="1"/>
  <c r="F220" i="124" s="1"/>
  <c r="D108" i="124"/>
  <c r="H108" i="124" s="1"/>
  <c r="F218" i="124" s="1" a="1"/>
  <c r="F218" i="124" s="1"/>
  <c r="D106" i="124"/>
  <c r="H106" i="124" s="1"/>
  <c r="F216" i="124" s="1" a="1"/>
  <c r="F216" i="124" s="1"/>
  <c r="D104" i="124"/>
  <c r="H104" i="124" s="1"/>
  <c r="F214" i="124" s="1" a="1"/>
  <c r="F214" i="124" s="1"/>
  <c r="D102" i="124"/>
  <c r="H102" i="124" s="1"/>
  <c r="F212" i="124" s="1" a="1"/>
  <c r="F212" i="124" s="1"/>
  <c r="H180" i="135"/>
  <c r="G180" i="135"/>
  <c r="I180" i="135" s="1"/>
  <c r="K175" i="125"/>
  <c r="E181" i="125"/>
  <c r="F175" i="125"/>
  <c r="F178" i="127"/>
  <c r="K175" i="129"/>
  <c r="E181" i="129"/>
  <c r="F175" i="129"/>
  <c r="D181" i="139"/>
  <c r="H180" i="131"/>
  <c r="G180" i="131"/>
  <c r="I180" i="131" s="1"/>
  <c r="H179" i="123"/>
  <c r="G179" i="123"/>
  <c r="I179" i="123" s="1"/>
  <c r="K175" i="131"/>
  <c r="F175" i="131"/>
  <c r="E181" i="131"/>
  <c r="F179" i="131"/>
  <c r="G138" i="135"/>
  <c r="H137" i="135"/>
  <c r="J137" i="135" s="1"/>
  <c r="F180" i="127"/>
  <c r="G178" i="140"/>
  <c r="F177" i="139"/>
  <c r="K177" i="139"/>
  <c r="F179" i="139"/>
  <c r="D29" i="122"/>
  <c r="J176" i="126"/>
  <c r="K176" i="126" s="1"/>
  <c r="H180" i="129"/>
  <c r="G180" i="129"/>
  <c r="I180" i="129" s="1"/>
  <c r="K176" i="133"/>
  <c r="F176" i="133"/>
  <c r="D181" i="123"/>
  <c r="J175" i="130"/>
  <c r="K175" i="130" s="1"/>
  <c r="G80" i="122"/>
  <c r="H80" i="122"/>
  <c r="J178" i="125"/>
  <c r="D104" i="130"/>
  <c r="H104" i="130" s="1"/>
  <c r="F214" i="130" s="1" a="1"/>
  <c r="F214" i="130" s="1"/>
  <c r="D112" i="130"/>
  <c r="H112" i="130" s="1"/>
  <c r="F222" i="130" s="1" a="1"/>
  <c r="F222" i="130" s="1"/>
  <c r="D120" i="130"/>
  <c r="H120" i="130" s="1"/>
  <c r="F230" i="130" s="1" a="1"/>
  <c r="F230" i="130" s="1"/>
  <c r="D107" i="130"/>
  <c r="H107" i="130" s="1"/>
  <c r="F217" i="130" s="1" a="1"/>
  <c r="F217" i="130" s="1"/>
  <c r="J178" i="127"/>
  <c r="K178" i="127" s="1"/>
  <c r="F180" i="133"/>
  <c r="H179" i="137"/>
  <c r="G179" i="137"/>
  <c r="I179" i="137" s="1"/>
  <c r="D181" i="137"/>
  <c r="H180" i="123"/>
  <c r="G180" i="123"/>
  <c r="I180" i="123" s="1"/>
  <c r="G98" i="129"/>
  <c r="F177" i="127"/>
  <c r="K177" i="127"/>
  <c r="K134" i="140"/>
  <c r="K135" i="140" s="1"/>
  <c r="J135" i="140"/>
  <c r="F179" i="127"/>
  <c r="F180" i="135"/>
  <c r="J176" i="134"/>
  <c r="K176" i="125"/>
  <c r="F176" i="125"/>
  <c r="J175" i="126"/>
  <c r="D104" i="133"/>
  <c r="H104" i="133" s="1"/>
  <c r="F216" i="133" s="1" a="1"/>
  <c r="F216" i="133" s="1"/>
  <c r="D112" i="133"/>
  <c r="H112" i="133" s="1"/>
  <c r="F224" i="133" s="1" a="1"/>
  <c r="F224" i="133" s="1"/>
  <c r="D120" i="133"/>
  <c r="H120" i="133" s="1"/>
  <c r="F232" i="133" s="1" a="1"/>
  <c r="F232" i="133" s="1"/>
  <c r="D107" i="133"/>
  <c r="H107" i="133" s="1"/>
  <c r="F219" i="133" s="1" a="1"/>
  <c r="F219" i="133" s="1"/>
  <c r="D115" i="133"/>
  <c r="H115" i="133" s="1"/>
  <c r="F227" i="133" s="1" a="1"/>
  <c r="F227" i="133" s="1"/>
  <c r="J178" i="135"/>
  <c r="K178" i="135" s="1"/>
  <c r="F176" i="129"/>
  <c r="K176" i="129"/>
  <c r="J135" i="128"/>
  <c r="K134" i="128"/>
  <c r="K135" i="128" s="1"/>
  <c r="K175" i="123"/>
  <c r="E181" i="123"/>
  <c r="F175" i="123"/>
  <c r="F176" i="131"/>
  <c r="K176" i="131"/>
  <c r="J175" i="140"/>
  <c r="K175" i="140" s="1"/>
  <c r="G178" i="126"/>
  <c r="H180" i="137"/>
  <c r="G180" i="137"/>
  <c r="I180" i="137" s="1"/>
  <c r="D107" i="123"/>
  <c r="H107" i="123" s="1"/>
  <c r="F219" i="123" s="1" a="1"/>
  <c r="F219" i="123" s="1"/>
  <c r="D115" i="123"/>
  <c r="H115" i="123" s="1"/>
  <c r="F227" i="123" s="1" a="1"/>
  <c r="F227" i="123" s="1"/>
  <c r="D104" i="123"/>
  <c r="H104" i="123" s="1"/>
  <c r="F216" i="123" s="1" a="1"/>
  <c r="F216" i="123" s="1"/>
  <c r="D112" i="123"/>
  <c r="H112" i="123" s="1"/>
  <c r="F224" i="123" s="1" a="1"/>
  <c r="F224" i="123" s="1"/>
  <c r="D120" i="123"/>
  <c r="H120" i="123" s="1"/>
  <c r="F232" i="123" s="1" a="1"/>
  <c r="F232" i="123" s="1"/>
  <c r="E81" i="122"/>
  <c r="D107" i="131"/>
  <c r="H107" i="131" s="1"/>
  <c r="F219" i="131" s="1" a="1"/>
  <c r="F219" i="131" s="1"/>
  <c r="D104" i="131"/>
  <c r="H104" i="131" s="1"/>
  <c r="F216" i="131" s="1" a="1"/>
  <c r="F216" i="131" s="1"/>
  <c r="D120" i="131"/>
  <c r="H120" i="131" s="1"/>
  <c r="F232" i="131" s="1" a="1"/>
  <c r="F232" i="131" s="1"/>
  <c r="G29" i="122"/>
  <c r="K175" i="127"/>
  <c r="E181" i="127"/>
  <c r="F175" i="127"/>
  <c r="F80" i="122"/>
  <c r="J135" i="130"/>
  <c r="K134" i="130"/>
  <c r="K135" i="130" s="1"/>
  <c r="D122" i="135"/>
  <c r="H122" i="135" s="1"/>
  <c r="F234" i="135" s="1" a="1"/>
  <c r="F234" i="135" s="1"/>
  <c r="D120" i="135"/>
  <c r="H120" i="135" s="1"/>
  <c r="F232" i="135" s="1" a="1"/>
  <c r="F232" i="135" s="1"/>
  <c r="D118" i="135"/>
  <c r="H118" i="135" s="1"/>
  <c r="F230" i="135" s="1" a="1"/>
  <c r="F230" i="135" s="1"/>
  <c r="D116" i="135"/>
  <c r="H116" i="135" s="1"/>
  <c r="F228" i="135" s="1" a="1"/>
  <c r="F228" i="135" s="1"/>
  <c r="D114" i="135"/>
  <c r="H114" i="135" s="1"/>
  <c r="F226" i="135" s="1" a="1"/>
  <c r="F226" i="135" s="1"/>
  <c r="D112" i="135"/>
  <c r="H112" i="135" s="1"/>
  <c r="F224" i="135" s="1" a="1"/>
  <c r="F224" i="135" s="1"/>
  <c r="D110" i="135"/>
  <c r="H110" i="135" s="1"/>
  <c r="F222" i="135" s="1" a="1"/>
  <c r="F222" i="135" s="1"/>
  <c r="D108" i="135"/>
  <c r="H108" i="135" s="1"/>
  <c r="F220" i="135" s="1" a="1"/>
  <c r="F220" i="135" s="1"/>
  <c r="D106" i="135"/>
  <c r="H106" i="135" s="1"/>
  <c r="F218" i="135" s="1" a="1"/>
  <c r="F218" i="135" s="1"/>
  <c r="D104" i="135"/>
  <c r="H104" i="135" s="1"/>
  <c r="F216" i="135" s="1" a="1"/>
  <c r="F216" i="135" s="1"/>
  <c r="D121" i="135"/>
  <c r="H121" i="135" s="1"/>
  <c r="F233" i="135" s="1" a="1"/>
  <c r="F233" i="135" s="1"/>
  <c r="D119" i="135"/>
  <c r="H119" i="135" s="1"/>
  <c r="F231" i="135" s="1" a="1"/>
  <c r="F231" i="135" s="1"/>
  <c r="D117" i="135"/>
  <c r="H117" i="135" s="1"/>
  <c r="F229" i="135" s="1" a="1"/>
  <c r="F229" i="135" s="1"/>
  <c r="D115" i="135"/>
  <c r="H115" i="135" s="1"/>
  <c r="F227" i="135" s="1" a="1"/>
  <c r="F227" i="135" s="1"/>
  <c r="D113" i="135"/>
  <c r="H113" i="135" s="1"/>
  <c r="F225" i="135" s="1" a="1"/>
  <c r="F225" i="135" s="1"/>
  <c r="D111" i="135"/>
  <c r="H111" i="135" s="1"/>
  <c r="F223" i="135" s="1" a="1"/>
  <c r="F223" i="135" s="1"/>
  <c r="D109" i="135"/>
  <c r="H109" i="135" s="1"/>
  <c r="F221" i="135" s="1" a="1"/>
  <c r="F221" i="135" s="1"/>
  <c r="D107" i="135"/>
  <c r="H107" i="135" s="1"/>
  <c r="F219" i="135" s="1" a="1"/>
  <c r="F219" i="135" s="1"/>
  <c r="D105" i="135"/>
  <c r="H105" i="135" s="1"/>
  <c r="F217" i="135" s="1" a="1"/>
  <c r="F217" i="135" s="1"/>
  <c r="D103" i="135"/>
  <c r="H103" i="135" s="1"/>
  <c r="F215" i="135" s="1" a="1"/>
  <c r="F215" i="135" s="1"/>
  <c r="F179" i="137"/>
  <c r="F179" i="133"/>
  <c r="G179" i="127"/>
  <c r="I179" i="127" s="1"/>
  <c r="H179" i="127"/>
  <c r="F177" i="134"/>
  <c r="G178" i="132"/>
  <c r="K175" i="139"/>
  <c r="F175" i="139"/>
  <c r="E181" i="139"/>
  <c r="F178" i="135"/>
  <c r="G178" i="124"/>
  <c r="F180" i="129"/>
  <c r="G138" i="139"/>
  <c r="H137" i="139"/>
  <c r="J137" i="139" s="1"/>
  <c r="D80" i="122"/>
  <c r="K176" i="137"/>
  <c r="F176" i="137"/>
  <c r="H180" i="125"/>
  <c r="G180" i="125"/>
  <c r="I180" i="125" s="1"/>
  <c r="G138" i="137"/>
  <c r="H137" i="137"/>
  <c r="J137" i="137" s="1"/>
  <c r="F180" i="139"/>
  <c r="D97" i="122"/>
  <c r="F176" i="127"/>
  <c r="K176" i="127"/>
  <c r="K134" i="126"/>
  <c r="K135" i="126" s="1"/>
  <c r="J135" i="126"/>
  <c r="G178" i="128"/>
  <c r="F180" i="123"/>
  <c r="K137" i="123"/>
  <c r="K138" i="123" s="1"/>
  <c r="J138" i="123"/>
  <c r="E139" i="123" s="1"/>
  <c r="G138" i="129"/>
  <c r="H137" i="129"/>
  <c r="J137" i="129" s="1"/>
  <c r="F179" i="125"/>
  <c r="K137" i="131"/>
  <c r="K138" i="131" s="1"/>
  <c r="J138" i="131"/>
  <c r="G178" i="134"/>
  <c r="D106" i="133"/>
  <c r="H106" i="133" s="1"/>
  <c r="F218" i="133" s="1" a="1"/>
  <c r="F218" i="133" s="1"/>
  <c r="D114" i="133"/>
  <c r="H114" i="133" s="1"/>
  <c r="F226" i="133" s="1" a="1"/>
  <c r="F226" i="133" s="1"/>
  <c r="D122" i="133"/>
  <c r="H122" i="133" s="1"/>
  <c r="F234" i="133" s="1" a="1"/>
  <c r="F234" i="133" s="1"/>
  <c r="D109" i="133"/>
  <c r="H109" i="133" s="1"/>
  <c r="F221" i="133" s="1" a="1"/>
  <c r="F221" i="133" s="1"/>
  <c r="D117" i="133"/>
  <c r="H117" i="133" s="1"/>
  <c r="F229" i="133" s="1" a="1"/>
  <c r="F229" i="133" s="1"/>
  <c r="F178" i="131"/>
  <c r="G179" i="129"/>
  <c r="I179" i="129" s="1"/>
  <c r="H179" i="129"/>
  <c r="H179" i="135"/>
  <c r="G179" i="135"/>
  <c r="I179" i="135" s="1"/>
  <c r="D181" i="135"/>
  <c r="F177" i="123"/>
  <c r="K177" i="123"/>
  <c r="D119" i="136"/>
  <c r="H119" i="136" s="1"/>
  <c r="F229" i="136" s="1" a="1"/>
  <c r="F229" i="136" s="1"/>
  <c r="D117" i="136"/>
  <c r="H117" i="136" s="1"/>
  <c r="F227" i="136" s="1" a="1"/>
  <c r="F227" i="136" s="1"/>
  <c r="D115" i="136"/>
  <c r="H115" i="136" s="1"/>
  <c r="F225" i="136" s="1" a="1"/>
  <c r="F225" i="136" s="1"/>
  <c r="D113" i="136"/>
  <c r="H113" i="136" s="1"/>
  <c r="F223" i="136" s="1" a="1"/>
  <c r="F223" i="136" s="1"/>
  <c r="D111" i="136"/>
  <c r="H111" i="136" s="1"/>
  <c r="F221" i="136" s="1" a="1"/>
  <c r="F221" i="136" s="1"/>
  <c r="D109" i="136"/>
  <c r="H109" i="136" s="1"/>
  <c r="F219" i="136" s="1" a="1"/>
  <c r="F219" i="136" s="1"/>
  <c r="D107" i="136"/>
  <c r="H107" i="136" s="1"/>
  <c r="F217" i="136" s="1" a="1"/>
  <c r="F217" i="136" s="1"/>
  <c r="D105" i="136"/>
  <c r="H105" i="136" s="1"/>
  <c r="F215" i="136" s="1" a="1"/>
  <c r="F215" i="136" s="1"/>
  <c r="D103" i="136"/>
  <c r="H103" i="136" s="1"/>
  <c r="F213" i="136" s="1" a="1"/>
  <c r="F213" i="136" s="1"/>
  <c r="D101" i="136"/>
  <c r="H101" i="136" s="1"/>
  <c r="F211" i="136" s="1" a="1"/>
  <c r="F211" i="136" s="1"/>
  <c r="D120" i="136"/>
  <c r="H120" i="136" s="1"/>
  <c r="F230" i="136" s="1" a="1"/>
  <c r="F230" i="136" s="1"/>
  <c r="D118" i="136"/>
  <c r="H118" i="136" s="1"/>
  <c r="F228" i="136" s="1" a="1"/>
  <c r="F228" i="136" s="1"/>
  <c r="D116" i="136"/>
  <c r="H116" i="136" s="1"/>
  <c r="F226" i="136" s="1" a="1"/>
  <c r="F226" i="136" s="1"/>
  <c r="D114" i="136"/>
  <c r="H114" i="136" s="1"/>
  <c r="F224" i="136" s="1" a="1"/>
  <c r="F224" i="136" s="1"/>
  <c r="D112" i="136"/>
  <c r="H112" i="136" s="1"/>
  <c r="F222" i="136" s="1" a="1"/>
  <c r="F222" i="136" s="1"/>
  <c r="D110" i="136"/>
  <c r="H110" i="136" s="1"/>
  <c r="F220" i="136" s="1" a="1"/>
  <c r="F220" i="136" s="1"/>
  <c r="D108" i="136"/>
  <c r="H108" i="136" s="1"/>
  <c r="F218" i="136" s="1" a="1"/>
  <c r="F218" i="136" s="1"/>
  <c r="D106" i="136"/>
  <c r="H106" i="136" s="1"/>
  <c r="F216" i="136" s="1" a="1"/>
  <c r="F216" i="136" s="1"/>
  <c r="D104" i="136"/>
  <c r="H104" i="136" s="1"/>
  <c r="F214" i="136" s="1" a="1"/>
  <c r="F214" i="136" s="1"/>
  <c r="D102" i="136"/>
  <c r="H102" i="136" s="1"/>
  <c r="F212" i="136" s="1" a="1"/>
  <c r="F212" i="136" s="1"/>
  <c r="K177" i="131"/>
  <c r="F177" i="131"/>
  <c r="D122" i="127"/>
  <c r="H122" i="127" s="1"/>
  <c r="F234" i="127" s="1" a="1"/>
  <c r="F234" i="127" s="1"/>
  <c r="D120" i="127"/>
  <c r="H120" i="127" s="1"/>
  <c r="F232" i="127" s="1" a="1"/>
  <c r="F232" i="127" s="1"/>
  <c r="D118" i="127"/>
  <c r="H118" i="127" s="1"/>
  <c r="F230" i="127" s="1" a="1"/>
  <c r="F230" i="127" s="1"/>
  <c r="D116" i="127"/>
  <c r="H116" i="127" s="1"/>
  <c r="F228" i="127" s="1" a="1"/>
  <c r="F228" i="127" s="1"/>
  <c r="D114" i="127"/>
  <c r="H114" i="127" s="1"/>
  <c r="F226" i="127" s="1" a="1"/>
  <c r="F226" i="127" s="1"/>
  <c r="D112" i="127"/>
  <c r="H112" i="127" s="1"/>
  <c r="F224" i="127" s="1" a="1"/>
  <c r="F224" i="127" s="1"/>
  <c r="D110" i="127"/>
  <c r="H110" i="127" s="1"/>
  <c r="F222" i="127" s="1" a="1"/>
  <c r="F222" i="127" s="1"/>
  <c r="D108" i="127"/>
  <c r="H108" i="127" s="1"/>
  <c r="F220" i="127" s="1" a="1"/>
  <c r="F220" i="127" s="1"/>
  <c r="D106" i="127"/>
  <c r="H106" i="127" s="1"/>
  <c r="F218" i="127" s="1" a="1"/>
  <c r="F218" i="127" s="1"/>
  <c r="D104" i="127"/>
  <c r="H104" i="127" s="1"/>
  <c r="F216" i="127" s="1" a="1"/>
  <c r="F216" i="127" s="1"/>
  <c r="D121" i="127"/>
  <c r="H121" i="127" s="1"/>
  <c r="F233" i="127" s="1" a="1"/>
  <c r="F233" i="127" s="1"/>
  <c r="D113" i="127"/>
  <c r="H113" i="127" s="1"/>
  <c r="F225" i="127" s="1" a="1"/>
  <c r="F225" i="127" s="1"/>
  <c r="D105" i="127"/>
  <c r="H105" i="127" s="1"/>
  <c r="F217" i="127" s="1" a="1"/>
  <c r="F217" i="127" s="1"/>
  <c r="D119" i="127"/>
  <c r="H119" i="127" s="1"/>
  <c r="F231" i="127" s="1" a="1"/>
  <c r="F231" i="127" s="1"/>
  <c r="D111" i="127"/>
  <c r="H111" i="127" s="1"/>
  <c r="F223" i="127" s="1" a="1"/>
  <c r="F223" i="127" s="1"/>
  <c r="D103" i="127"/>
  <c r="H103" i="127" s="1"/>
  <c r="F215" i="127" s="1" a="1"/>
  <c r="F215" i="127" s="1"/>
  <c r="D117" i="127"/>
  <c r="H117" i="127" s="1"/>
  <c r="F229" i="127" s="1" a="1"/>
  <c r="F229" i="127" s="1"/>
  <c r="D109" i="127"/>
  <c r="H109" i="127" s="1"/>
  <c r="F221" i="127" s="1" a="1"/>
  <c r="F221" i="127" s="1"/>
  <c r="D115" i="127"/>
  <c r="H115" i="127" s="1"/>
  <c r="F227" i="127" s="1" a="1"/>
  <c r="F227" i="127" s="1"/>
  <c r="D107" i="127"/>
  <c r="H107" i="127" s="1"/>
  <c r="F219" i="127" s="1" a="1"/>
  <c r="F219" i="127" s="1"/>
  <c r="K137" i="127"/>
  <c r="K138" i="127" s="1"/>
  <c r="J138" i="127"/>
  <c r="F177" i="126"/>
  <c r="F180" i="137"/>
  <c r="K174" i="140"/>
  <c r="D109" i="123"/>
  <c r="H109" i="123" s="1"/>
  <c r="F221" i="123" s="1" a="1"/>
  <c r="F221" i="123" s="1"/>
  <c r="D117" i="123"/>
  <c r="H117" i="123" s="1"/>
  <c r="F229" i="123" s="1" a="1"/>
  <c r="F229" i="123" s="1"/>
  <c r="D106" i="123"/>
  <c r="H106" i="123" s="1"/>
  <c r="F218" i="123" s="1" a="1"/>
  <c r="F218" i="123" s="1"/>
  <c r="D114" i="123"/>
  <c r="H114" i="123" s="1"/>
  <c r="F226" i="123" s="1" a="1"/>
  <c r="F226" i="123" s="1"/>
  <c r="D122" i="123"/>
  <c r="H122" i="123" s="1"/>
  <c r="F234" i="123" s="1" a="1"/>
  <c r="F234" i="123" s="1"/>
  <c r="D109" i="131"/>
  <c r="H109" i="131" s="1"/>
  <c r="F221" i="131" s="1" a="1"/>
  <c r="F221" i="131" s="1"/>
  <c r="D117" i="131"/>
  <c r="H117" i="131" s="1"/>
  <c r="F229" i="131" s="1" a="1"/>
  <c r="F229" i="131" s="1"/>
  <c r="D106" i="131"/>
  <c r="H106" i="131" s="1"/>
  <c r="F218" i="131" s="1" a="1"/>
  <c r="F218" i="131" s="1"/>
  <c r="D114" i="131"/>
  <c r="H114" i="131" s="1"/>
  <c r="F226" i="131" s="1" a="1"/>
  <c r="F226" i="131" s="1"/>
  <c r="D122" i="131"/>
  <c r="H122" i="131" s="1"/>
  <c r="F234" i="131" s="1" a="1"/>
  <c r="F234" i="131" s="1"/>
  <c r="H29" i="122"/>
  <c r="K175" i="137"/>
  <c r="E181" i="137"/>
  <c r="F175" i="137"/>
  <c r="D159" i="132"/>
  <c r="H159" i="132" s="1"/>
  <c r="G229" i="132" s="1" a="1"/>
  <c r="G229" i="132" s="1"/>
  <c r="J229" i="132" s="1"/>
  <c r="D157" i="132"/>
  <c r="H157" i="132" s="1"/>
  <c r="G227" i="132" s="1" a="1"/>
  <c r="G227" i="132" s="1"/>
  <c r="D155" i="132"/>
  <c r="H155" i="132" s="1"/>
  <c r="G225" i="132" s="1" a="1"/>
  <c r="G225" i="132" s="1"/>
  <c r="D153" i="132"/>
  <c r="H153" i="132" s="1"/>
  <c r="G223" i="132" s="1" a="1"/>
  <c r="G223" i="132" s="1"/>
  <c r="D151" i="132"/>
  <c r="H151" i="132" s="1"/>
  <c r="G221" i="132" s="1" a="1"/>
  <c r="G221" i="132" s="1"/>
  <c r="J221" i="132" s="1"/>
  <c r="D149" i="132"/>
  <c r="H149" i="132" s="1"/>
  <c r="G219" i="132" s="1" a="1"/>
  <c r="G219" i="132" s="1"/>
  <c r="J219" i="132" s="1"/>
  <c r="D147" i="132"/>
  <c r="H147" i="132" s="1"/>
  <c r="G217" i="132" s="1" a="1"/>
  <c r="G217" i="132" s="1"/>
  <c r="J217" i="132" s="1"/>
  <c r="D145" i="132"/>
  <c r="H145" i="132" s="1"/>
  <c r="G215" i="132" s="1" a="1"/>
  <c r="G215" i="132" s="1"/>
  <c r="D143" i="132"/>
  <c r="H143" i="132" s="1"/>
  <c r="G213" i="132" s="1" a="1"/>
  <c r="G213" i="132" s="1"/>
  <c r="J213" i="132" s="1"/>
  <c r="D141" i="132"/>
  <c r="H141" i="132" s="1"/>
  <c r="G211" i="132" s="1" a="1"/>
  <c r="G211" i="132" s="1"/>
  <c r="J211" i="132" s="1"/>
  <c r="D160" i="132"/>
  <c r="H160" i="132" s="1"/>
  <c r="G230" i="132" s="1" a="1"/>
  <c r="G230" i="132" s="1"/>
  <c r="J230" i="132" s="1"/>
  <c r="D158" i="132"/>
  <c r="H158" i="132" s="1"/>
  <c r="G228" i="132" s="1" a="1"/>
  <c r="G228" i="132" s="1"/>
  <c r="D156" i="132"/>
  <c r="H156" i="132" s="1"/>
  <c r="G226" i="132" s="1" a="1"/>
  <c r="G226" i="132" s="1"/>
  <c r="J226" i="132" s="1"/>
  <c r="D154" i="132"/>
  <c r="H154" i="132" s="1"/>
  <c r="G224" i="132" s="1" a="1"/>
  <c r="G224" i="132" s="1"/>
  <c r="D152" i="132"/>
  <c r="H152" i="132" s="1"/>
  <c r="G222" i="132" s="1" a="1"/>
  <c r="G222" i="132" s="1"/>
  <c r="D150" i="132"/>
  <c r="H150" i="132" s="1"/>
  <c r="G220" i="132" s="1" a="1"/>
  <c r="G220" i="132" s="1"/>
  <c r="D148" i="132"/>
  <c r="H148" i="132" s="1"/>
  <c r="G218" i="132" s="1" a="1"/>
  <c r="G218" i="132" s="1"/>
  <c r="D146" i="132"/>
  <c r="H146" i="132" s="1"/>
  <c r="G216" i="132" s="1" a="1"/>
  <c r="G216" i="132" s="1"/>
  <c r="D144" i="132"/>
  <c r="H144" i="132" s="1"/>
  <c r="G214" i="132" s="1" a="1"/>
  <c r="G214" i="132" s="1"/>
  <c r="J214" i="132" s="1"/>
  <c r="D142" i="132"/>
  <c r="H142" i="132" s="1"/>
  <c r="G212" i="132" s="1" a="1"/>
  <c r="G212" i="132" s="1"/>
  <c r="H180" i="133"/>
  <c r="G180" i="133"/>
  <c r="I180" i="133" s="1"/>
  <c r="F177" i="137"/>
  <c r="K177" i="137"/>
  <c r="J136" i="140"/>
  <c r="K174" i="130"/>
  <c r="K137" i="125"/>
  <c r="K138" i="125" s="1"/>
  <c r="J138" i="125"/>
  <c r="F176" i="139"/>
  <c r="K176" i="139"/>
  <c r="F177" i="124"/>
  <c r="F29" i="122"/>
  <c r="E29" i="122"/>
  <c r="G178" i="136"/>
  <c r="J177" i="132"/>
  <c r="K134" i="136"/>
  <c r="K135" i="136" s="1"/>
  <c r="J135" i="136"/>
  <c r="K174" i="132"/>
  <c r="K177" i="132" s="1"/>
  <c r="F180" i="125"/>
  <c r="J138" i="133"/>
  <c r="K137" i="133"/>
  <c r="K138" i="133" s="1"/>
  <c r="J225" i="132"/>
  <c r="J222" i="132"/>
  <c r="H180" i="139"/>
  <c r="G180" i="139"/>
  <c r="I180" i="139" s="1"/>
  <c r="E181" i="133"/>
  <c r="F175" i="133"/>
  <c r="F181" i="133" s="1"/>
  <c r="K175" i="133"/>
  <c r="H179" i="133"/>
  <c r="G179" i="133"/>
  <c r="I179" i="133" s="1"/>
  <c r="K134" i="134"/>
  <c r="K135" i="134" s="1"/>
  <c r="J135" i="134"/>
  <c r="F177" i="125"/>
  <c r="K177" i="125"/>
  <c r="H179" i="125"/>
  <c r="G179" i="125"/>
  <c r="I179" i="125" s="1"/>
  <c r="K174" i="124"/>
  <c r="D108" i="133"/>
  <c r="H108" i="133" s="1"/>
  <c r="F220" i="133" s="1" a="1"/>
  <c r="F220" i="133" s="1"/>
  <c r="D116" i="133"/>
  <c r="H116" i="133" s="1"/>
  <c r="F228" i="133" s="1" a="1"/>
  <c r="F228" i="133" s="1"/>
  <c r="D103" i="133"/>
  <c r="H103" i="133" s="1"/>
  <c r="F215" i="133" s="1" a="1"/>
  <c r="F215" i="133" s="1"/>
  <c r="D111" i="133"/>
  <c r="H111" i="133" s="1"/>
  <c r="F223" i="133" s="1" a="1"/>
  <c r="F223" i="133" s="1"/>
  <c r="D122" i="137"/>
  <c r="H122" i="137" s="1"/>
  <c r="F234" i="137" s="1" a="1"/>
  <c r="F234" i="137" s="1"/>
  <c r="D120" i="137"/>
  <c r="H120" i="137" s="1"/>
  <c r="F232" i="137" s="1" a="1"/>
  <c r="F232" i="137" s="1"/>
  <c r="D118" i="137"/>
  <c r="H118" i="137" s="1"/>
  <c r="F230" i="137" s="1" a="1"/>
  <c r="F230" i="137" s="1"/>
  <c r="D116" i="137"/>
  <c r="H116" i="137" s="1"/>
  <c r="F228" i="137" s="1" a="1"/>
  <c r="F228" i="137" s="1"/>
  <c r="D114" i="137"/>
  <c r="H114" i="137" s="1"/>
  <c r="F226" i="137" s="1" a="1"/>
  <c r="F226" i="137" s="1"/>
  <c r="D112" i="137"/>
  <c r="H112" i="137" s="1"/>
  <c r="F224" i="137" s="1" a="1"/>
  <c r="F224" i="137" s="1"/>
  <c r="D110" i="137"/>
  <c r="H110" i="137" s="1"/>
  <c r="F222" i="137" s="1" a="1"/>
  <c r="F222" i="137" s="1"/>
  <c r="D108" i="137"/>
  <c r="H108" i="137" s="1"/>
  <c r="F220" i="137" s="1" a="1"/>
  <c r="F220" i="137" s="1"/>
  <c r="D106" i="137"/>
  <c r="H106" i="137" s="1"/>
  <c r="F218" i="137" s="1" a="1"/>
  <c r="F218" i="137" s="1"/>
  <c r="D104" i="137"/>
  <c r="H104" i="137" s="1"/>
  <c r="F216" i="137" s="1" a="1"/>
  <c r="F216" i="137" s="1"/>
  <c r="D121" i="137"/>
  <c r="H121" i="137" s="1"/>
  <c r="F233" i="137" s="1" a="1"/>
  <c r="F233" i="137" s="1"/>
  <c r="D119" i="137"/>
  <c r="H119" i="137" s="1"/>
  <c r="F231" i="137" s="1" a="1"/>
  <c r="F231" i="137" s="1"/>
  <c r="D117" i="137"/>
  <c r="H117" i="137" s="1"/>
  <c r="F229" i="137" s="1" a="1"/>
  <c r="F229" i="137" s="1"/>
  <c r="D115" i="137"/>
  <c r="H115" i="137" s="1"/>
  <c r="F227" i="137" s="1" a="1"/>
  <c r="F227" i="137" s="1"/>
  <c r="D113" i="137"/>
  <c r="H113" i="137" s="1"/>
  <c r="F225" i="137" s="1" a="1"/>
  <c r="F225" i="137" s="1"/>
  <c r="D111" i="137"/>
  <c r="H111" i="137" s="1"/>
  <c r="F223" i="137" s="1" a="1"/>
  <c r="F223" i="137" s="1"/>
  <c r="D109" i="137"/>
  <c r="H109" i="137" s="1"/>
  <c r="F221" i="137" s="1" a="1"/>
  <c r="F221" i="137" s="1"/>
  <c r="D107" i="137"/>
  <c r="H107" i="137" s="1"/>
  <c r="F219" i="137" s="1" a="1"/>
  <c r="F219" i="137" s="1"/>
  <c r="D105" i="137"/>
  <c r="H105" i="137" s="1"/>
  <c r="F217" i="137" s="1" a="1"/>
  <c r="F217" i="137" s="1"/>
  <c r="D103" i="137"/>
  <c r="H103" i="137" s="1"/>
  <c r="F215" i="137" s="1" a="1"/>
  <c r="F215" i="137" s="1"/>
  <c r="K177" i="129"/>
  <c r="F177" i="129"/>
  <c r="F179" i="129"/>
  <c r="F179" i="135"/>
  <c r="F180" i="131"/>
  <c r="J178" i="133"/>
  <c r="K98" i="139"/>
  <c r="D120" i="139" s="1"/>
  <c r="H120" i="139" s="1"/>
  <c r="F232" i="139" s="1" a="1"/>
  <c r="F232" i="139" s="1"/>
  <c r="F179" i="123"/>
  <c r="H179" i="131"/>
  <c r="G179" i="131"/>
  <c r="I179" i="131" s="1"/>
  <c r="D181" i="131"/>
  <c r="F181" i="135"/>
  <c r="K98" i="125"/>
  <c r="D118" i="125" s="1"/>
  <c r="H118" i="125" s="1"/>
  <c r="F230" i="125" s="1" a="1"/>
  <c r="F230" i="125" s="1"/>
  <c r="H180" i="127"/>
  <c r="G180" i="127"/>
  <c r="I180" i="127" s="1"/>
  <c r="J178" i="139"/>
  <c r="K178" i="139" s="1"/>
  <c r="D103" i="123"/>
  <c r="H103" i="123" s="1"/>
  <c r="F215" i="123" s="1" a="1"/>
  <c r="F215" i="123" s="1"/>
  <c r="D111" i="123"/>
  <c r="H111" i="123" s="1"/>
  <c r="F223" i="123" s="1" a="1"/>
  <c r="F223" i="123" s="1"/>
  <c r="D119" i="123"/>
  <c r="H119" i="123" s="1"/>
  <c r="F231" i="123" s="1" a="1"/>
  <c r="F231" i="123" s="1"/>
  <c r="D108" i="123"/>
  <c r="H108" i="123" s="1"/>
  <c r="F220" i="123" s="1" a="1"/>
  <c r="F220" i="123" s="1"/>
  <c r="D116" i="123"/>
  <c r="H116" i="123" s="1"/>
  <c r="F228" i="123" s="1" a="1"/>
  <c r="F228" i="123" s="1"/>
  <c r="J177" i="138"/>
  <c r="D103" i="131"/>
  <c r="H103" i="131" s="1"/>
  <c r="F215" i="131" s="1" a="1"/>
  <c r="F215" i="131" s="1"/>
  <c r="D111" i="131"/>
  <c r="H111" i="131" s="1"/>
  <c r="F223" i="131" s="1" a="1"/>
  <c r="F223" i="131" s="1"/>
  <c r="D119" i="131"/>
  <c r="H119" i="131" s="1"/>
  <c r="F231" i="131" s="1" a="1"/>
  <c r="F231" i="131" s="1"/>
  <c r="D108" i="131"/>
  <c r="H108" i="131" s="1"/>
  <c r="F220" i="131" s="1" a="1"/>
  <c r="F220" i="131" s="1"/>
  <c r="D116" i="131"/>
  <c r="H116" i="131" s="1"/>
  <c r="F228" i="131" s="1" a="1"/>
  <c r="F228" i="131" s="1"/>
  <c r="D105" i="123"/>
  <c r="H105" i="123" s="1"/>
  <c r="F217" i="123" s="1" a="1"/>
  <c r="F217" i="123" s="1"/>
  <c r="D113" i="123"/>
  <c r="H113" i="123" s="1"/>
  <c r="F225" i="123" s="1" a="1"/>
  <c r="F225" i="123" s="1"/>
  <c r="D121" i="123"/>
  <c r="H121" i="123" s="1"/>
  <c r="F233" i="123" s="1" a="1"/>
  <c r="F233" i="123" s="1"/>
  <c r="D110" i="123"/>
  <c r="H110" i="123" s="1"/>
  <c r="F222" i="123" s="1" a="1"/>
  <c r="F222" i="123" s="1"/>
  <c r="D81" i="122"/>
  <c r="D105" i="131"/>
  <c r="H105" i="131" s="1"/>
  <c r="F217" i="131" s="1" a="1"/>
  <c r="F217" i="131" s="1"/>
  <c r="D113" i="131"/>
  <c r="H113" i="131" s="1"/>
  <c r="F225" i="131" s="1" a="1"/>
  <c r="F225" i="131" s="1"/>
  <c r="D121" i="131"/>
  <c r="H121" i="131" s="1"/>
  <c r="F233" i="131" s="1" a="1"/>
  <c r="F233" i="131" s="1"/>
  <c r="D110" i="131"/>
  <c r="H110" i="131" s="1"/>
  <c r="F222" i="131" s="1" a="1"/>
  <c r="F222" i="131" s="1"/>
  <c r="J96" i="27"/>
  <c r="J94" i="27"/>
  <c r="N95" i="27"/>
  <c r="H86" i="27"/>
  <c r="N84" i="27"/>
  <c r="F113" i="20"/>
  <c r="F112" i="20"/>
  <c r="F111" i="20"/>
  <c r="F110" i="20"/>
  <c r="F109" i="20"/>
  <c r="F108" i="20"/>
  <c r="F107" i="20"/>
  <c r="F106" i="20"/>
  <c r="F105" i="20"/>
  <c r="I95" i="20"/>
  <c r="I94" i="20"/>
  <c r="B104" i="22"/>
  <c r="J103" i="22"/>
  <c r="M103" i="22"/>
  <c r="M102" i="20" s="1"/>
  <c r="G102" i="20" s="1"/>
  <c r="H102" i="20" s="1"/>
  <c r="K103" i="22"/>
  <c r="B103" i="22"/>
  <c r="B102" i="22"/>
  <c r="B101" i="22"/>
  <c r="B100" i="22"/>
  <c r="B99" i="22"/>
  <c r="B98" i="22"/>
  <c r="B97" i="22"/>
  <c r="B96" i="22"/>
  <c r="B95" i="22"/>
  <c r="D115" i="131" l="1"/>
  <c r="H115" i="131" s="1"/>
  <c r="F227" i="131" s="1" a="1"/>
  <c r="F227" i="131" s="1"/>
  <c r="D112" i="131"/>
  <c r="H112" i="131" s="1"/>
  <c r="F224" i="131" s="1" a="1"/>
  <c r="F224" i="131" s="1"/>
  <c r="J139" i="131"/>
  <c r="H81" i="122"/>
  <c r="K177" i="124"/>
  <c r="J177" i="140"/>
  <c r="F81" i="122"/>
  <c r="H179" i="138"/>
  <c r="E139" i="131"/>
  <c r="E136" i="124"/>
  <c r="J139" i="127"/>
  <c r="D158" i="127" s="1"/>
  <c r="H158" i="127" s="1"/>
  <c r="G229" i="127" s="1" a="1"/>
  <c r="G229" i="127" s="1"/>
  <c r="J229" i="127" s="1"/>
  <c r="J139" i="123"/>
  <c r="D163" i="123" s="1"/>
  <c r="H163" i="123" s="1"/>
  <c r="G234" i="123" s="1" a="1"/>
  <c r="G234" i="123" s="1"/>
  <c r="J234" i="123" s="1"/>
  <c r="J136" i="126"/>
  <c r="E136" i="126"/>
  <c r="E136" i="128"/>
  <c r="J180" i="133"/>
  <c r="K180" i="133" s="1"/>
  <c r="E136" i="130"/>
  <c r="J136" i="128"/>
  <c r="J180" i="131"/>
  <c r="K180" i="131" s="1"/>
  <c r="J136" i="124"/>
  <c r="J177" i="124"/>
  <c r="E136" i="134"/>
  <c r="E139" i="127"/>
  <c r="J179" i="125"/>
  <c r="K179" i="125" s="1"/>
  <c r="E136" i="140"/>
  <c r="D157" i="140" s="1"/>
  <c r="H157" i="140" s="1"/>
  <c r="G227" i="140" s="1" a="1"/>
  <c r="G227" i="140" s="1"/>
  <c r="J179" i="131"/>
  <c r="K179" i="131" s="1"/>
  <c r="E139" i="133"/>
  <c r="J136" i="136"/>
  <c r="E139" i="125"/>
  <c r="J177" i="136"/>
  <c r="J180" i="139"/>
  <c r="K180" i="139" s="1"/>
  <c r="J139" i="125"/>
  <c r="K177" i="140"/>
  <c r="J179" i="127"/>
  <c r="K179" i="127" s="1"/>
  <c r="J136" i="130"/>
  <c r="D158" i="130" s="1"/>
  <c r="H158" i="130" s="1"/>
  <c r="G228" i="130" s="1" a="1"/>
  <c r="G228" i="130" s="1"/>
  <c r="J177" i="128"/>
  <c r="K180" i="128" s="1"/>
  <c r="K177" i="130"/>
  <c r="J225" i="138"/>
  <c r="J180" i="127"/>
  <c r="K180" i="127" s="1"/>
  <c r="K175" i="136"/>
  <c r="K177" i="136" s="1"/>
  <c r="J136" i="134"/>
  <c r="J139" i="133"/>
  <c r="E136" i="136"/>
  <c r="J177" i="130"/>
  <c r="K180" i="124"/>
  <c r="K180" i="132"/>
  <c r="H179" i="132"/>
  <c r="D74" i="122"/>
  <c r="D104" i="139"/>
  <c r="H104" i="139" s="1"/>
  <c r="F216" i="139" s="1" a="1"/>
  <c r="F216" i="139" s="1"/>
  <c r="D121" i="139"/>
  <c r="H121" i="139" s="1"/>
  <c r="F233" i="139" s="1" a="1"/>
  <c r="F233" i="139" s="1"/>
  <c r="D109" i="139"/>
  <c r="H109" i="139" s="1"/>
  <c r="F221" i="139" s="1" a="1"/>
  <c r="F221" i="139" s="1"/>
  <c r="D114" i="139"/>
  <c r="H114" i="139" s="1"/>
  <c r="F226" i="139" s="1" a="1"/>
  <c r="F226" i="139" s="1"/>
  <c r="D122" i="139"/>
  <c r="H122" i="139" s="1"/>
  <c r="F234" i="139" s="1" a="1"/>
  <c r="F234" i="139" s="1"/>
  <c r="J181" i="131"/>
  <c r="F181" i="137"/>
  <c r="F63" i="122"/>
  <c r="E63" i="122"/>
  <c r="J223" i="132"/>
  <c r="D107" i="125"/>
  <c r="H107" i="125" s="1"/>
  <c r="F219" i="125" s="1" a="1"/>
  <c r="F219" i="125" s="1"/>
  <c r="D115" i="125"/>
  <c r="H115" i="125" s="1"/>
  <c r="F227" i="125" s="1" a="1"/>
  <c r="F227" i="125" s="1"/>
  <c r="D104" i="125"/>
  <c r="H104" i="125" s="1"/>
  <c r="F216" i="125" s="1" a="1"/>
  <c r="F216" i="125" s="1"/>
  <c r="D112" i="125"/>
  <c r="H112" i="125" s="1"/>
  <c r="F224" i="125" s="1" a="1"/>
  <c r="F224" i="125" s="1"/>
  <c r="D120" i="125"/>
  <c r="H120" i="125" s="1"/>
  <c r="F232" i="125" s="1" a="1"/>
  <c r="F232" i="125" s="1"/>
  <c r="E57" i="122"/>
  <c r="F57" i="122"/>
  <c r="F7" i="122"/>
  <c r="F181" i="123"/>
  <c r="F40" i="122"/>
  <c r="J214" i="130"/>
  <c r="G182" i="125"/>
  <c r="K180" i="138"/>
  <c r="D7" i="122"/>
  <c r="D160" i="127"/>
  <c r="H160" i="127" s="1"/>
  <c r="G231" i="127" s="1" a="1"/>
  <c r="G231" i="127" s="1"/>
  <c r="D156" i="127"/>
  <c r="H156" i="127" s="1"/>
  <c r="G227" i="127" s="1" a="1"/>
  <c r="G227" i="127" s="1"/>
  <c r="D152" i="127"/>
  <c r="H152" i="127" s="1"/>
  <c r="G223" i="127" s="1" a="1"/>
  <c r="G223" i="127" s="1"/>
  <c r="D148" i="127"/>
  <c r="H148" i="127" s="1"/>
  <c r="G219" i="127" s="1" a="1"/>
  <c r="G219" i="127" s="1"/>
  <c r="D144" i="127"/>
  <c r="H144" i="127" s="1"/>
  <c r="G215" i="127" s="1" a="1"/>
  <c r="G215" i="127" s="1"/>
  <c r="D161" i="127"/>
  <c r="H161" i="127" s="1"/>
  <c r="G232" i="127" s="1" a="1"/>
  <c r="G232" i="127" s="1"/>
  <c r="D157" i="127"/>
  <c r="H157" i="127" s="1"/>
  <c r="G228" i="127" s="1" a="1"/>
  <c r="G228" i="127" s="1"/>
  <c r="D153" i="127"/>
  <c r="H153" i="127" s="1"/>
  <c r="G224" i="127" s="1" a="1"/>
  <c r="G224" i="127" s="1"/>
  <c r="D149" i="127"/>
  <c r="H149" i="127" s="1"/>
  <c r="G220" i="127" s="1" a="1"/>
  <c r="G220" i="127" s="1"/>
  <c r="D145" i="127"/>
  <c r="H145" i="127" s="1"/>
  <c r="G216" i="127" s="1" a="1"/>
  <c r="G216" i="127" s="1"/>
  <c r="D40" i="122"/>
  <c r="D162" i="131"/>
  <c r="H162" i="131" s="1"/>
  <c r="G233" i="131" s="1" a="1"/>
  <c r="G233" i="131" s="1"/>
  <c r="D154" i="131"/>
  <c r="H154" i="131" s="1"/>
  <c r="G225" i="131" s="1" a="1"/>
  <c r="G225" i="131" s="1"/>
  <c r="D146" i="131"/>
  <c r="H146" i="131" s="1"/>
  <c r="G217" i="131" s="1" a="1"/>
  <c r="G217" i="131" s="1"/>
  <c r="D157" i="131"/>
  <c r="H157" i="131" s="1"/>
  <c r="G228" i="131" s="1" a="1"/>
  <c r="G228" i="131" s="1"/>
  <c r="J228" i="131" s="1"/>
  <c r="D149" i="131"/>
  <c r="H149" i="131" s="1"/>
  <c r="G220" i="131" s="1" a="1"/>
  <c r="G220" i="131" s="1"/>
  <c r="D160" i="131"/>
  <c r="H160" i="131" s="1"/>
  <c r="G231" i="131" s="1" a="1"/>
  <c r="G231" i="131" s="1"/>
  <c r="J231" i="131" s="1"/>
  <c r="D152" i="131"/>
  <c r="H152" i="131" s="1"/>
  <c r="G223" i="131" s="1" a="1"/>
  <c r="G223" i="131" s="1"/>
  <c r="D144" i="131"/>
  <c r="H144" i="131" s="1"/>
  <c r="G215" i="131" s="1" a="1"/>
  <c r="G215" i="131" s="1"/>
  <c r="D159" i="131"/>
  <c r="H159" i="131" s="1"/>
  <c r="G230" i="131" s="1" a="1"/>
  <c r="G230" i="131" s="1"/>
  <c r="D151" i="131"/>
  <c r="H151" i="131" s="1"/>
  <c r="G222" i="131" s="1" a="1"/>
  <c r="G222" i="131" s="1"/>
  <c r="J222" i="131" s="1"/>
  <c r="D157" i="123"/>
  <c r="H157" i="123" s="1"/>
  <c r="G228" i="123" s="1" a="1"/>
  <c r="G228" i="123" s="1"/>
  <c r="D149" i="123"/>
  <c r="H149" i="123" s="1"/>
  <c r="G220" i="123" s="1" a="1"/>
  <c r="G220" i="123" s="1"/>
  <c r="J220" i="123" s="1"/>
  <c r="D160" i="123"/>
  <c r="H160" i="123" s="1"/>
  <c r="G231" i="123" s="1" a="1"/>
  <c r="G231" i="123" s="1"/>
  <c r="J231" i="123" s="1"/>
  <c r="D152" i="123"/>
  <c r="H152" i="123" s="1"/>
  <c r="G223" i="123" s="1" a="1"/>
  <c r="G223" i="123" s="1"/>
  <c r="D144" i="123"/>
  <c r="H144" i="123" s="1"/>
  <c r="G215" i="123" s="1" a="1"/>
  <c r="G215" i="123" s="1"/>
  <c r="J215" i="123" s="1"/>
  <c r="J179" i="133"/>
  <c r="K179" i="133" s="1"/>
  <c r="D119" i="139"/>
  <c r="H119" i="139" s="1"/>
  <c r="F231" i="139" s="1" a="1"/>
  <c r="F231" i="139" s="1"/>
  <c r="D106" i="139"/>
  <c r="H106" i="139" s="1"/>
  <c r="F218" i="139" s="1" a="1"/>
  <c r="F218" i="139" s="1"/>
  <c r="D103" i="139"/>
  <c r="H103" i="139" s="1"/>
  <c r="F215" i="139" s="1" a="1"/>
  <c r="F215" i="139" s="1"/>
  <c r="D117" i="139"/>
  <c r="H117" i="139" s="1"/>
  <c r="F229" i="139" s="1" a="1"/>
  <c r="F229" i="139" s="1"/>
  <c r="D116" i="139"/>
  <c r="H116" i="139" s="1"/>
  <c r="F228" i="139" s="1" a="1"/>
  <c r="F228" i="139" s="1"/>
  <c r="G182" i="137"/>
  <c r="J218" i="127"/>
  <c r="J234" i="127"/>
  <c r="H63" i="122"/>
  <c r="G63" i="122"/>
  <c r="H40" i="122"/>
  <c r="J228" i="132"/>
  <c r="J215" i="132"/>
  <c r="J180" i="125"/>
  <c r="K180" i="125" s="1"/>
  <c r="D109" i="125"/>
  <c r="H109" i="125" s="1"/>
  <c r="F221" i="125" s="1" a="1"/>
  <c r="F221" i="125" s="1"/>
  <c r="D117" i="125"/>
  <c r="H117" i="125" s="1"/>
  <c r="F229" i="125" s="1" a="1"/>
  <c r="F229" i="125" s="1"/>
  <c r="D106" i="125"/>
  <c r="H106" i="125" s="1"/>
  <c r="F218" i="125" s="1" a="1"/>
  <c r="F218" i="125" s="1"/>
  <c r="D114" i="125"/>
  <c r="H114" i="125" s="1"/>
  <c r="F226" i="125" s="1" a="1"/>
  <c r="F226" i="125" s="1"/>
  <c r="D122" i="125"/>
  <c r="H122" i="125" s="1"/>
  <c r="F234" i="125" s="1" a="1"/>
  <c r="F234" i="125" s="1"/>
  <c r="G182" i="139"/>
  <c r="G57" i="122"/>
  <c r="H57" i="122"/>
  <c r="J180" i="137"/>
  <c r="K180" i="137" s="1"/>
  <c r="G182" i="123"/>
  <c r="J180" i="123"/>
  <c r="K180" i="123" s="1"/>
  <c r="J179" i="137"/>
  <c r="J217" i="130"/>
  <c r="D155" i="124"/>
  <c r="H155" i="124" s="1"/>
  <c r="G225" i="124" s="1" a="1"/>
  <c r="G225" i="124" s="1"/>
  <c r="J225" i="124" s="1"/>
  <c r="K178" i="125"/>
  <c r="K137" i="135"/>
  <c r="K138" i="135" s="1"/>
  <c r="J138" i="135"/>
  <c r="G182" i="131"/>
  <c r="J179" i="123"/>
  <c r="F13" i="122"/>
  <c r="E13" i="122"/>
  <c r="J225" i="131"/>
  <c r="J215" i="131"/>
  <c r="E74" i="122"/>
  <c r="F74" i="122"/>
  <c r="J181" i="127"/>
  <c r="D115" i="139"/>
  <c r="H115" i="139" s="1"/>
  <c r="F227" i="139" s="1" a="1"/>
  <c r="F227" i="139" s="1"/>
  <c r="D108" i="139"/>
  <c r="H108" i="139" s="1"/>
  <c r="F220" i="139" s="1" a="1"/>
  <c r="F220" i="139" s="1"/>
  <c r="D105" i="139"/>
  <c r="H105" i="139" s="1"/>
  <c r="F217" i="139" s="1" a="1"/>
  <c r="F217" i="139" s="1"/>
  <c r="D110" i="139"/>
  <c r="H110" i="139" s="1"/>
  <c r="F222" i="139" s="1" a="1"/>
  <c r="F222" i="139" s="1"/>
  <c r="D118" i="139"/>
  <c r="H118" i="139" s="1"/>
  <c r="F230" i="139" s="1" a="1"/>
  <c r="F230" i="139" s="1"/>
  <c r="G7" i="122"/>
  <c r="J219" i="127"/>
  <c r="J215" i="127"/>
  <c r="J225" i="127"/>
  <c r="J220" i="127"/>
  <c r="J228" i="127"/>
  <c r="D63" i="122"/>
  <c r="J179" i="135"/>
  <c r="K179" i="135" s="1"/>
  <c r="K137" i="129"/>
  <c r="K138" i="129" s="1"/>
  <c r="J138" i="129"/>
  <c r="J220" i="132"/>
  <c r="K137" i="137"/>
  <c r="K138" i="137" s="1"/>
  <c r="J138" i="137"/>
  <c r="D103" i="125"/>
  <c r="H103" i="125" s="1"/>
  <c r="F215" i="125" s="1" a="1"/>
  <c r="F215" i="125" s="1"/>
  <c r="D111" i="125"/>
  <c r="H111" i="125" s="1"/>
  <c r="F223" i="125" s="1" a="1"/>
  <c r="F223" i="125" s="1"/>
  <c r="D119" i="125"/>
  <c r="H119" i="125" s="1"/>
  <c r="F231" i="125" s="1" a="1"/>
  <c r="F231" i="125" s="1"/>
  <c r="D108" i="125"/>
  <c r="H108" i="125" s="1"/>
  <c r="F220" i="125" s="1" a="1"/>
  <c r="F220" i="125" s="1"/>
  <c r="D116" i="125"/>
  <c r="H116" i="125" s="1"/>
  <c r="F228" i="125" s="1" a="1"/>
  <c r="F228" i="125" s="1"/>
  <c r="F181" i="139"/>
  <c r="D57" i="122"/>
  <c r="J227" i="132"/>
  <c r="F181" i="127"/>
  <c r="E40" i="122"/>
  <c r="J177" i="134"/>
  <c r="K176" i="134"/>
  <c r="K177" i="134" s="1"/>
  <c r="J230" i="130"/>
  <c r="F181" i="131"/>
  <c r="F181" i="129"/>
  <c r="H13" i="122"/>
  <c r="G13" i="122"/>
  <c r="J233" i="131"/>
  <c r="J220" i="131"/>
  <c r="K178" i="133"/>
  <c r="G74" i="122"/>
  <c r="H74" i="122"/>
  <c r="D159" i="126"/>
  <c r="H159" i="126" s="1"/>
  <c r="G229" i="126" s="1" a="1"/>
  <c r="G229" i="126" s="1"/>
  <c r="D151" i="126"/>
  <c r="H151" i="126" s="1"/>
  <c r="G221" i="126" s="1" a="1"/>
  <c r="G221" i="126" s="1"/>
  <c r="D143" i="126"/>
  <c r="H143" i="126" s="1"/>
  <c r="G213" i="126" s="1" a="1"/>
  <c r="G213" i="126" s="1"/>
  <c r="D156" i="126"/>
  <c r="H156" i="126" s="1"/>
  <c r="G226" i="126" s="1" a="1"/>
  <c r="G226" i="126" s="1"/>
  <c r="D148" i="126"/>
  <c r="H148" i="126" s="1"/>
  <c r="G218" i="126" s="1" a="1"/>
  <c r="G218" i="126" s="1"/>
  <c r="G182" i="133"/>
  <c r="D111" i="139"/>
  <c r="H111" i="139" s="1"/>
  <c r="F223" i="139" s="1" a="1"/>
  <c r="F223" i="139" s="1"/>
  <c r="D113" i="139"/>
  <c r="H113" i="139" s="1"/>
  <c r="F225" i="139" s="1" a="1"/>
  <c r="F225" i="139" s="1"/>
  <c r="D107" i="139"/>
  <c r="H107" i="139" s="1"/>
  <c r="F219" i="139" s="1" a="1"/>
  <c r="F219" i="139" s="1"/>
  <c r="D112" i="139"/>
  <c r="H112" i="139" s="1"/>
  <c r="F224" i="139" s="1" a="1"/>
  <c r="F224" i="139" s="1"/>
  <c r="D153" i="140"/>
  <c r="H153" i="140" s="1"/>
  <c r="G223" i="140" s="1" a="1"/>
  <c r="G223" i="140" s="1"/>
  <c r="D145" i="140"/>
  <c r="H145" i="140" s="1"/>
  <c r="G215" i="140" s="1" a="1"/>
  <c r="G215" i="140" s="1"/>
  <c r="D148" i="140"/>
  <c r="H148" i="140" s="1"/>
  <c r="G218" i="140" s="1" a="1"/>
  <c r="G218" i="140" s="1"/>
  <c r="D146" i="140"/>
  <c r="H146" i="140" s="1"/>
  <c r="G216" i="140" s="1" a="1"/>
  <c r="G216" i="140" s="1"/>
  <c r="D152" i="140"/>
  <c r="H152" i="140" s="1"/>
  <c r="G222" i="140" s="1" a="1"/>
  <c r="G222" i="140" s="1"/>
  <c r="J216" i="132"/>
  <c r="H7" i="122"/>
  <c r="J227" i="127"/>
  <c r="J223" i="127"/>
  <c r="J233" i="127"/>
  <c r="J222" i="127"/>
  <c r="J230" i="127"/>
  <c r="D160" i="128"/>
  <c r="H160" i="128" s="1"/>
  <c r="G230" i="128" s="1" a="1"/>
  <c r="G230" i="128" s="1"/>
  <c r="D158" i="128"/>
  <c r="H158" i="128" s="1"/>
  <c r="G228" i="128" s="1" a="1"/>
  <c r="G228" i="128" s="1"/>
  <c r="D156" i="128"/>
  <c r="H156" i="128" s="1"/>
  <c r="G226" i="128" s="1" a="1"/>
  <c r="G226" i="128" s="1"/>
  <c r="D154" i="128"/>
  <c r="H154" i="128" s="1"/>
  <c r="G224" i="128" s="1" a="1"/>
  <c r="G224" i="128" s="1"/>
  <c r="D152" i="128"/>
  <c r="H152" i="128" s="1"/>
  <c r="G222" i="128" s="1" a="1"/>
  <c r="G222" i="128" s="1"/>
  <c r="D150" i="128"/>
  <c r="H150" i="128" s="1"/>
  <c r="G220" i="128" s="1" a="1"/>
  <c r="G220" i="128" s="1"/>
  <c r="D148" i="128"/>
  <c r="H148" i="128" s="1"/>
  <c r="G218" i="128" s="1" a="1"/>
  <c r="G218" i="128" s="1"/>
  <c r="D146" i="128"/>
  <c r="H146" i="128" s="1"/>
  <c r="G216" i="128" s="1" a="1"/>
  <c r="G216" i="128" s="1"/>
  <c r="D144" i="128"/>
  <c r="H144" i="128" s="1"/>
  <c r="G214" i="128" s="1" a="1"/>
  <c r="G214" i="128" s="1"/>
  <c r="D142" i="128"/>
  <c r="H142" i="128" s="1"/>
  <c r="G212" i="128" s="1" a="1"/>
  <c r="G212" i="128" s="1"/>
  <c r="D159" i="128"/>
  <c r="H159" i="128" s="1"/>
  <c r="G229" i="128" s="1" a="1"/>
  <c r="G229" i="128" s="1"/>
  <c r="D157" i="128"/>
  <c r="H157" i="128" s="1"/>
  <c r="G227" i="128" s="1" a="1"/>
  <c r="G227" i="128" s="1"/>
  <c r="D155" i="128"/>
  <c r="H155" i="128" s="1"/>
  <c r="G225" i="128" s="1" a="1"/>
  <c r="G225" i="128" s="1"/>
  <c r="D153" i="128"/>
  <c r="H153" i="128" s="1"/>
  <c r="G223" i="128" s="1" a="1"/>
  <c r="G223" i="128" s="1"/>
  <c r="D151" i="128"/>
  <c r="H151" i="128" s="1"/>
  <c r="G221" i="128" s="1" a="1"/>
  <c r="G221" i="128" s="1"/>
  <c r="D149" i="128"/>
  <c r="H149" i="128" s="1"/>
  <c r="G219" i="128" s="1" a="1"/>
  <c r="G219" i="128" s="1"/>
  <c r="D147" i="128"/>
  <c r="H147" i="128" s="1"/>
  <c r="G217" i="128" s="1" a="1"/>
  <c r="G217" i="128" s="1"/>
  <c r="D145" i="128"/>
  <c r="H145" i="128" s="1"/>
  <c r="G215" i="128" s="1" a="1"/>
  <c r="G215" i="128" s="1"/>
  <c r="D143" i="128"/>
  <c r="H143" i="128" s="1"/>
  <c r="G213" i="128" s="1" a="1"/>
  <c r="G213" i="128" s="1"/>
  <c r="D141" i="128"/>
  <c r="H141" i="128" s="1"/>
  <c r="G211" i="128" s="1" a="1"/>
  <c r="G211" i="128" s="1"/>
  <c r="J179" i="129"/>
  <c r="K179" i="129" s="1"/>
  <c r="G40" i="122"/>
  <c r="J212" i="132"/>
  <c r="D105" i="125"/>
  <c r="H105" i="125" s="1"/>
  <c r="F217" i="125" s="1" a="1"/>
  <c r="F217" i="125" s="1"/>
  <c r="D113" i="125"/>
  <c r="H113" i="125" s="1"/>
  <c r="F225" i="125" s="1" a="1"/>
  <c r="F225" i="125" s="1"/>
  <c r="D121" i="125"/>
  <c r="H121" i="125" s="1"/>
  <c r="F233" i="125" s="1" a="1"/>
  <c r="F233" i="125" s="1"/>
  <c r="D110" i="125"/>
  <c r="H110" i="125" s="1"/>
  <c r="F222" i="125" s="1" a="1"/>
  <c r="F222" i="125" s="1"/>
  <c r="K137" i="139"/>
  <c r="K138" i="139" s="1"/>
  <c r="J138" i="139"/>
  <c r="G182" i="127"/>
  <c r="E7" i="122"/>
  <c r="J177" i="126"/>
  <c r="K175" i="126"/>
  <c r="K177" i="126" s="1"/>
  <c r="D122" i="129"/>
  <c r="H122" i="129" s="1"/>
  <c r="F234" i="129" s="1" a="1"/>
  <c r="F234" i="129" s="1"/>
  <c r="D120" i="129"/>
  <c r="H120" i="129" s="1"/>
  <c r="F232" i="129" s="1" a="1"/>
  <c r="F232" i="129" s="1"/>
  <c r="D118" i="129"/>
  <c r="H118" i="129" s="1"/>
  <c r="F230" i="129" s="1" a="1"/>
  <c r="F230" i="129" s="1"/>
  <c r="D116" i="129"/>
  <c r="H116" i="129" s="1"/>
  <c r="F228" i="129" s="1" a="1"/>
  <c r="F228" i="129" s="1"/>
  <c r="D114" i="129"/>
  <c r="H114" i="129" s="1"/>
  <c r="F226" i="129" s="1" a="1"/>
  <c r="F226" i="129" s="1"/>
  <c r="D112" i="129"/>
  <c r="H112" i="129" s="1"/>
  <c r="F224" i="129" s="1" a="1"/>
  <c r="F224" i="129" s="1"/>
  <c r="D110" i="129"/>
  <c r="H110" i="129" s="1"/>
  <c r="F222" i="129" s="1" a="1"/>
  <c r="F222" i="129" s="1"/>
  <c r="D108" i="129"/>
  <c r="H108" i="129" s="1"/>
  <c r="F220" i="129" s="1" a="1"/>
  <c r="F220" i="129" s="1"/>
  <c r="D106" i="129"/>
  <c r="H106" i="129" s="1"/>
  <c r="F218" i="129" s="1" a="1"/>
  <c r="F218" i="129" s="1"/>
  <c r="D104" i="129"/>
  <c r="H104" i="129" s="1"/>
  <c r="F216" i="129" s="1" a="1"/>
  <c r="F216" i="129" s="1"/>
  <c r="D121" i="129"/>
  <c r="H121" i="129" s="1"/>
  <c r="F233" i="129" s="1" a="1"/>
  <c r="F233" i="129" s="1"/>
  <c r="D119" i="129"/>
  <c r="H119" i="129" s="1"/>
  <c r="F231" i="129" s="1" a="1"/>
  <c r="F231" i="129" s="1"/>
  <c r="D117" i="129"/>
  <c r="H117" i="129" s="1"/>
  <c r="F229" i="129" s="1" a="1"/>
  <c r="F229" i="129" s="1"/>
  <c r="D115" i="129"/>
  <c r="H115" i="129" s="1"/>
  <c r="F227" i="129" s="1" a="1"/>
  <c r="F227" i="129" s="1"/>
  <c r="D113" i="129"/>
  <c r="H113" i="129" s="1"/>
  <c r="F225" i="129" s="1" a="1"/>
  <c r="F225" i="129" s="1"/>
  <c r="D111" i="129"/>
  <c r="H111" i="129" s="1"/>
  <c r="F223" i="129" s="1" a="1"/>
  <c r="F223" i="129" s="1"/>
  <c r="D109" i="129"/>
  <c r="H109" i="129" s="1"/>
  <c r="F221" i="129" s="1" a="1"/>
  <c r="F221" i="129" s="1"/>
  <c r="D107" i="129"/>
  <c r="H107" i="129" s="1"/>
  <c r="F219" i="129" s="1" a="1"/>
  <c r="F219" i="129" s="1"/>
  <c r="D105" i="129"/>
  <c r="H105" i="129" s="1"/>
  <c r="F217" i="129" s="1" a="1"/>
  <c r="F217" i="129" s="1"/>
  <c r="D103" i="129"/>
  <c r="H103" i="129" s="1"/>
  <c r="F215" i="129" s="1" a="1"/>
  <c r="F215" i="129" s="1"/>
  <c r="J222" i="130"/>
  <c r="J218" i="132"/>
  <c r="J180" i="129"/>
  <c r="K181" i="131"/>
  <c r="G182" i="129"/>
  <c r="F181" i="125"/>
  <c r="J180" i="135"/>
  <c r="K180" i="135" s="1"/>
  <c r="D13" i="122"/>
  <c r="J224" i="132"/>
  <c r="J179" i="139"/>
  <c r="K179" i="139" s="1"/>
  <c r="K181" i="139" s="1"/>
  <c r="A5" i="22"/>
  <c r="A4" i="27"/>
  <c r="F13" i="20"/>
  <c r="F12" i="20"/>
  <c r="F11" i="20"/>
  <c r="F10" i="20"/>
  <c r="F9" i="20"/>
  <c r="F8" i="20"/>
  <c r="F7" i="20"/>
  <c r="F6" i="20"/>
  <c r="F5" i="20"/>
  <c r="F4" i="20"/>
  <c r="E13" i="20"/>
  <c r="E12" i="20"/>
  <c r="E11" i="20"/>
  <c r="E10" i="20"/>
  <c r="E9" i="20"/>
  <c r="E8" i="20"/>
  <c r="E7" i="20"/>
  <c r="E6" i="20"/>
  <c r="E5" i="20"/>
  <c r="E4" i="20"/>
  <c r="D13" i="20"/>
  <c r="D12" i="20"/>
  <c r="D11" i="20"/>
  <c r="D10" i="20"/>
  <c r="D9" i="20"/>
  <c r="D8" i="20"/>
  <c r="D7" i="20"/>
  <c r="D6" i="20"/>
  <c r="D5" i="20"/>
  <c r="D4" i="20"/>
  <c r="C13" i="20"/>
  <c r="C12" i="20"/>
  <c r="C11" i="20"/>
  <c r="C10" i="20"/>
  <c r="C9" i="20"/>
  <c r="C8" i="20"/>
  <c r="C7" i="20"/>
  <c r="C6" i="20"/>
  <c r="C5" i="20"/>
  <c r="C4" i="20"/>
  <c r="H7" i="66"/>
  <c r="H8" i="66"/>
  <c r="H9" i="66"/>
  <c r="H10" i="66"/>
  <c r="H11" i="66"/>
  <c r="H12" i="66"/>
  <c r="H13" i="66"/>
  <c r="H14" i="66"/>
  <c r="H15" i="66"/>
  <c r="H16" i="66"/>
  <c r="D158" i="131" l="1"/>
  <c r="H158" i="131" s="1"/>
  <c r="G229" i="131" s="1" a="1"/>
  <c r="G229" i="131" s="1"/>
  <c r="J229" i="131" s="1"/>
  <c r="D157" i="130"/>
  <c r="H157" i="130" s="1"/>
  <c r="G227" i="130" s="1" a="1"/>
  <c r="G227" i="130" s="1"/>
  <c r="D153" i="133"/>
  <c r="H153" i="133" s="1"/>
  <c r="G224" i="133" s="1" a="1"/>
  <c r="G224" i="133" s="1"/>
  <c r="J224" i="133" s="1"/>
  <c r="D147" i="131"/>
  <c r="H147" i="131" s="1"/>
  <c r="G218" i="131" s="1" a="1"/>
  <c r="G218" i="131" s="1"/>
  <c r="J218" i="131" s="1"/>
  <c r="D163" i="131"/>
  <c r="H163" i="131" s="1"/>
  <c r="G234" i="131" s="1" a="1"/>
  <c r="G234" i="131" s="1"/>
  <c r="D156" i="131"/>
  <c r="H156" i="131" s="1"/>
  <c r="G227" i="131" s="1" a="1"/>
  <c r="G227" i="131" s="1"/>
  <c r="J227" i="131" s="1"/>
  <c r="D153" i="131"/>
  <c r="H153" i="131" s="1"/>
  <c r="G224" i="131" s="1" a="1"/>
  <c r="G224" i="131" s="1"/>
  <c r="J224" i="131" s="1"/>
  <c r="D150" i="131"/>
  <c r="H150" i="131" s="1"/>
  <c r="G221" i="131" s="1" a="1"/>
  <c r="G221" i="131" s="1"/>
  <c r="D151" i="127"/>
  <c r="H151" i="127" s="1"/>
  <c r="G222" i="127" s="1" a="1"/>
  <c r="G222" i="127" s="1"/>
  <c r="D159" i="127"/>
  <c r="H159" i="127" s="1"/>
  <c r="G230" i="127" s="1" a="1"/>
  <c r="G230" i="127" s="1"/>
  <c r="D146" i="127"/>
  <c r="H146" i="127" s="1"/>
  <c r="G217" i="127" s="1" a="1"/>
  <c r="G217" i="127" s="1"/>
  <c r="J217" i="127" s="1"/>
  <c r="D154" i="127"/>
  <c r="H154" i="127" s="1"/>
  <c r="G225" i="127" s="1" a="1"/>
  <c r="G225" i="127" s="1"/>
  <c r="D162" i="127"/>
  <c r="H162" i="127" s="1"/>
  <c r="G233" i="127" s="1" a="1"/>
  <c r="G233" i="127" s="1"/>
  <c r="D141" i="130"/>
  <c r="H141" i="130" s="1"/>
  <c r="G211" i="130" s="1" a="1"/>
  <c r="G211" i="130" s="1"/>
  <c r="I211" i="130" s="1"/>
  <c r="D155" i="131"/>
  <c r="H155" i="131" s="1"/>
  <c r="G226" i="131" s="1" a="1"/>
  <c r="G226" i="131" s="1"/>
  <c r="J226" i="131" s="1"/>
  <c r="D148" i="131"/>
  <c r="H148" i="131" s="1"/>
  <c r="G219" i="131" s="1" a="1"/>
  <c r="G219" i="131" s="1"/>
  <c r="J219" i="131" s="1"/>
  <c r="D145" i="131"/>
  <c r="H145" i="131" s="1"/>
  <c r="G216" i="131" s="1" a="1"/>
  <c r="G216" i="131" s="1"/>
  <c r="J216" i="131" s="1"/>
  <c r="D161" i="131"/>
  <c r="H161" i="131" s="1"/>
  <c r="G232" i="131" s="1" a="1"/>
  <c r="G232" i="131" s="1"/>
  <c r="J232" i="131" s="1"/>
  <c r="D147" i="127"/>
  <c r="H147" i="127" s="1"/>
  <c r="G218" i="127" s="1" a="1"/>
  <c r="G218" i="127" s="1"/>
  <c r="D155" i="127"/>
  <c r="H155" i="127" s="1"/>
  <c r="G226" i="127" s="1" a="1"/>
  <c r="G226" i="127" s="1"/>
  <c r="J226" i="127" s="1"/>
  <c r="D163" i="127"/>
  <c r="H163" i="127" s="1"/>
  <c r="G234" i="127" s="1" a="1"/>
  <c r="G234" i="127" s="1"/>
  <c r="D150" i="127"/>
  <c r="H150" i="127" s="1"/>
  <c r="G221" i="127" s="1" a="1"/>
  <c r="G221" i="127" s="1"/>
  <c r="D154" i="130"/>
  <c r="H154" i="130" s="1"/>
  <c r="G224" i="130" s="1" a="1"/>
  <c r="G224" i="130" s="1"/>
  <c r="D144" i="133"/>
  <c r="H144" i="133" s="1"/>
  <c r="G215" i="133" s="1" a="1"/>
  <c r="G215" i="133" s="1"/>
  <c r="J215" i="133" s="1"/>
  <c r="D157" i="133"/>
  <c r="H157" i="133" s="1"/>
  <c r="G228" i="133" s="1" a="1"/>
  <c r="G228" i="133" s="1"/>
  <c r="J228" i="133" s="1"/>
  <c r="D147" i="130"/>
  <c r="H147" i="130" s="1"/>
  <c r="G217" i="130" s="1" a="1"/>
  <c r="G217" i="130" s="1"/>
  <c r="D144" i="130"/>
  <c r="H144" i="130" s="1"/>
  <c r="G214" i="130" s="1" a="1"/>
  <c r="G214" i="130" s="1"/>
  <c r="D160" i="130"/>
  <c r="H160" i="130" s="1"/>
  <c r="G230" i="130" s="1" a="1"/>
  <c r="G230" i="130" s="1"/>
  <c r="D149" i="130"/>
  <c r="H149" i="130" s="1"/>
  <c r="G219" i="130" s="1" a="1"/>
  <c r="G219" i="130" s="1"/>
  <c r="D146" i="130"/>
  <c r="H146" i="130" s="1"/>
  <c r="G216" i="130" s="1" a="1"/>
  <c r="G216" i="130" s="1"/>
  <c r="D155" i="130"/>
  <c r="H155" i="130" s="1"/>
  <c r="G225" i="130" s="1" a="1"/>
  <c r="G225" i="130" s="1"/>
  <c r="D152" i="130"/>
  <c r="H152" i="130" s="1"/>
  <c r="G222" i="130" s="1" a="1"/>
  <c r="G222" i="130" s="1"/>
  <c r="D156" i="133"/>
  <c r="H156" i="133" s="1"/>
  <c r="G227" i="133" s="1" a="1"/>
  <c r="G227" i="133" s="1"/>
  <c r="J227" i="133" s="1"/>
  <c r="D154" i="134"/>
  <c r="H154" i="134" s="1"/>
  <c r="G224" i="134" s="1" a="1"/>
  <c r="G224" i="134" s="1"/>
  <c r="H179" i="140"/>
  <c r="D160" i="133"/>
  <c r="H160" i="133" s="1"/>
  <c r="G231" i="133" s="1" a="1"/>
  <c r="G231" i="133" s="1"/>
  <c r="D143" i="136"/>
  <c r="H143" i="136" s="1"/>
  <c r="G213" i="136" s="1" a="1"/>
  <c r="G213" i="136" s="1"/>
  <c r="J213" i="136" s="1"/>
  <c r="D159" i="124"/>
  <c r="H159" i="124" s="1"/>
  <c r="G229" i="124" s="1" a="1"/>
  <c r="G229" i="124" s="1"/>
  <c r="D155" i="126"/>
  <c r="H155" i="126" s="1"/>
  <c r="G225" i="126" s="1" a="1"/>
  <c r="G225" i="126" s="1"/>
  <c r="D150" i="134"/>
  <c r="H150" i="134" s="1"/>
  <c r="G220" i="134" s="1" a="1"/>
  <c r="G220" i="134" s="1"/>
  <c r="H179" i="124"/>
  <c r="D151" i="134"/>
  <c r="H151" i="134" s="1"/>
  <c r="G221" i="134" s="1" a="1"/>
  <c r="G221" i="134" s="1"/>
  <c r="D142" i="140"/>
  <c r="H142" i="140" s="1"/>
  <c r="G212" i="140" s="1" a="1"/>
  <c r="G212" i="140" s="1"/>
  <c r="D158" i="140"/>
  <c r="H158" i="140" s="1"/>
  <c r="G228" i="140" s="1" a="1"/>
  <c r="G228" i="140" s="1"/>
  <c r="D143" i="140"/>
  <c r="H143" i="140" s="1"/>
  <c r="G213" i="140" s="1" a="1"/>
  <c r="G213" i="140" s="1"/>
  <c r="D151" i="140"/>
  <c r="H151" i="140" s="1"/>
  <c r="G221" i="140" s="1" a="1"/>
  <c r="G221" i="140" s="1"/>
  <c r="D159" i="140"/>
  <c r="H159" i="140" s="1"/>
  <c r="G229" i="140" s="1" a="1"/>
  <c r="G229" i="140" s="1"/>
  <c r="D146" i="126"/>
  <c r="H146" i="126" s="1"/>
  <c r="G216" i="126" s="1" a="1"/>
  <c r="G216" i="126" s="1"/>
  <c r="D154" i="126"/>
  <c r="H154" i="126" s="1"/>
  <c r="G224" i="126" s="1" a="1"/>
  <c r="G224" i="126" s="1"/>
  <c r="D141" i="126"/>
  <c r="H141" i="126" s="1"/>
  <c r="G211" i="126" s="1" a="1"/>
  <c r="G211" i="126" s="1"/>
  <c r="D149" i="126"/>
  <c r="H149" i="126" s="1"/>
  <c r="G219" i="126" s="1" a="1"/>
  <c r="G219" i="126" s="1"/>
  <c r="D157" i="126"/>
  <c r="H157" i="126" s="1"/>
  <c r="G227" i="126" s="1" a="1"/>
  <c r="G227" i="126" s="1"/>
  <c r="D145" i="134"/>
  <c r="H145" i="134" s="1"/>
  <c r="G215" i="134" s="1" a="1"/>
  <c r="G215" i="134" s="1"/>
  <c r="D142" i="134"/>
  <c r="H142" i="134" s="1"/>
  <c r="G212" i="134" s="1" a="1"/>
  <c r="G212" i="134" s="1"/>
  <c r="D150" i="140"/>
  <c r="H150" i="140" s="1"/>
  <c r="G220" i="140" s="1" a="1"/>
  <c r="G220" i="140" s="1"/>
  <c r="D160" i="140"/>
  <c r="H160" i="140" s="1"/>
  <c r="G230" i="140" s="1" a="1"/>
  <c r="G230" i="140" s="1"/>
  <c r="D156" i="140"/>
  <c r="H156" i="140" s="1"/>
  <c r="G226" i="140" s="1" a="1"/>
  <c r="G226" i="140" s="1"/>
  <c r="D147" i="140"/>
  <c r="H147" i="140" s="1"/>
  <c r="G217" i="140" s="1" a="1"/>
  <c r="G217" i="140" s="1"/>
  <c r="D155" i="140"/>
  <c r="H155" i="140" s="1"/>
  <c r="G225" i="140" s="1" a="1"/>
  <c r="G225" i="140" s="1"/>
  <c r="D142" i="126"/>
  <c r="H142" i="126" s="1"/>
  <c r="G212" i="126" s="1" a="1"/>
  <c r="G212" i="126" s="1"/>
  <c r="D150" i="126"/>
  <c r="H150" i="126" s="1"/>
  <c r="G220" i="126" s="1" a="1"/>
  <c r="G220" i="126" s="1"/>
  <c r="D158" i="126"/>
  <c r="H158" i="126" s="1"/>
  <c r="G228" i="126" s="1" a="1"/>
  <c r="G228" i="126" s="1"/>
  <c r="D145" i="126"/>
  <c r="H145" i="126" s="1"/>
  <c r="G215" i="126" s="1" a="1"/>
  <c r="G215" i="126" s="1"/>
  <c r="D153" i="126"/>
  <c r="H153" i="126" s="1"/>
  <c r="G223" i="126" s="1" a="1"/>
  <c r="G223" i="126" s="1"/>
  <c r="D153" i="134"/>
  <c r="H153" i="134" s="1"/>
  <c r="G223" i="134" s="1" a="1"/>
  <c r="G223" i="134" s="1"/>
  <c r="D156" i="134"/>
  <c r="H156" i="134" s="1"/>
  <c r="G226" i="134" s="1" a="1"/>
  <c r="G226" i="134" s="1"/>
  <c r="K180" i="130"/>
  <c r="D162" i="125"/>
  <c r="H162" i="125" s="1"/>
  <c r="G233" i="125" s="1" a="1"/>
  <c r="G233" i="125" s="1"/>
  <c r="D154" i="140"/>
  <c r="H154" i="140" s="1"/>
  <c r="G224" i="140" s="1" a="1"/>
  <c r="G224" i="140" s="1"/>
  <c r="D144" i="140"/>
  <c r="H144" i="140" s="1"/>
  <c r="G214" i="140" s="1" a="1"/>
  <c r="G214" i="140" s="1"/>
  <c r="D141" i="140"/>
  <c r="H141" i="140" s="1"/>
  <c r="G211" i="140" s="1" a="1"/>
  <c r="G211" i="140" s="1"/>
  <c r="D149" i="140"/>
  <c r="H149" i="140" s="1"/>
  <c r="G219" i="140" s="1" a="1"/>
  <c r="G219" i="140" s="1"/>
  <c r="D144" i="126"/>
  <c r="H144" i="126" s="1"/>
  <c r="G214" i="126" s="1" a="1"/>
  <c r="G214" i="126" s="1"/>
  <c r="D152" i="126"/>
  <c r="H152" i="126" s="1"/>
  <c r="G222" i="126" s="1" a="1"/>
  <c r="G222" i="126" s="1"/>
  <c r="D160" i="126"/>
  <c r="H160" i="126" s="1"/>
  <c r="G230" i="126" s="1" a="1"/>
  <c r="G230" i="126" s="1"/>
  <c r="D147" i="126"/>
  <c r="H147" i="126" s="1"/>
  <c r="G217" i="126" s="1" a="1"/>
  <c r="G217" i="126" s="1"/>
  <c r="D143" i="134"/>
  <c r="H143" i="134" s="1"/>
  <c r="G213" i="134" s="1" a="1"/>
  <c r="G213" i="134" s="1"/>
  <c r="D159" i="134"/>
  <c r="H159" i="134" s="1"/>
  <c r="G229" i="134" s="1" a="1"/>
  <c r="G229" i="134" s="1"/>
  <c r="K180" i="140"/>
  <c r="J139" i="135"/>
  <c r="D146" i="123"/>
  <c r="H146" i="123" s="1"/>
  <c r="G217" i="123" s="1" a="1"/>
  <c r="G217" i="123" s="1"/>
  <c r="J217" i="123" s="1"/>
  <c r="D154" i="123"/>
  <c r="H154" i="123" s="1"/>
  <c r="G225" i="123" s="1" a="1"/>
  <c r="G225" i="123" s="1"/>
  <c r="J225" i="123" s="1"/>
  <c r="D162" i="123"/>
  <c r="H162" i="123" s="1"/>
  <c r="G233" i="123" s="1" a="1"/>
  <c r="G233" i="123" s="1"/>
  <c r="J233" i="123" s="1"/>
  <c r="D151" i="123"/>
  <c r="H151" i="123" s="1"/>
  <c r="G222" i="123" s="1" a="1"/>
  <c r="G222" i="123" s="1"/>
  <c r="J222" i="123" s="1"/>
  <c r="D159" i="123"/>
  <c r="H159" i="123" s="1"/>
  <c r="G230" i="123" s="1" a="1"/>
  <c r="G230" i="123" s="1"/>
  <c r="D148" i="123"/>
  <c r="H148" i="123" s="1"/>
  <c r="G219" i="123" s="1" a="1"/>
  <c r="G219" i="123" s="1"/>
  <c r="J219" i="123" s="1"/>
  <c r="D156" i="123"/>
  <c r="H156" i="123" s="1"/>
  <c r="G227" i="123" s="1" a="1"/>
  <c r="G227" i="123" s="1"/>
  <c r="J227" i="123" s="1"/>
  <c r="D145" i="123"/>
  <c r="H145" i="123" s="1"/>
  <c r="G216" i="123" s="1" a="1"/>
  <c r="G216" i="123" s="1"/>
  <c r="J216" i="123" s="1"/>
  <c r="D153" i="123"/>
  <c r="H153" i="123" s="1"/>
  <c r="G224" i="123" s="1" a="1"/>
  <c r="G224" i="123" s="1"/>
  <c r="D161" i="123"/>
  <c r="H161" i="123" s="1"/>
  <c r="G232" i="123" s="1" a="1"/>
  <c r="G232" i="123" s="1"/>
  <c r="J232" i="123" s="1"/>
  <c r="D194" i="138"/>
  <c r="H194" i="138" s="1"/>
  <c r="H221" i="138" s="1" a="1"/>
  <c r="H221" i="138" s="1"/>
  <c r="I221" i="138" s="1"/>
  <c r="D143" i="130"/>
  <c r="H143" i="130" s="1"/>
  <c r="G213" i="130" s="1" a="1"/>
  <c r="G213" i="130" s="1"/>
  <c r="D151" i="130"/>
  <c r="H151" i="130" s="1"/>
  <c r="G221" i="130" s="1" a="1"/>
  <c r="G221" i="130" s="1"/>
  <c r="D159" i="130"/>
  <c r="H159" i="130" s="1"/>
  <c r="G229" i="130" s="1" a="1"/>
  <c r="G229" i="130" s="1"/>
  <c r="D148" i="130"/>
  <c r="H148" i="130" s="1"/>
  <c r="G218" i="130" s="1" a="1"/>
  <c r="G218" i="130" s="1"/>
  <c r="D156" i="130"/>
  <c r="H156" i="130" s="1"/>
  <c r="G226" i="130" s="1" a="1"/>
  <c r="G226" i="130" s="1"/>
  <c r="D163" i="133"/>
  <c r="H163" i="133" s="1"/>
  <c r="G234" i="133" s="1" a="1"/>
  <c r="G234" i="133" s="1"/>
  <c r="J234" i="133" s="1"/>
  <c r="J139" i="137"/>
  <c r="J139" i="129"/>
  <c r="D144" i="124"/>
  <c r="H144" i="124" s="1"/>
  <c r="G214" i="124" s="1" a="1"/>
  <c r="G214" i="124" s="1"/>
  <c r="J214" i="124" s="1"/>
  <c r="D150" i="123"/>
  <c r="H150" i="123" s="1"/>
  <c r="G221" i="123" s="1" a="1"/>
  <c r="G221" i="123" s="1"/>
  <c r="J221" i="123" s="1"/>
  <c r="D158" i="123"/>
  <c r="H158" i="123" s="1"/>
  <c r="G229" i="123" s="1" a="1"/>
  <c r="G229" i="123" s="1"/>
  <c r="J229" i="123" s="1"/>
  <c r="D147" i="123"/>
  <c r="H147" i="123" s="1"/>
  <c r="G218" i="123" s="1" a="1"/>
  <c r="G218" i="123" s="1"/>
  <c r="J218" i="123" s="1"/>
  <c r="D155" i="123"/>
  <c r="H155" i="123" s="1"/>
  <c r="G226" i="123" s="1" a="1"/>
  <c r="G226" i="123" s="1"/>
  <c r="D145" i="130"/>
  <c r="H145" i="130" s="1"/>
  <c r="G215" i="130" s="1" a="1"/>
  <c r="G215" i="130" s="1"/>
  <c r="D153" i="130"/>
  <c r="H153" i="130" s="1"/>
  <c r="G223" i="130" s="1" a="1"/>
  <c r="G223" i="130" s="1"/>
  <c r="D142" i="130"/>
  <c r="H142" i="130" s="1"/>
  <c r="G212" i="130" s="1" a="1"/>
  <c r="G212" i="130" s="1"/>
  <c r="D150" i="130"/>
  <c r="H150" i="130" s="1"/>
  <c r="G220" i="130" s="1" a="1"/>
  <c r="G220" i="130" s="1"/>
  <c r="D156" i="136"/>
  <c r="H156" i="136" s="1"/>
  <c r="G226" i="136" s="1" a="1"/>
  <c r="G226" i="136" s="1"/>
  <c r="J226" i="136" s="1"/>
  <c r="D147" i="124"/>
  <c r="H147" i="124" s="1"/>
  <c r="G217" i="124" s="1" a="1"/>
  <c r="G217" i="124" s="1"/>
  <c r="J217" i="124" s="1"/>
  <c r="D159" i="125"/>
  <c r="H159" i="125" s="1"/>
  <c r="G230" i="125" s="1" a="1"/>
  <c r="G230" i="125" s="1"/>
  <c r="J230" i="125" s="1"/>
  <c r="D152" i="124"/>
  <c r="H152" i="124" s="1"/>
  <c r="G222" i="124" s="1" a="1"/>
  <c r="G222" i="124" s="1"/>
  <c r="J222" i="124" s="1"/>
  <c r="D151" i="136"/>
  <c r="H151" i="136" s="1"/>
  <c r="G221" i="136" s="1" a="1"/>
  <c r="G221" i="136" s="1"/>
  <c r="J221" i="136" s="1"/>
  <c r="D160" i="124"/>
  <c r="H160" i="124" s="1"/>
  <c r="G230" i="124" s="1" a="1"/>
  <c r="G230" i="124" s="1"/>
  <c r="J230" i="124" s="1"/>
  <c r="D146" i="125"/>
  <c r="H146" i="125" s="1"/>
  <c r="G217" i="125" s="1" a="1"/>
  <c r="G217" i="125" s="1"/>
  <c r="J217" i="125" s="1"/>
  <c r="J233" i="125"/>
  <c r="D142" i="124"/>
  <c r="H142" i="124" s="1"/>
  <c r="G212" i="124" s="1" a="1"/>
  <c r="G212" i="124" s="1"/>
  <c r="J212" i="124" s="1"/>
  <c r="D150" i="124"/>
  <c r="H150" i="124" s="1"/>
  <c r="G220" i="124" s="1" a="1"/>
  <c r="G220" i="124" s="1"/>
  <c r="D158" i="124"/>
  <c r="H158" i="124" s="1"/>
  <c r="G228" i="124" s="1" a="1"/>
  <c r="G228" i="124" s="1"/>
  <c r="J228" i="124" s="1"/>
  <c r="D145" i="124"/>
  <c r="H145" i="124" s="1"/>
  <c r="G215" i="124" s="1" a="1"/>
  <c r="G215" i="124" s="1"/>
  <c r="J215" i="124" s="1"/>
  <c r="D153" i="124"/>
  <c r="H153" i="124" s="1"/>
  <c r="G223" i="124" s="1" a="1"/>
  <c r="G223" i="124" s="1"/>
  <c r="J223" i="124" s="1"/>
  <c r="H179" i="128"/>
  <c r="D199" i="128" s="1"/>
  <c r="H199" i="128" s="1"/>
  <c r="H226" i="128" s="1" a="1"/>
  <c r="H226" i="128" s="1"/>
  <c r="I226" i="128" s="1"/>
  <c r="D155" i="125"/>
  <c r="H155" i="125" s="1"/>
  <c r="G226" i="125" s="1" a="1"/>
  <c r="G226" i="125" s="1"/>
  <c r="J226" i="125" s="1"/>
  <c r="D152" i="136"/>
  <c r="H152" i="136" s="1"/>
  <c r="G222" i="136" s="1" a="1"/>
  <c r="G222" i="136" s="1"/>
  <c r="J222" i="136" s="1"/>
  <c r="D147" i="136"/>
  <c r="H147" i="136" s="1"/>
  <c r="G217" i="136" s="1" a="1"/>
  <c r="G217" i="136" s="1"/>
  <c r="J217" i="136" s="1"/>
  <c r="D151" i="125"/>
  <c r="H151" i="125" s="1"/>
  <c r="G222" i="125" s="1" a="1"/>
  <c r="G222" i="125" s="1"/>
  <c r="J222" i="125" s="1"/>
  <c r="K184" i="131"/>
  <c r="D146" i="124"/>
  <c r="H146" i="124" s="1"/>
  <c r="G216" i="124" s="1" a="1"/>
  <c r="G216" i="124" s="1"/>
  <c r="J216" i="124" s="1"/>
  <c r="D154" i="124"/>
  <c r="H154" i="124" s="1"/>
  <c r="G224" i="124" s="1" a="1"/>
  <c r="G224" i="124" s="1"/>
  <c r="J224" i="124" s="1"/>
  <c r="D141" i="124"/>
  <c r="H141" i="124" s="1"/>
  <c r="G211" i="124" s="1" a="1"/>
  <c r="G211" i="124" s="1"/>
  <c r="J211" i="124" s="1"/>
  <c r="D149" i="124"/>
  <c r="H149" i="124" s="1"/>
  <c r="G219" i="124" s="1" a="1"/>
  <c r="G219" i="124" s="1"/>
  <c r="J219" i="124" s="1"/>
  <c r="D157" i="124"/>
  <c r="H157" i="124" s="1"/>
  <c r="G227" i="124" s="1" a="1"/>
  <c r="G227" i="124" s="1"/>
  <c r="J227" i="124" s="1"/>
  <c r="H179" i="130"/>
  <c r="D158" i="125"/>
  <c r="H158" i="125" s="1"/>
  <c r="G229" i="125" s="1" a="1"/>
  <c r="G229" i="125" s="1"/>
  <c r="J229" i="125" s="1"/>
  <c r="D144" i="136"/>
  <c r="H144" i="136" s="1"/>
  <c r="G214" i="136" s="1" a="1"/>
  <c r="G214" i="136" s="1"/>
  <c r="J214" i="136" s="1"/>
  <c r="D160" i="136"/>
  <c r="H160" i="136" s="1"/>
  <c r="G230" i="136" s="1" a="1"/>
  <c r="G230" i="136" s="1"/>
  <c r="J230" i="136" s="1"/>
  <c r="D155" i="136"/>
  <c r="H155" i="136" s="1"/>
  <c r="G225" i="136" s="1" a="1"/>
  <c r="G225" i="136" s="1"/>
  <c r="J225" i="136" s="1"/>
  <c r="J181" i="125"/>
  <c r="D148" i="124"/>
  <c r="H148" i="124" s="1"/>
  <c r="G218" i="124" s="1" a="1"/>
  <c r="G218" i="124" s="1"/>
  <c r="D156" i="124"/>
  <c r="H156" i="124" s="1"/>
  <c r="G226" i="124" s="1" a="1"/>
  <c r="G226" i="124" s="1"/>
  <c r="D143" i="124"/>
  <c r="H143" i="124" s="1"/>
  <c r="G213" i="124" s="1" a="1"/>
  <c r="G213" i="124" s="1"/>
  <c r="D151" i="124"/>
  <c r="H151" i="124" s="1"/>
  <c r="G221" i="124" s="1" a="1"/>
  <c r="G221" i="124" s="1"/>
  <c r="J221" i="124" s="1"/>
  <c r="D148" i="136"/>
  <c r="H148" i="136" s="1"/>
  <c r="G218" i="136" s="1" a="1"/>
  <c r="G218" i="136" s="1"/>
  <c r="J218" i="136" s="1"/>
  <c r="H179" i="136"/>
  <c r="D158" i="134"/>
  <c r="H158" i="134" s="1"/>
  <c r="G228" i="134" s="1" a="1"/>
  <c r="G228" i="134" s="1"/>
  <c r="D148" i="134"/>
  <c r="H148" i="134" s="1"/>
  <c r="G218" i="134" s="1" a="1"/>
  <c r="G218" i="134" s="1"/>
  <c r="K181" i="133"/>
  <c r="D148" i="133"/>
  <c r="H148" i="133" s="1"/>
  <c r="G219" i="133" s="1" a="1"/>
  <c r="G219" i="133" s="1"/>
  <c r="J219" i="133" s="1"/>
  <c r="D145" i="133"/>
  <c r="H145" i="133" s="1"/>
  <c r="G216" i="133" s="1" a="1"/>
  <c r="G216" i="133" s="1"/>
  <c r="J216" i="133" s="1"/>
  <c r="D161" i="133"/>
  <c r="H161" i="133" s="1"/>
  <c r="G232" i="133" s="1" a="1"/>
  <c r="G232" i="133" s="1"/>
  <c r="J232" i="133" s="1"/>
  <c r="D147" i="134"/>
  <c r="H147" i="134" s="1"/>
  <c r="G217" i="134" s="1" a="1"/>
  <c r="G217" i="134" s="1"/>
  <c r="D155" i="134"/>
  <c r="H155" i="134" s="1"/>
  <c r="G225" i="134" s="1" a="1"/>
  <c r="G225" i="134" s="1"/>
  <c r="D144" i="134"/>
  <c r="H144" i="134" s="1"/>
  <c r="G214" i="134" s="1" a="1"/>
  <c r="G214" i="134" s="1"/>
  <c r="J214" i="134" s="1"/>
  <c r="D152" i="134"/>
  <c r="H152" i="134" s="1"/>
  <c r="G222" i="134" s="1" a="1"/>
  <c r="G222" i="134" s="1"/>
  <c r="J222" i="134" s="1"/>
  <c r="D160" i="134"/>
  <c r="H160" i="134" s="1"/>
  <c r="G230" i="134" s="1" a="1"/>
  <c r="G230" i="134" s="1"/>
  <c r="D150" i="125"/>
  <c r="H150" i="125" s="1"/>
  <c r="G221" i="125" s="1" a="1"/>
  <c r="G221" i="125" s="1"/>
  <c r="J221" i="125" s="1"/>
  <c r="D147" i="125"/>
  <c r="H147" i="125" s="1"/>
  <c r="G218" i="125" s="1" a="1"/>
  <c r="G218" i="125" s="1"/>
  <c r="D163" i="125"/>
  <c r="H163" i="125" s="1"/>
  <c r="G234" i="125" s="1" a="1"/>
  <c r="G234" i="125" s="1"/>
  <c r="H24" i="122" s="1"/>
  <c r="K180" i="136"/>
  <c r="D157" i="125"/>
  <c r="H157" i="125" s="1"/>
  <c r="G228" i="125" s="1" a="1"/>
  <c r="G228" i="125" s="1"/>
  <c r="J228" i="125" s="1"/>
  <c r="J218" i="125"/>
  <c r="D152" i="133"/>
  <c r="H152" i="133" s="1"/>
  <c r="G223" i="133" s="1" a="1"/>
  <c r="G223" i="133" s="1"/>
  <c r="J223" i="133" s="1"/>
  <c r="D149" i="133"/>
  <c r="H149" i="133" s="1"/>
  <c r="G220" i="133" s="1" a="1"/>
  <c r="G220" i="133" s="1"/>
  <c r="J220" i="133" s="1"/>
  <c r="D141" i="134"/>
  <c r="H141" i="134" s="1"/>
  <c r="G211" i="134" s="1" a="1"/>
  <c r="G211" i="134" s="1"/>
  <c r="D149" i="134"/>
  <c r="H149" i="134" s="1"/>
  <c r="G219" i="134" s="1" a="1"/>
  <c r="G219" i="134" s="1"/>
  <c r="D157" i="134"/>
  <c r="H157" i="134" s="1"/>
  <c r="G227" i="134" s="1" a="1"/>
  <c r="G227" i="134" s="1"/>
  <c r="J227" i="134" s="1"/>
  <c r="D146" i="134"/>
  <c r="H146" i="134" s="1"/>
  <c r="G216" i="134" s="1" a="1"/>
  <c r="G216" i="134" s="1"/>
  <c r="D154" i="125"/>
  <c r="H154" i="125" s="1"/>
  <c r="G225" i="125" s="1" a="1"/>
  <c r="G225" i="125" s="1"/>
  <c r="J225" i="125" s="1"/>
  <c r="E139" i="137"/>
  <c r="K181" i="127"/>
  <c r="H183" i="127" s="1"/>
  <c r="D153" i="136"/>
  <c r="H153" i="136" s="1"/>
  <c r="G223" i="136" s="1" a="1"/>
  <c r="G223" i="136" s="1"/>
  <c r="J223" i="136" s="1"/>
  <c r="E139" i="129"/>
  <c r="E139" i="135"/>
  <c r="D156" i="135" s="1"/>
  <c r="H156" i="135" s="1"/>
  <c r="G227" i="135" s="1" a="1"/>
  <c r="G227" i="135" s="1"/>
  <c r="E139" i="139"/>
  <c r="K181" i="125"/>
  <c r="D146" i="133"/>
  <c r="H146" i="133" s="1"/>
  <c r="G217" i="133" s="1" a="1"/>
  <c r="G217" i="133" s="1"/>
  <c r="D154" i="133"/>
  <c r="H154" i="133" s="1"/>
  <c r="G225" i="133" s="1" a="1"/>
  <c r="G225" i="133" s="1"/>
  <c r="D162" i="133"/>
  <c r="H162" i="133" s="1"/>
  <c r="G233" i="133" s="1" a="1"/>
  <c r="G233" i="133" s="1"/>
  <c r="D151" i="133"/>
  <c r="H151" i="133" s="1"/>
  <c r="G222" i="133" s="1" a="1"/>
  <c r="G222" i="133" s="1"/>
  <c r="D159" i="133"/>
  <c r="H159" i="133" s="1"/>
  <c r="G230" i="133" s="1" a="1"/>
  <c r="G230" i="133" s="1"/>
  <c r="D148" i="125"/>
  <c r="H148" i="125" s="1"/>
  <c r="G219" i="125" s="1" a="1"/>
  <c r="G219" i="125" s="1"/>
  <c r="D156" i="125"/>
  <c r="H156" i="125" s="1"/>
  <c r="G227" i="125" s="1" a="1"/>
  <c r="G227" i="125" s="1"/>
  <c r="J227" i="125" s="1"/>
  <c r="D145" i="125"/>
  <c r="H145" i="125" s="1"/>
  <c r="G216" i="125" s="1" a="1"/>
  <c r="G216" i="125" s="1"/>
  <c r="J216" i="125" s="1"/>
  <c r="D153" i="125"/>
  <c r="H153" i="125" s="1"/>
  <c r="G224" i="125" s="1" a="1"/>
  <c r="G224" i="125" s="1"/>
  <c r="D161" i="125"/>
  <c r="H161" i="125" s="1"/>
  <c r="G232" i="125" s="1" a="1"/>
  <c r="G232" i="125" s="1"/>
  <c r="J232" i="125" s="1"/>
  <c r="D146" i="136"/>
  <c r="H146" i="136" s="1"/>
  <c r="G216" i="136" s="1" a="1"/>
  <c r="G216" i="136" s="1"/>
  <c r="J216" i="136" s="1"/>
  <c r="D154" i="136"/>
  <c r="H154" i="136" s="1"/>
  <c r="G224" i="136" s="1" a="1"/>
  <c r="G224" i="136" s="1"/>
  <c r="J224" i="136" s="1"/>
  <c r="D141" i="136"/>
  <c r="H141" i="136" s="1"/>
  <c r="G211" i="136" s="1" a="1"/>
  <c r="G211" i="136" s="1"/>
  <c r="J211" i="136" s="1"/>
  <c r="D149" i="136"/>
  <c r="H149" i="136" s="1"/>
  <c r="G219" i="136" s="1" a="1"/>
  <c r="G219" i="136" s="1"/>
  <c r="J219" i="136" s="1"/>
  <c r="D159" i="136"/>
  <c r="H159" i="136" s="1"/>
  <c r="G229" i="136" s="1" a="1"/>
  <c r="G229" i="136" s="1"/>
  <c r="J229" i="136" s="1"/>
  <c r="D157" i="136"/>
  <c r="H157" i="136" s="1"/>
  <c r="G227" i="136" s="1" a="1"/>
  <c r="G227" i="136" s="1"/>
  <c r="J227" i="136" s="1"/>
  <c r="J181" i="133"/>
  <c r="K184" i="133" s="1"/>
  <c r="D150" i="133"/>
  <c r="H150" i="133" s="1"/>
  <c r="G221" i="133" s="1" a="1"/>
  <c r="G221" i="133" s="1"/>
  <c r="J221" i="133" s="1"/>
  <c r="D158" i="133"/>
  <c r="H158" i="133" s="1"/>
  <c r="G229" i="133" s="1" a="1"/>
  <c r="G229" i="133" s="1"/>
  <c r="J229" i="133" s="1"/>
  <c r="D147" i="133"/>
  <c r="H147" i="133" s="1"/>
  <c r="G218" i="133" s="1" a="1"/>
  <c r="G218" i="133" s="1"/>
  <c r="J218" i="133" s="1"/>
  <c r="D155" i="133"/>
  <c r="H155" i="133" s="1"/>
  <c r="G226" i="133" s="1" a="1"/>
  <c r="G226" i="133" s="1"/>
  <c r="J226" i="133" s="1"/>
  <c r="D144" i="125"/>
  <c r="H144" i="125" s="1"/>
  <c r="G215" i="125" s="1" a="1"/>
  <c r="G215" i="125" s="1"/>
  <c r="D152" i="125"/>
  <c r="H152" i="125" s="1"/>
  <c r="G223" i="125" s="1" a="1"/>
  <c r="G223" i="125" s="1"/>
  <c r="J223" i="125" s="1"/>
  <c r="D160" i="125"/>
  <c r="H160" i="125" s="1"/>
  <c r="G231" i="125" s="1" a="1"/>
  <c r="G231" i="125" s="1"/>
  <c r="J231" i="125" s="1"/>
  <c r="D149" i="125"/>
  <c r="H149" i="125" s="1"/>
  <c r="G220" i="125" s="1" a="1"/>
  <c r="G220" i="125" s="1"/>
  <c r="J220" i="125" s="1"/>
  <c r="D142" i="136"/>
  <c r="H142" i="136" s="1"/>
  <c r="G212" i="136" s="1" a="1"/>
  <c r="G212" i="136" s="1"/>
  <c r="J212" i="136" s="1"/>
  <c r="D150" i="136"/>
  <c r="H150" i="136" s="1"/>
  <c r="G220" i="136" s="1" a="1"/>
  <c r="G220" i="136" s="1"/>
  <c r="J220" i="136" s="1"/>
  <c r="D158" i="136"/>
  <c r="H158" i="136" s="1"/>
  <c r="G228" i="136" s="1" a="1"/>
  <c r="G228" i="136" s="1"/>
  <c r="J228" i="136" s="1"/>
  <c r="D145" i="136"/>
  <c r="H145" i="136" s="1"/>
  <c r="G215" i="136" s="1" a="1"/>
  <c r="G215" i="136" s="1"/>
  <c r="J215" i="136" s="1"/>
  <c r="J139" i="139"/>
  <c r="K181" i="135"/>
  <c r="J213" i="128"/>
  <c r="J221" i="128"/>
  <c r="J229" i="128"/>
  <c r="J218" i="128"/>
  <c r="J226" i="128"/>
  <c r="F98" i="122"/>
  <c r="J220" i="140"/>
  <c r="H98" i="122"/>
  <c r="J230" i="140"/>
  <c r="J226" i="140"/>
  <c r="J217" i="140"/>
  <c r="G98" i="122"/>
  <c r="J225" i="140"/>
  <c r="E91" i="122"/>
  <c r="J218" i="126"/>
  <c r="J226" i="126"/>
  <c r="J213" i="126"/>
  <c r="J221" i="126"/>
  <c r="J229" i="126"/>
  <c r="D152" i="135"/>
  <c r="H152" i="135" s="1"/>
  <c r="G223" i="135" s="1" a="1"/>
  <c r="G223" i="135" s="1"/>
  <c r="D14" i="122"/>
  <c r="D16" i="122" s="1"/>
  <c r="G23" i="122"/>
  <c r="D191" i="130"/>
  <c r="H191" i="130" s="1"/>
  <c r="H218" i="130" s="1" a="1"/>
  <c r="H218" i="130" s="1"/>
  <c r="I218" i="130" s="1"/>
  <c r="D199" i="130"/>
  <c r="H199" i="130" s="1"/>
  <c r="H226" i="130" s="1" a="1"/>
  <c r="H226" i="130" s="1"/>
  <c r="D186" i="130"/>
  <c r="H186" i="130" s="1"/>
  <c r="H213" i="130" s="1" a="1"/>
  <c r="H213" i="130" s="1"/>
  <c r="D194" i="130"/>
  <c r="H194" i="130" s="1"/>
  <c r="H221" i="130" s="1" a="1"/>
  <c r="H221" i="130" s="1"/>
  <c r="I221" i="130" s="1"/>
  <c r="D202" i="130"/>
  <c r="H202" i="130" s="1"/>
  <c r="H229" i="130" s="1" a="1"/>
  <c r="H229" i="130" s="1"/>
  <c r="D185" i="130"/>
  <c r="H185" i="130" s="1"/>
  <c r="H212" i="130" s="1" a="1"/>
  <c r="H212" i="130" s="1"/>
  <c r="D193" i="130"/>
  <c r="H193" i="130" s="1"/>
  <c r="H220" i="130" s="1" a="1"/>
  <c r="H220" i="130" s="1"/>
  <c r="D201" i="130"/>
  <c r="H201" i="130" s="1"/>
  <c r="H228" i="130" s="1" a="1"/>
  <c r="H228" i="130" s="1"/>
  <c r="I228" i="130" s="1"/>
  <c r="D188" i="130"/>
  <c r="H188" i="130" s="1"/>
  <c r="H215" i="130" s="1" a="1"/>
  <c r="H215" i="130" s="1"/>
  <c r="D196" i="130"/>
  <c r="H196" i="130" s="1"/>
  <c r="H223" i="130" s="1" a="1"/>
  <c r="H223" i="130" s="1"/>
  <c r="D187" i="130"/>
  <c r="H187" i="130" s="1"/>
  <c r="H214" i="130" s="1" a="1"/>
  <c r="H214" i="130" s="1"/>
  <c r="D195" i="130"/>
  <c r="H195" i="130" s="1"/>
  <c r="H222" i="130" s="1" a="1"/>
  <c r="H222" i="130" s="1"/>
  <c r="I222" i="130" s="1"/>
  <c r="D203" i="130"/>
  <c r="H203" i="130" s="1"/>
  <c r="H230" i="130" s="1" a="1"/>
  <c r="H230" i="130" s="1"/>
  <c r="D190" i="130"/>
  <c r="H190" i="130" s="1"/>
  <c r="H217" i="130" s="1" a="1"/>
  <c r="H217" i="130" s="1"/>
  <c r="D198" i="130"/>
  <c r="H198" i="130" s="1"/>
  <c r="H225" i="130" s="1" a="1"/>
  <c r="H225" i="130" s="1"/>
  <c r="D189" i="130"/>
  <c r="H189" i="130" s="1"/>
  <c r="H216" i="130" s="1" a="1"/>
  <c r="H216" i="130" s="1"/>
  <c r="D197" i="130"/>
  <c r="H197" i="130" s="1"/>
  <c r="H224" i="130" s="1" a="1"/>
  <c r="H224" i="130" s="1"/>
  <c r="D184" i="130"/>
  <c r="H184" i="130" s="1"/>
  <c r="H211" i="130" s="1" a="1"/>
  <c r="H211" i="130" s="1"/>
  <c r="D192" i="130"/>
  <c r="H192" i="130" s="1"/>
  <c r="H219" i="130" s="1" a="1"/>
  <c r="H219" i="130" s="1"/>
  <c r="D200" i="130"/>
  <c r="H200" i="130" s="1"/>
  <c r="H227" i="130" s="1" a="1"/>
  <c r="H227" i="130" s="1"/>
  <c r="I227" i="130" s="1"/>
  <c r="D91" i="122"/>
  <c r="G8" i="122"/>
  <c r="H8" i="122"/>
  <c r="J230" i="131"/>
  <c r="J224" i="127"/>
  <c r="J226" i="123"/>
  <c r="H41" i="122"/>
  <c r="J217" i="134"/>
  <c r="G47" i="122"/>
  <c r="J225" i="134"/>
  <c r="H47" i="122"/>
  <c r="J230" i="134"/>
  <c r="D203" i="138"/>
  <c r="H203" i="138" s="1"/>
  <c r="H230" i="138" s="1" a="1"/>
  <c r="H230" i="138" s="1"/>
  <c r="D196" i="138"/>
  <c r="H196" i="138" s="1"/>
  <c r="H223" i="138" s="1" a="1"/>
  <c r="H223" i="138" s="1"/>
  <c r="I223" i="138" s="1"/>
  <c r="D195" i="138"/>
  <c r="H195" i="138" s="1"/>
  <c r="H222" i="138" s="1" a="1"/>
  <c r="H222" i="138" s="1"/>
  <c r="I222" i="138" s="1"/>
  <c r="D186" i="138"/>
  <c r="H186" i="138" s="1"/>
  <c r="H213" i="138" s="1" a="1"/>
  <c r="H213" i="138" s="1"/>
  <c r="I213" i="138" s="1"/>
  <c r="D198" i="138"/>
  <c r="H198" i="138" s="1"/>
  <c r="H225" i="138" s="1" a="1"/>
  <c r="H225" i="138" s="1"/>
  <c r="D202" i="132"/>
  <c r="H202" i="132" s="1"/>
  <c r="H229" i="132" s="1" a="1"/>
  <c r="H229" i="132" s="1"/>
  <c r="I229" i="132" s="1"/>
  <c r="D200" i="132"/>
  <c r="H200" i="132" s="1"/>
  <c r="H227" i="132" s="1" a="1"/>
  <c r="H227" i="132" s="1"/>
  <c r="I227" i="132" s="1"/>
  <c r="D198" i="132"/>
  <c r="H198" i="132" s="1"/>
  <c r="H225" i="132" s="1" a="1"/>
  <c r="H225" i="132" s="1"/>
  <c r="I225" i="132" s="1"/>
  <c r="D196" i="132"/>
  <c r="H196" i="132" s="1"/>
  <c r="H223" i="132" s="1" a="1"/>
  <c r="H223" i="132" s="1"/>
  <c r="I223" i="132" s="1"/>
  <c r="D194" i="132"/>
  <c r="H194" i="132" s="1"/>
  <c r="H221" i="132" s="1" a="1"/>
  <c r="H221" i="132" s="1"/>
  <c r="I221" i="132" s="1"/>
  <c r="D192" i="132"/>
  <c r="H192" i="132" s="1"/>
  <c r="H219" i="132" s="1" a="1"/>
  <c r="H219" i="132" s="1"/>
  <c r="I219" i="132" s="1"/>
  <c r="D190" i="132"/>
  <c r="H190" i="132" s="1"/>
  <c r="H217" i="132" s="1" a="1"/>
  <c r="H217" i="132" s="1"/>
  <c r="I217" i="132" s="1"/>
  <c r="D188" i="132"/>
  <c r="H188" i="132" s="1"/>
  <c r="H215" i="132" s="1" a="1"/>
  <c r="H215" i="132" s="1"/>
  <c r="I215" i="132" s="1"/>
  <c r="D186" i="132"/>
  <c r="H186" i="132" s="1"/>
  <c r="H213" i="132" s="1" a="1"/>
  <c r="H213" i="132" s="1"/>
  <c r="I213" i="132" s="1"/>
  <c r="D184" i="132"/>
  <c r="H184" i="132" s="1"/>
  <c r="H211" i="132" s="1" a="1"/>
  <c r="H211" i="132" s="1"/>
  <c r="I211" i="132" s="1"/>
  <c r="D187" i="132"/>
  <c r="H187" i="132" s="1"/>
  <c r="H214" i="132" s="1" a="1"/>
  <c r="H214" i="132" s="1"/>
  <c r="I214" i="132" s="1"/>
  <c r="D195" i="132"/>
  <c r="H195" i="132" s="1"/>
  <c r="H222" i="132" s="1" a="1"/>
  <c r="H222" i="132" s="1"/>
  <c r="I222" i="132" s="1"/>
  <c r="D203" i="132"/>
  <c r="H203" i="132" s="1"/>
  <c r="H230" i="132" s="1" a="1"/>
  <c r="H230" i="132" s="1"/>
  <c r="I230" i="132" s="1"/>
  <c r="D189" i="132"/>
  <c r="H189" i="132" s="1"/>
  <c r="H216" i="132" s="1" a="1"/>
  <c r="H216" i="132" s="1"/>
  <c r="I216" i="132" s="1"/>
  <c r="D197" i="132"/>
  <c r="H197" i="132" s="1"/>
  <c r="H224" i="132" s="1" a="1"/>
  <c r="H224" i="132" s="1"/>
  <c r="I224" i="132" s="1"/>
  <c r="D191" i="132"/>
  <c r="H191" i="132" s="1"/>
  <c r="H218" i="132" s="1" a="1"/>
  <c r="H218" i="132" s="1"/>
  <c r="I218" i="132" s="1"/>
  <c r="D199" i="132"/>
  <c r="H199" i="132" s="1"/>
  <c r="H226" i="132" s="1" a="1"/>
  <c r="H226" i="132" s="1"/>
  <c r="I226" i="132" s="1"/>
  <c r="D185" i="132"/>
  <c r="H185" i="132" s="1"/>
  <c r="H212" i="132" s="1" a="1"/>
  <c r="H212" i="132" s="1"/>
  <c r="I212" i="132" s="1"/>
  <c r="D193" i="132"/>
  <c r="H193" i="132" s="1"/>
  <c r="H220" i="132" s="1" a="1"/>
  <c r="H220" i="132" s="1"/>
  <c r="I220" i="132" s="1"/>
  <c r="D201" i="132"/>
  <c r="H201" i="132" s="1"/>
  <c r="H228" i="132" s="1" a="1"/>
  <c r="H228" i="132" s="1"/>
  <c r="I228" i="132" s="1"/>
  <c r="I213" i="130"/>
  <c r="J213" i="130"/>
  <c r="J221" i="130"/>
  <c r="J229" i="130"/>
  <c r="J218" i="130"/>
  <c r="I226" i="130"/>
  <c r="J226" i="130"/>
  <c r="G24" i="122"/>
  <c r="K180" i="126"/>
  <c r="H179" i="126"/>
  <c r="D162" i="129"/>
  <c r="H162" i="129" s="1"/>
  <c r="G233" i="129" s="1" a="1"/>
  <c r="G233" i="129" s="1"/>
  <c r="D160" i="129"/>
  <c r="H160" i="129" s="1"/>
  <c r="G231" i="129" s="1" a="1"/>
  <c r="G231" i="129" s="1"/>
  <c r="D158" i="129"/>
  <c r="H158" i="129" s="1"/>
  <c r="G229" i="129" s="1" a="1"/>
  <c r="G229" i="129" s="1"/>
  <c r="D156" i="129"/>
  <c r="H156" i="129" s="1"/>
  <c r="G227" i="129" s="1" a="1"/>
  <c r="G227" i="129" s="1"/>
  <c r="J227" i="129" s="1"/>
  <c r="D154" i="129"/>
  <c r="H154" i="129" s="1"/>
  <c r="G225" i="129" s="1" a="1"/>
  <c r="G225" i="129" s="1"/>
  <c r="D152" i="129"/>
  <c r="H152" i="129" s="1"/>
  <c r="G223" i="129" s="1" a="1"/>
  <c r="G223" i="129" s="1"/>
  <c r="D150" i="129"/>
  <c r="H150" i="129" s="1"/>
  <c r="G221" i="129" s="1" a="1"/>
  <c r="G221" i="129" s="1"/>
  <c r="J221" i="129" s="1"/>
  <c r="D148" i="129"/>
  <c r="H148" i="129" s="1"/>
  <c r="G219" i="129" s="1" a="1"/>
  <c r="G219" i="129" s="1"/>
  <c r="D146" i="129"/>
  <c r="H146" i="129" s="1"/>
  <c r="G217" i="129" s="1" a="1"/>
  <c r="G217" i="129" s="1"/>
  <c r="D144" i="129"/>
  <c r="H144" i="129" s="1"/>
  <c r="G215" i="129" s="1" a="1"/>
  <c r="G215" i="129" s="1"/>
  <c r="D163" i="129"/>
  <c r="H163" i="129" s="1"/>
  <c r="G234" i="129" s="1" a="1"/>
  <c r="G234" i="129" s="1"/>
  <c r="J234" i="129" s="1"/>
  <c r="D161" i="129"/>
  <c r="H161" i="129" s="1"/>
  <c r="G232" i="129" s="1" a="1"/>
  <c r="G232" i="129" s="1"/>
  <c r="D159" i="129"/>
  <c r="H159" i="129" s="1"/>
  <c r="G230" i="129" s="1" a="1"/>
  <c r="G230" i="129" s="1"/>
  <c r="D157" i="129"/>
  <c r="H157" i="129" s="1"/>
  <c r="G228" i="129" s="1" a="1"/>
  <c r="G228" i="129" s="1"/>
  <c r="D155" i="129"/>
  <c r="H155" i="129" s="1"/>
  <c r="G226" i="129" s="1" a="1"/>
  <c r="G226" i="129" s="1"/>
  <c r="J226" i="129" s="1"/>
  <c r="D153" i="129"/>
  <c r="H153" i="129" s="1"/>
  <c r="G224" i="129" s="1" a="1"/>
  <c r="G224" i="129" s="1"/>
  <c r="J224" i="129" s="1"/>
  <c r="D151" i="129"/>
  <c r="H151" i="129" s="1"/>
  <c r="G222" i="129" s="1" a="1"/>
  <c r="G222" i="129" s="1"/>
  <c r="D149" i="129"/>
  <c r="H149" i="129" s="1"/>
  <c r="G220" i="129" s="1" a="1"/>
  <c r="G220" i="129" s="1"/>
  <c r="D147" i="129"/>
  <c r="H147" i="129" s="1"/>
  <c r="G218" i="129" s="1" a="1"/>
  <c r="G218" i="129" s="1"/>
  <c r="J218" i="129" s="1"/>
  <c r="D145" i="129"/>
  <c r="H145" i="129" s="1"/>
  <c r="G216" i="129" s="1" a="1"/>
  <c r="G216" i="129" s="1"/>
  <c r="J216" i="129" s="1"/>
  <c r="J215" i="128"/>
  <c r="J223" i="128"/>
  <c r="J212" i="128"/>
  <c r="J220" i="128"/>
  <c r="J228" i="128"/>
  <c r="J224" i="140"/>
  <c r="J214" i="140"/>
  <c r="D98" i="122"/>
  <c r="J211" i="140"/>
  <c r="J219" i="140"/>
  <c r="J227" i="140"/>
  <c r="J212" i="126"/>
  <c r="F30" i="122"/>
  <c r="J220" i="126"/>
  <c r="J228" i="126"/>
  <c r="E30" i="122"/>
  <c r="J215" i="126"/>
  <c r="J223" i="126"/>
  <c r="H183" i="131"/>
  <c r="H23" i="122"/>
  <c r="J234" i="125"/>
  <c r="D8" i="122"/>
  <c r="J217" i="131"/>
  <c r="J213" i="124"/>
  <c r="E23" i="122"/>
  <c r="J219" i="125"/>
  <c r="J216" i="127"/>
  <c r="J221" i="131"/>
  <c r="D41" i="122"/>
  <c r="J231" i="133"/>
  <c r="D47" i="122"/>
  <c r="J211" i="134"/>
  <c r="J219" i="134"/>
  <c r="J216" i="134"/>
  <c r="J224" i="134"/>
  <c r="D202" i="136"/>
  <c r="H202" i="136" s="1"/>
  <c r="H229" i="136" s="1" a="1"/>
  <c r="H229" i="136" s="1"/>
  <c r="I229" i="136" s="1"/>
  <c r="D200" i="136"/>
  <c r="H200" i="136" s="1"/>
  <c r="H227" i="136" s="1" a="1"/>
  <c r="H227" i="136" s="1"/>
  <c r="D198" i="136"/>
  <c r="H198" i="136" s="1"/>
  <c r="H225" i="136" s="1" a="1"/>
  <c r="H225" i="136" s="1"/>
  <c r="G65" i="122" s="1"/>
  <c r="D196" i="136"/>
  <c r="H196" i="136" s="1"/>
  <c r="H223" i="136" s="1" a="1"/>
  <c r="H223" i="136" s="1"/>
  <c r="I223" i="136" s="1"/>
  <c r="D194" i="136"/>
  <c r="H194" i="136" s="1"/>
  <c r="H221" i="136" s="1" a="1"/>
  <c r="H221" i="136" s="1"/>
  <c r="I221" i="136" s="1"/>
  <c r="D192" i="136"/>
  <c r="H192" i="136" s="1"/>
  <c r="H219" i="136" s="1" a="1"/>
  <c r="H219" i="136" s="1"/>
  <c r="D190" i="136"/>
  <c r="H190" i="136" s="1"/>
  <c r="H217" i="136" s="1" a="1"/>
  <c r="H217" i="136" s="1"/>
  <c r="I217" i="136" s="1"/>
  <c r="D188" i="136"/>
  <c r="H188" i="136" s="1"/>
  <c r="H215" i="136" s="1" a="1"/>
  <c r="H215" i="136" s="1"/>
  <c r="E65" i="122" s="1"/>
  <c r="D186" i="136"/>
  <c r="H186" i="136" s="1"/>
  <c r="H213" i="136" s="1" a="1"/>
  <c r="H213" i="136" s="1"/>
  <c r="I213" i="136" s="1"/>
  <c r="D184" i="136"/>
  <c r="H184" i="136" s="1"/>
  <c r="H211" i="136" s="1" a="1"/>
  <c r="H211" i="136" s="1"/>
  <c r="D65" i="122" s="1"/>
  <c r="D185" i="136"/>
  <c r="H185" i="136" s="1"/>
  <c r="H212" i="136" s="1" a="1"/>
  <c r="H212" i="136" s="1"/>
  <c r="I212" i="136" s="1"/>
  <c r="D193" i="136"/>
  <c r="H193" i="136" s="1"/>
  <c r="H220" i="136" s="1" a="1"/>
  <c r="H220" i="136" s="1"/>
  <c r="F65" i="122" s="1"/>
  <c r="D201" i="136"/>
  <c r="H201" i="136" s="1"/>
  <c r="H228" i="136" s="1" a="1"/>
  <c r="H228" i="136" s="1"/>
  <c r="D187" i="136"/>
  <c r="H187" i="136" s="1"/>
  <c r="H214" i="136" s="1" a="1"/>
  <c r="H214" i="136" s="1"/>
  <c r="I214" i="136" s="1"/>
  <c r="D195" i="136"/>
  <c r="H195" i="136" s="1"/>
  <c r="H222" i="136" s="1" a="1"/>
  <c r="H222" i="136" s="1"/>
  <c r="I222" i="136" s="1"/>
  <c r="D203" i="136"/>
  <c r="H203" i="136" s="1"/>
  <c r="H230" i="136" s="1" a="1"/>
  <c r="H230" i="136" s="1"/>
  <c r="H65" i="122" s="1"/>
  <c r="D189" i="136"/>
  <c r="H189" i="136" s="1"/>
  <c r="H216" i="136" s="1" a="1"/>
  <c r="H216" i="136" s="1"/>
  <c r="I216" i="136" s="1"/>
  <c r="D197" i="136"/>
  <c r="H197" i="136" s="1"/>
  <c r="H224" i="136" s="1" a="1"/>
  <c r="H224" i="136" s="1"/>
  <c r="D191" i="136"/>
  <c r="H191" i="136" s="1"/>
  <c r="H218" i="136" s="1" a="1"/>
  <c r="H218" i="136" s="1"/>
  <c r="I218" i="136" s="1"/>
  <c r="D199" i="136"/>
  <c r="H199" i="136" s="1"/>
  <c r="H226" i="136" s="1" a="1"/>
  <c r="H226" i="136" s="1"/>
  <c r="I226" i="136" s="1"/>
  <c r="D187" i="138"/>
  <c r="H187" i="138" s="1"/>
  <c r="H214" i="138" s="1" a="1"/>
  <c r="H214" i="138" s="1"/>
  <c r="I214" i="138" s="1"/>
  <c r="D199" i="138"/>
  <c r="H199" i="138" s="1"/>
  <c r="H226" i="138" s="1" a="1"/>
  <c r="H226" i="138" s="1"/>
  <c r="I226" i="138" s="1"/>
  <c r="D193" i="138"/>
  <c r="H193" i="138" s="1"/>
  <c r="H220" i="138" s="1" a="1"/>
  <c r="H220" i="138" s="1"/>
  <c r="D202" i="138"/>
  <c r="H202" i="138" s="1"/>
  <c r="H229" i="138" s="1" a="1"/>
  <c r="H229" i="138" s="1"/>
  <c r="I229" i="138" s="1"/>
  <c r="D184" i="138"/>
  <c r="H184" i="138" s="1"/>
  <c r="H211" i="138" s="1" a="1"/>
  <c r="H211" i="138" s="1"/>
  <c r="I215" i="130"/>
  <c r="J215" i="130"/>
  <c r="I223" i="130"/>
  <c r="J223" i="130"/>
  <c r="I212" i="130"/>
  <c r="J212" i="130"/>
  <c r="I220" i="130"/>
  <c r="J220" i="130"/>
  <c r="J228" i="130"/>
  <c r="D24" i="122"/>
  <c r="F64" i="122"/>
  <c r="F66" i="122" s="1"/>
  <c r="D202" i="124"/>
  <c r="H202" i="124" s="1"/>
  <c r="H229" i="124" s="1" a="1"/>
  <c r="H229" i="124" s="1"/>
  <c r="I229" i="124" s="1"/>
  <c r="D200" i="124"/>
  <c r="H200" i="124" s="1"/>
  <c r="H227" i="124" s="1" a="1"/>
  <c r="H227" i="124" s="1"/>
  <c r="I227" i="124" s="1"/>
  <c r="D198" i="124"/>
  <c r="H198" i="124" s="1"/>
  <c r="H225" i="124" s="1" a="1"/>
  <c r="H225" i="124" s="1"/>
  <c r="G15" i="122" s="1"/>
  <c r="D196" i="124"/>
  <c r="H196" i="124" s="1"/>
  <c r="H223" i="124" s="1" a="1"/>
  <c r="H223" i="124" s="1"/>
  <c r="D194" i="124"/>
  <c r="H194" i="124" s="1"/>
  <c r="H221" i="124" s="1" a="1"/>
  <c r="H221" i="124" s="1"/>
  <c r="I221" i="124" s="1"/>
  <c r="D192" i="124"/>
  <c r="H192" i="124" s="1"/>
  <c r="H219" i="124" s="1" a="1"/>
  <c r="H219" i="124" s="1"/>
  <c r="I219" i="124" s="1"/>
  <c r="D190" i="124"/>
  <c r="H190" i="124" s="1"/>
  <c r="H217" i="124" s="1" a="1"/>
  <c r="H217" i="124" s="1"/>
  <c r="I217" i="124" s="1"/>
  <c r="D188" i="124"/>
  <c r="H188" i="124" s="1"/>
  <c r="H215" i="124" s="1" a="1"/>
  <c r="H215" i="124" s="1"/>
  <c r="E15" i="122" s="1"/>
  <c r="D186" i="124"/>
  <c r="H186" i="124" s="1"/>
  <c r="H213" i="124" s="1" a="1"/>
  <c r="H213" i="124" s="1"/>
  <c r="I213" i="124" s="1"/>
  <c r="D184" i="124"/>
  <c r="H184" i="124" s="1"/>
  <c r="H211" i="124" s="1" a="1"/>
  <c r="H211" i="124" s="1"/>
  <c r="D15" i="122" s="1"/>
  <c r="D185" i="124"/>
  <c r="H185" i="124" s="1"/>
  <c r="H212" i="124" s="1" a="1"/>
  <c r="H212" i="124" s="1"/>
  <c r="I212" i="124" s="1"/>
  <c r="D193" i="124"/>
  <c r="H193" i="124" s="1"/>
  <c r="H220" i="124" s="1" a="1"/>
  <c r="H220" i="124" s="1"/>
  <c r="F15" i="122" s="1"/>
  <c r="D201" i="124"/>
  <c r="H201" i="124" s="1"/>
  <c r="H228" i="124" s="1" a="1"/>
  <c r="H228" i="124" s="1"/>
  <c r="I228" i="124" s="1"/>
  <c r="D187" i="124"/>
  <c r="H187" i="124" s="1"/>
  <c r="H214" i="124" s="1" a="1"/>
  <c r="H214" i="124" s="1"/>
  <c r="I214" i="124" s="1"/>
  <c r="D195" i="124"/>
  <c r="H195" i="124" s="1"/>
  <c r="H222" i="124" s="1" a="1"/>
  <c r="H222" i="124" s="1"/>
  <c r="I222" i="124" s="1"/>
  <c r="D203" i="124"/>
  <c r="H203" i="124" s="1"/>
  <c r="H230" i="124" s="1" a="1"/>
  <c r="H230" i="124" s="1"/>
  <c r="H15" i="122" s="1"/>
  <c r="D189" i="124"/>
  <c r="H189" i="124" s="1"/>
  <c r="H216" i="124" s="1" a="1"/>
  <c r="H216" i="124" s="1"/>
  <c r="I216" i="124" s="1"/>
  <c r="D197" i="124"/>
  <c r="H197" i="124" s="1"/>
  <c r="H224" i="124" s="1" a="1"/>
  <c r="H224" i="124" s="1"/>
  <c r="I224" i="124" s="1"/>
  <c r="D191" i="124"/>
  <c r="H191" i="124" s="1"/>
  <c r="H218" i="124" s="1" a="1"/>
  <c r="H218" i="124" s="1"/>
  <c r="I218" i="124" s="1"/>
  <c r="D199" i="124"/>
  <c r="H199" i="124" s="1"/>
  <c r="H226" i="124" s="1" a="1"/>
  <c r="H226" i="124" s="1"/>
  <c r="I226" i="124" s="1"/>
  <c r="J215" i="129"/>
  <c r="J181" i="129"/>
  <c r="K180" i="129"/>
  <c r="K181" i="129" s="1"/>
  <c r="J225" i="129"/>
  <c r="J233" i="129"/>
  <c r="J222" i="129"/>
  <c r="J230" i="129"/>
  <c r="J217" i="128"/>
  <c r="J225" i="128"/>
  <c r="J214" i="128"/>
  <c r="J222" i="128"/>
  <c r="J230" i="128"/>
  <c r="J212" i="140"/>
  <c r="J228" i="140"/>
  <c r="J213" i="140"/>
  <c r="J221" i="140"/>
  <c r="J229" i="140"/>
  <c r="J214" i="126"/>
  <c r="J222" i="126"/>
  <c r="H30" i="122"/>
  <c r="J230" i="126"/>
  <c r="J217" i="126"/>
  <c r="G30" i="122"/>
  <c r="J225" i="126"/>
  <c r="K184" i="125"/>
  <c r="F14" i="122"/>
  <c r="F16" i="122" s="1"/>
  <c r="E14" i="122"/>
  <c r="E16" i="122" s="1"/>
  <c r="I223" i="124"/>
  <c r="J230" i="123"/>
  <c r="J228" i="123"/>
  <c r="J226" i="124"/>
  <c r="F23" i="122"/>
  <c r="J224" i="125"/>
  <c r="J231" i="127"/>
  <c r="J234" i="131"/>
  <c r="H91" i="122"/>
  <c r="D194" i="128"/>
  <c r="H194" i="128" s="1"/>
  <c r="H221" i="128" s="1" a="1"/>
  <c r="H221" i="128" s="1"/>
  <c r="I221" i="128" s="1"/>
  <c r="D201" i="128"/>
  <c r="H201" i="128" s="1"/>
  <c r="H228" i="128" s="1" a="1"/>
  <c r="H228" i="128" s="1"/>
  <c r="I228" i="128" s="1"/>
  <c r="D195" i="128"/>
  <c r="H195" i="128" s="1"/>
  <c r="H222" i="128" s="1" a="1"/>
  <c r="H222" i="128" s="1"/>
  <c r="I222" i="128" s="1"/>
  <c r="D189" i="128"/>
  <c r="H189" i="128" s="1"/>
  <c r="H216" i="128" s="1" a="1"/>
  <c r="H216" i="128" s="1"/>
  <c r="D200" i="128"/>
  <c r="H200" i="128" s="1"/>
  <c r="H227" i="128" s="1" a="1"/>
  <c r="H227" i="128" s="1"/>
  <c r="J217" i="133"/>
  <c r="J225" i="133"/>
  <c r="J233" i="133"/>
  <c r="J222" i="133"/>
  <c r="J230" i="133"/>
  <c r="J213" i="134"/>
  <c r="J221" i="134"/>
  <c r="J229" i="134"/>
  <c r="J218" i="134"/>
  <c r="J226" i="134"/>
  <c r="D201" i="138"/>
  <c r="H201" i="138" s="1"/>
  <c r="H228" i="138" s="1" a="1"/>
  <c r="H228" i="138" s="1"/>
  <c r="I228" i="138" s="1"/>
  <c r="D197" i="138"/>
  <c r="H197" i="138" s="1"/>
  <c r="H224" i="138" s="1" a="1"/>
  <c r="H224" i="138" s="1"/>
  <c r="I224" i="138" s="1"/>
  <c r="D191" i="138"/>
  <c r="H191" i="138" s="1"/>
  <c r="H218" i="138" s="1" a="1"/>
  <c r="H218" i="138" s="1"/>
  <c r="I218" i="138" s="1"/>
  <c r="D190" i="138"/>
  <c r="H190" i="138" s="1"/>
  <c r="H217" i="138" s="1" a="1"/>
  <c r="H217" i="138" s="1"/>
  <c r="I217" i="138" s="1"/>
  <c r="D188" i="138"/>
  <c r="H188" i="138" s="1"/>
  <c r="H215" i="138" s="1" a="1"/>
  <c r="H215" i="138" s="1"/>
  <c r="I217" i="130"/>
  <c r="I225" i="130"/>
  <c r="J225" i="130"/>
  <c r="I214" i="130"/>
  <c r="I230" i="130"/>
  <c r="H64" i="122"/>
  <c r="H66" i="122" s="1"/>
  <c r="G64" i="122"/>
  <c r="G66" i="122" s="1"/>
  <c r="J223" i="129"/>
  <c r="J217" i="129"/>
  <c r="J219" i="129"/>
  <c r="J232" i="129"/>
  <c r="D163" i="137"/>
  <c r="H163" i="137" s="1"/>
  <c r="G234" i="137" s="1" a="1"/>
  <c r="G234" i="137" s="1"/>
  <c r="D161" i="137"/>
  <c r="H161" i="137" s="1"/>
  <c r="G232" i="137" s="1" a="1"/>
  <c r="G232" i="137" s="1"/>
  <c r="D159" i="137"/>
  <c r="H159" i="137" s="1"/>
  <c r="G230" i="137" s="1" a="1"/>
  <c r="G230" i="137" s="1"/>
  <c r="D157" i="137"/>
  <c r="H157" i="137" s="1"/>
  <c r="G228" i="137" s="1" a="1"/>
  <c r="G228" i="137" s="1"/>
  <c r="D155" i="137"/>
  <c r="H155" i="137" s="1"/>
  <c r="G226" i="137" s="1" a="1"/>
  <c r="G226" i="137" s="1"/>
  <c r="D153" i="137"/>
  <c r="H153" i="137" s="1"/>
  <c r="G224" i="137" s="1" a="1"/>
  <c r="G224" i="137" s="1"/>
  <c r="D151" i="137"/>
  <c r="H151" i="137" s="1"/>
  <c r="G222" i="137" s="1" a="1"/>
  <c r="G222" i="137" s="1"/>
  <c r="D149" i="137"/>
  <c r="H149" i="137" s="1"/>
  <c r="G220" i="137" s="1" a="1"/>
  <c r="G220" i="137" s="1"/>
  <c r="D147" i="137"/>
  <c r="H147" i="137" s="1"/>
  <c r="G218" i="137" s="1" a="1"/>
  <c r="G218" i="137" s="1"/>
  <c r="D145" i="137"/>
  <c r="H145" i="137" s="1"/>
  <c r="G216" i="137" s="1" a="1"/>
  <c r="G216" i="137" s="1"/>
  <c r="D162" i="137"/>
  <c r="H162" i="137" s="1"/>
  <c r="G233" i="137" s="1" a="1"/>
  <c r="G233" i="137" s="1"/>
  <c r="D160" i="137"/>
  <c r="H160" i="137" s="1"/>
  <c r="G231" i="137" s="1" a="1"/>
  <c r="G231" i="137" s="1"/>
  <c r="D158" i="137"/>
  <c r="H158" i="137" s="1"/>
  <c r="G229" i="137" s="1" a="1"/>
  <c r="G229" i="137" s="1"/>
  <c r="D156" i="137"/>
  <c r="H156" i="137" s="1"/>
  <c r="G227" i="137" s="1" a="1"/>
  <c r="G227" i="137" s="1"/>
  <c r="D154" i="137"/>
  <c r="H154" i="137" s="1"/>
  <c r="G225" i="137" s="1" a="1"/>
  <c r="G225" i="137" s="1"/>
  <c r="D152" i="137"/>
  <c r="H152" i="137" s="1"/>
  <c r="G223" i="137" s="1" a="1"/>
  <c r="G223" i="137" s="1"/>
  <c r="D150" i="137"/>
  <c r="H150" i="137" s="1"/>
  <c r="G221" i="137" s="1" a="1"/>
  <c r="G221" i="137" s="1"/>
  <c r="D148" i="137"/>
  <c r="H148" i="137" s="1"/>
  <c r="G219" i="137" s="1" a="1"/>
  <c r="G219" i="137" s="1"/>
  <c r="D146" i="137"/>
  <c r="H146" i="137" s="1"/>
  <c r="G217" i="137" s="1" a="1"/>
  <c r="G217" i="137" s="1"/>
  <c r="D144" i="137"/>
  <c r="H144" i="137" s="1"/>
  <c r="G215" i="137" s="1" a="1"/>
  <c r="G215" i="137" s="1"/>
  <c r="J211" i="128"/>
  <c r="J219" i="128"/>
  <c r="I227" i="128"/>
  <c r="J227" i="128"/>
  <c r="I216" i="128"/>
  <c r="J216" i="128"/>
  <c r="I224" i="128"/>
  <c r="J224" i="128"/>
  <c r="J222" i="140"/>
  <c r="J216" i="140"/>
  <c r="J218" i="140"/>
  <c r="E98" i="122"/>
  <c r="J215" i="140"/>
  <c r="J223" i="140"/>
  <c r="F91" i="122"/>
  <c r="J216" i="126"/>
  <c r="J224" i="126"/>
  <c r="D30" i="122"/>
  <c r="J211" i="126"/>
  <c r="J219" i="126"/>
  <c r="J227" i="126"/>
  <c r="K180" i="134"/>
  <c r="H179" i="134"/>
  <c r="D23" i="122"/>
  <c r="J215" i="125"/>
  <c r="J220" i="124"/>
  <c r="J181" i="123"/>
  <c r="K179" i="123"/>
  <c r="K181" i="123" s="1"/>
  <c r="I230" i="124"/>
  <c r="H14" i="122"/>
  <c r="H16" i="122" s="1"/>
  <c r="G14" i="122"/>
  <c r="G16" i="122" s="1"/>
  <c r="J181" i="137"/>
  <c r="K179" i="137"/>
  <c r="K181" i="137" s="1"/>
  <c r="G91" i="122"/>
  <c r="E8" i="122"/>
  <c r="F8" i="122"/>
  <c r="J223" i="131"/>
  <c r="J229" i="124"/>
  <c r="J218" i="124"/>
  <c r="J224" i="123"/>
  <c r="J232" i="127"/>
  <c r="J221" i="127"/>
  <c r="J181" i="139"/>
  <c r="H183" i="139" s="1"/>
  <c r="J223" i="123"/>
  <c r="E41" i="122"/>
  <c r="F41" i="122"/>
  <c r="E47" i="122"/>
  <c r="J215" i="134"/>
  <c r="J223" i="134"/>
  <c r="J212" i="134"/>
  <c r="F47" i="122"/>
  <c r="J220" i="134"/>
  <c r="J228" i="134"/>
  <c r="D200" i="138"/>
  <c r="H200" i="138" s="1"/>
  <c r="H227" i="138" s="1" a="1"/>
  <c r="H227" i="138" s="1"/>
  <c r="I227" i="138" s="1"/>
  <c r="D185" i="138"/>
  <c r="H185" i="138" s="1"/>
  <c r="H212" i="138" s="1" a="1"/>
  <c r="H212" i="138" s="1"/>
  <c r="I212" i="138" s="1"/>
  <c r="D192" i="138"/>
  <c r="H192" i="138" s="1"/>
  <c r="H219" i="138" s="1" a="1"/>
  <c r="H219" i="138" s="1"/>
  <c r="I219" i="138" s="1"/>
  <c r="D189" i="138"/>
  <c r="H189" i="138" s="1"/>
  <c r="H216" i="138" s="1" a="1"/>
  <c r="H216" i="138" s="1"/>
  <c r="I216" i="138" s="1"/>
  <c r="J181" i="135"/>
  <c r="K184" i="135" s="1"/>
  <c r="J211" i="130"/>
  <c r="I219" i="130"/>
  <c r="J219" i="130"/>
  <c r="J227" i="130"/>
  <c r="J216" i="130"/>
  <c r="I224" i="130"/>
  <c r="J224" i="130"/>
  <c r="D202" i="140"/>
  <c r="H202" i="140" s="1"/>
  <c r="H229" i="140" s="1" a="1"/>
  <c r="H229" i="140" s="1"/>
  <c r="I229" i="140" s="1"/>
  <c r="D194" i="140"/>
  <c r="H194" i="140" s="1"/>
  <c r="H221" i="140" s="1" a="1"/>
  <c r="H221" i="140" s="1"/>
  <c r="I221" i="140" s="1"/>
  <c r="D186" i="140"/>
  <c r="H186" i="140" s="1"/>
  <c r="H213" i="140" s="1" a="1"/>
  <c r="H213" i="140" s="1"/>
  <c r="I213" i="140" s="1"/>
  <c r="D192" i="140"/>
  <c r="H192" i="140" s="1"/>
  <c r="H219" i="140" s="1" a="1"/>
  <c r="H219" i="140" s="1"/>
  <c r="I219" i="140" s="1"/>
  <c r="D188" i="140"/>
  <c r="H188" i="140" s="1"/>
  <c r="H215" i="140" s="1" a="1"/>
  <c r="H215" i="140" s="1"/>
  <c r="E99" i="122" s="1"/>
  <c r="D190" i="140"/>
  <c r="H190" i="140" s="1"/>
  <c r="H217" i="140" s="1" a="1"/>
  <c r="H217" i="140" s="1"/>
  <c r="I217" i="140" s="1"/>
  <c r="D196" i="140"/>
  <c r="H196" i="140" s="1"/>
  <c r="H223" i="140" s="1" a="1"/>
  <c r="H223" i="140" s="1"/>
  <c r="I223" i="140" s="1"/>
  <c r="D200" i="140"/>
  <c r="H200" i="140" s="1"/>
  <c r="H227" i="140" s="1" a="1"/>
  <c r="H227" i="140" s="1"/>
  <c r="I227" i="140" s="1"/>
  <c r="D198" i="140"/>
  <c r="H198" i="140" s="1"/>
  <c r="H225" i="140" s="1" a="1"/>
  <c r="H225" i="140" s="1"/>
  <c r="G99" i="122" s="1"/>
  <c r="D184" i="140"/>
  <c r="H184" i="140" s="1"/>
  <c r="H211" i="140" s="1" a="1"/>
  <c r="H211" i="140" s="1"/>
  <c r="D99" i="122" s="1"/>
  <c r="D189" i="140"/>
  <c r="H189" i="140" s="1"/>
  <c r="H216" i="140" s="1" a="1"/>
  <c r="H216" i="140" s="1"/>
  <c r="I216" i="140" s="1"/>
  <c r="D197" i="140"/>
  <c r="H197" i="140" s="1"/>
  <c r="H224" i="140" s="1" a="1"/>
  <c r="H224" i="140" s="1"/>
  <c r="I224" i="140" s="1"/>
  <c r="D191" i="140"/>
  <c r="H191" i="140" s="1"/>
  <c r="H218" i="140" s="1" a="1"/>
  <c r="H218" i="140" s="1"/>
  <c r="I218" i="140" s="1"/>
  <c r="D199" i="140"/>
  <c r="H199" i="140" s="1"/>
  <c r="H226" i="140" s="1" a="1"/>
  <c r="H226" i="140" s="1"/>
  <c r="I226" i="140" s="1"/>
  <c r="D185" i="140"/>
  <c r="H185" i="140" s="1"/>
  <c r="H212" i="140" s="1" a="1"/>
  <c r="H212" i="140" s="1"/>
  <c r="I212" i="140" s="1"/>
  <c r="D193" i="140"/>
  <c r="H193" i="140" s="1"/>
  <c r="H220" i="140" s="1" a="1"/>
  <c r="H220" i="140" s="1"/>
  <c r="F99" i="122" s="1"/>
  <c r="D201" i="140"/>
  <c r="H201" i="140" s="1"/>
  <c r="H228" i="140" s="1" a="1"/>
  <c r="H228" i="140" s="1"/>
  <c r="I228" i="140" s="1"/>
  <c r="D203" i="140"/>
  <c r="H203" i="140" s="1"/>
  <c r="H230" i="140" s="1" a="1"/>
  <c r="H230" i="140" s="1"/>
  <c r="H99" i="122" s="1"/>
  <c r="D187" i="140"/>
  <c r="H187" i="140" s="1"/>
  <c r="H214" i="140" s="1" a="1"/>
  <c r="H214" i="140" s="1"/>
  <c r="I214" i="140" s="1"/>
  <c r="D195" i="140"/>
  <c r="H195" i="140" s="1"/>
  <c r="H222" i="140" s="1" a="1"/>
  <c r="H222" i="140" s="1"/>
  <c r="I222" i="140" s="1"/>
  <c r="E24" i="122"/>
  <c r="F24" i="122"/>
  <c r="I224" i="136"/>
  <c r="I211" i="136"/>
  <c r="D64" i="122"/>
  <c r="D66" i="122" s="1"/>
  <c r="I219" i="136"/>
  <c r="I227" i="136"/>
  <c r="J12" i="68"/>
  <c r="D197" i="128" l="1"/>
  <c r="H197" i="128" s="1"/>
  <c r="H224" i="128" s="1" a="1"/>
  <c r="H224" i="128" s="1"/>
  <c r="D203" i="128"/>
  <c r="H203" i="128" s="1"/>
  <c r="H230" i="128" s="1" a="1"/>
  <c r="H230" i="128" s="1"/>
  <c r="I230" i="128" s="1"/>
  <c r="D188" i="128"/>
  <c r="H188" i="128" s="1"/>
  <c r="H215" i="128" s="1" a="1"/>
  <c r="H215" i="128" s="1"/>
  <c r="I215" i="128" s="1"/>
  <c r="D202" i="128"/>
  <c r="H202" i="128" s="1"/>
  <c r="H229" i="128" s="1" a="1"/>
  <c r="H229" i="128" s="1"/>
  <c r="I229" i="128" s="1"/>
  <c r="D191" i="128"/>
  <c r="H191" i="128" s="1"/>
  <c r="H218" i="128" s="1" a="1"/>
  <c r="H218" i="128" s="1"/>
  <c r="I218" i="128" s="1"/>
  <c r="D192" i="128"/>
  <c r="H192" i="128" s="1"/>
  <c r="H219" i="128" s="1" a="1"/>
  <c r="H219" i="128" s="1"/>
  <c r="I219" i="128" s="1"/>
  <c r="D198" i="128"/>
  <c r="H198" i="128" s="1"/>
  <c r="H225" i="128" s="1" a="1"/>
  <c r="H225" i="128" s="1"/>
  <c r="I225" i="128" s="1"/>
  <c r="D187" i="128"/>
  <c r="H187" i="128" s="1"/>
  <c r="H214" i="128" s="1" a="1"/>
  <c r="H214" i="128" s="1"/>
  <c r="I214" i="128" s="1"/>
  <c r="D193" i="128"/>
  <c r="H193" i="128" s="1"/>
  <c r="H220" i="128" s="1" a="1"/>
  <c r="H220" i="128" s="1"/>
  <c r="I220" i="128" s="1"/>
  <c r="D186" i="128"/>
  <c r="H186" i="128" s="1"/>
  <c r="H213" i="128" s="1" a="1"/>
  <c r="H213" i="128" s="1"/>
  <c r="I213" i="128" s="1"/>
  <c r="I229" i="130"/>
  <c r="D184" i="128"/>
  <c r="H184" i="128" s="1"/>
  <c r="H211" i="128" s="1" a="1"/>
  <c r="H211" i="128" s="1"/>
  <c r="I211" i="128" s="1"/>
  <c r="D190" i="128"/>
  <c r="H190" i="128" s="1"/>
  <c r="H217" i="128" s="1" a="1"/>
  <c r="H217" i="128" s="1"/>
  <c r="I217" i="128" s="1"/>
  <c r="D196" i="128"/>
  <c r="H196" i="128" s="1"/>
  <c r="H223" i="128" s="1" a="1"/>
  <c r="H223" i="128" s="1"/>
  <c r="I223" i="128" s="1"/>
  <c r="D185" i="128"/>
  <c r="H185" i="128" s="1"/>
  <c r="H212" i="128" s="1" a="1"/>
  <c r="H212" i="128" s="1"/>
  <c r="I212" i="128" s="1"/>
  <c r="I216" i="130"/>
  <c r="G41" i="122"/>
  <c r="I215" i="124"/>
  <c r="I220" i="124"/>
  <c r="D144" i="135"/>
  <c r="H144" i="135" s="1"/>
  <c r="G215" i="135" s="1" a="1"/>
  <c r="G215" i="135" s="1"/>
  <c r="D149" i="135"/>
  <c r="H149" i="135" s="1"/>
  <c r="G220" i="135" s="1" a="1"/>
  <c r="G220" i="135" s="1"/>
  <c r="J220" i="135" s="1"/>
  <c r="D160" i="135"/>
  <c r="H160" i="135" s="1"/>
  <c r="G231" i="135" s="1" a="1"/>
  <c r="G231" i="135" s="1"/>
  <c r="I225" i="124"/>
  <c r="D157" i="135"/>
  <c r="H157" i="135" s="1"/>
  <c r="G228" i="135" s="1" a="1"/>
  <c r="G228" i="135" s="1"/>
  <c r="H183" i="125"/>
  <c r="D203" i="125" s="1"/>
  <c r="H203" i="125" s="1"/>
  <c r="H230" i="125" s="1" a="1"/>
  <c r="H230" i="125" s="1"/>
  <c r="I230" i="125" s="1"/>
  <c r="I225" i="136"/>
  <c r="D147" i="135"/>
  <c r="H147" i="135" s="1"/>
  <c r="G218" i="135" s="1" a="1"/>
  <c r="G218" i="135" s="1"/>
  <c r="D155" i="135"/>
  <c r="H155" i="135" s="1"/>
  <c r="G226" i="135" s="1" a="1"/>
  <c r="G226" i="135" s="1"/>
  <c r="D163" i="135"/>
  <c r="H163" i="135" s="1"/>
  <c r="G234" i="135" s="1" a="1"/>
  <c r="G234" i="135" s="1"/>
  <c r="H58" i="122" s="1"/>
  <c r="D150" i="135"/>
  <c r="H150" i="135" s="1"/>
  <c r="G221" i="135" s="1" a="1"/>
  <c r="G221" i="135" s="1"/>
  <c r="D158" i="135"/>
  <c r="H158" i="135" s="1"/>
  <c r="G229" i="135" s="1" a="1"/>
  <c r="G229" i="135" s="1"/>
  <c r="G58" i="122" s="1"/>
  <c r="D151" i="135"/>
  <c r="H151" i="135" s="1"/>
  <c r="G222" i="135" s="1" a="1"/>
  <c r="G222" i="135" s="1"/>
  <c r="J222" i="135" s="1"/>
  <c r="D159" i="135"/>
  <c r="H159" i="135" s="1"/>
  <c r="G230" i="135" s="1" a="1"/>
  <c r="G230" i="135" s="1"/>
  <c r="D146" i="135"/>
  <c r="H146" i="135" s="1"/>
  <c r="G217" i="135" s="1" a="1"/>
  <c r="G217" i="135" s="1"/>
  <c r="D154" i="135"/>
  <c r="H154" i="135" s="1"/>
  <c r="G225" i="135" s="1" a="1"/>
  <c r="G225" i="135" s="1"/>
  <c r="D162" i="135"/>
  <c r="H162" i="135" s="1"/>
  <c r="G233" i="135" s="1" a="1"/>
  <c r="G233" i="135" s="1"/>
  <c r="J233" i="135" s="1"/>
  <c r="I228" i="136"/>
  <c r="D145" i="135"/>
  <c r="H145" i="135" s="1"/>
  <c r="G216" i="135" s="1" a="1"/>
  <c r="G216" i="135" s="1"/>
  <c r="D153" i="135"/>
  <c r="H153" i="135" s="1"/>
  <c r="G224" i="135" s="1" a="1"/>
  <c r="G224" i="135" s="1"/>
  <c r="F58" i="122" s="1"/>
  <c r="D161" i="135"/>
  <c r="H161" i="135" s="1"/>
  <c r="G232" i="135" s="1" a="1"/>
  <c r="G232" i="135" s="1"/>
  <c r="J232" i="135" s="1"/>
  <c r="D148" i="135"/>
  <c r="H148" i="135" s="1"/>
  <c r="G219" i="135" s="1" a="1"/>
  <c r="G219" i="135" s="1"/>
  <c r="E58" i="122" s="1"/>
  <c r="D151" i="139"/>
  <c r="H151" i="139" s="1"/>
  <c r="G222" i="139" s="1" a="1"/>
  <c r="G222" i="139" s="1"/>
  <c r="J222" i="139" s="1"/>
  <c r="H183" i="133"/>
  <c r="D200" i="133" s="1"/>
  <c r="H200" i="133" s="1"/>
  <c r="H227" i="133" s="1" a="1"/>
  <c r="H227" i="133" s="1"/>
  <c r="I227" i="133" s="1"/>
  <c r="K184" i="127"/>
  <c r="D203" i="127" s="1"/>
  <c r="H203" i="127" s="1"/>
  <c r="H230" i="127" s="1" a="1"/>
  <c r="H230" i="127" s="1"/>
  <c r="I230" i="127" s="1"/>
  <c r="E64" i="122"/>
  <c r="E66" i="122" s="1"/>
  <c r="D162" i="139"/>
  <c r="H162" i="139" s="1"/>
  <c r="G233" i="139" s="1" a="1"/>
  <c r="G233" i="139" s="1"/>
  <c r="J233" i="139" s="1"/>
  <c r="D147" i="139"/>
  <c r="H147" i="139" s="1"/>
  <c r="G218" i="139" s="1" a="1"/>
  <c r="G218" i="139" s="1"/>
  <c r="J218" i="139" s="1"/>
  <c r="D149" i="139"/>
  <c r="H149" i="139" s="1"/>
  <c r="G220" i="139" s="1" a="1"/>
  <c r="G220" i="139" s="1"/>
  <c r="J220" i="139" s="1"/>
  <c r="C130" i="89"/>
  <c r="G100" i="122"/>
  <c r="H100" i="122"/>
  <c r="D145" i="139"/>
  <c r="H145" i="139" s="1"/>
  <c r="G216" i="139" s="1" a="1"/>
  <c r="G216" i="139" s="1"/>
  <c r="J216" i="139" s="1"/>
  <c r="E100" i="122"/>
  <c r="D100" i="122"/>
  <c r="F100" i="122"/>
  <c r="D156" i="139"/>
  <c r="H156" i="139" s="1"/>
  <c r="G227" i="139" s="1" a="1"/>
  <c r="G227" i="139" s="1"/>
  <c r="J227" i="139" s="1"/>
  <c r="D160" i="139"/>
  <c r="H160" i="139" s="1"/>
  <c r="G231" i="139" s="1" a="1"/>
  <c r="G231" i="139" s="1"/>
  <c r="J231" i="139" s="1"/>
  <c r="D159" i="139"/>
  <c r="H159" i="139" s="1"/>
  <c r="G230" i="139" s="1" a="1"/>
  <c r="G230" i="139" s="1"/>
  <c r="J230" i="139" s="1"/>
  <c r="D161" i="139"/>
  <c r="H161" i="139" s="1"/>
  <c r="G232" i="139" s="1" a="1"/>
  <c r="G232" i="139" s="1"/>
  <c r="D144" i="139"/>
  <c r="H144" i="139" s="1"/>
  <c r="G215" i="139" s="1" a="1"/>
  <c r="G215" i="139" s="1"/>
  <c r="J215" i="139" s="1"/>
  <c r="D152" i="139"/>
  <c r="H152" i="139" s="1"/>
  <c r="G223" i="139" s="1" a="1"/>
  <c r="G223" i="139" s="1"/>
  <c r="J223" i="139" s="1"/>
  <c r="D153" i="139"/>
  <c r="H153" i="139" s="1"/>
  <c r="G224" i="139" s="1" a="1"/>
  <c r="G224" i="139" s="1"/>
  <c r="J224" i="139" s="1"/>
  <c r="D154" i="139"/>
  <c r="H154" i="139" s="1"/>
  <c r="G225" i="139" s="1" a="1"/>
  <c r="G225" i="139" s="1"/>
  <c r="J225" i="139" s="1"/>
  <c r="D155" i="139"/>
  <c r="H155" i="139" s="1"/>
  <c r="G226" i="139" s="1" a="1"/>
  <c r="G226" i="139" s="1"/>
  <c r="J226" i="139" s="1"/>
  <c r="D148" i="139"/>
  <c r="H148" i="139" s="1"/>
  <c r="G219" i="139" s="1" a="1"/>
  <c r="G219" i="139" s="1"/>
  <c r="J219" i="139" s="1"/>
  <c r="D158" i="139"/>
  <c r="H158" i="139" s="1"/>
  <c r="G229" i="139" s="1" a="1"/>
  <c r="G229" i="139" s="1"/>
  <c r="J229" i="139" s="1"/>
  <c r="D157" i="139"/>
  <c r="H157" i="139" s="1"/>
  <c r="G228" i="139" s="1" a="1"/>
  <c r="G228" i="139" s="1"/>
  <c r="J228" i="139" s="1"/>
  <c r="D163" i="139"/>
  <c r="H163" i="139" s="1"/>
  <c r="G234" i="139" s="1" a="1"/>
  <c r="G234" i="139" s="1"/>
  <c r="J234" i="139" s="1"/>
  <c r="D150" i="139"/>
  <c r="H150" i="139" s="1"/>
  <c r="G221" i="139" s="1" a="1"/>
  <c r="G221" i="139" s="1"/>
  <c r="J221" i="139" s="1"/>
  <c r="D146" i="139"/>
  <c r="H146" i="139" s="1"/>
  <c r="G217" i="139" s="1" a="1"/>
  <c r="G217" i="139" s="1"/>
  <c r="J217" i="139" s="1"/>
  <c r="I220" i="136"/>
  <c r="I230" i="136"/>
  <c r="I215" i="136"/>
  <c r="K184" i="129"/>
  <c r="H183" i="129"/>
  <c r="K184" i="123"/>
  <c r="H183" i="123"/>
  <c r="J217" i="137"/>
  <c r="J225" i="137"/>
  <c r="J233" i="137"/>
  <c r="J222" i="137"/>
  <c r="J230" i="137"/>
  <c r="E82" i="122"/>
  <c r="E83" i="122" s="1"/>
  <c r="E84" i="122" s="1"/>
  <c r="D163" i="89" s="1"/>
  <c r="I215" i="138"/>
  <c r="D82" i="122"/>
  <c r="D83" i="122" s="1"/>
  <c r="D84" i="122" s="1"/>
  <c r="I211" i="138"/>
  <c r="D200" i="127"/>
  <c r="H200" i="127" s="1"/>
  <c r="H227" i="127" s="1" a="1"/>
  <c r="H227" i="127" s="1"/>
  <c r="I227" i="127" s="1"/>
  <c r="J228" i="129"/>
  <c r="J230" i="135"/>
  <c r="J217" i="135"/>
  <c r="J225" i="135"/>
  <c r="K184" i="139"/>
  <c r="D205" i="139" s="1"/>
  <c r="H205" i="139" s="1"/>
  <c r="H232" i="139" s="1" a="1"/>
  <c r="H232" i="139" s="1"/>
  <c r="D192" i="125"/>
  <c r="H192" i="125" s="1"/>
  <c r="H219" i="125" s="1" a="1"/>
  <c r="H219" i="125" s="1"/>
  <c r="E75" i="122"/>
  <c r="E77" i="122" s="1"/>
  <c r="J219" i="137"/>
  <c r="J227" i="137"/>
  <c r="J216" i="137"/>
  <c r="F75" i="122"/>
  <c r="F77" i="122" s="1"/>
  <c r="J224" i="137"/>
  <c r="J232" i="137"/>
  <c r="J220" i="129"/>
  <c r="G82" i="122"/>
  <c r="G83" i="122" s="1"/>
  <c r="G84" i="122" s="1"/>
  <c r="F163" i="89" s="1"/>
  <c r="I225" i="138"/>
  <c r="H82" i="122"/>
  <c r="H83" i="122" s="1"/>
  <c r="H84" i="122" s="1"/>
  <c r="G163" i="89" s="1"/>
  <c r="I230" i="138"/>
  <c r="I211" i="124"/>
  <c r="J216" i="135"/>
  <c r="J227" i="135"/>
  <c r="I220" i="140"/>
  <c r="D201" i="133"/>
  <c r="H201" i="133" s="1"/>
  <c r="H228" i="133" s="1" a="1"/>
  <c r="H228" i="133" s="1"/>
  <c r="I228" i="133" s="1"/>
  <c r="I215" i="140"/>
  <c r="J221" i="137"/>
  <c r="G75" i="122"/>
  <c r="G77" i="122" s="1"/>
  <c r="J229" i="137"/>
  <c r="J218" i="137"/>
  <c r="J226" i="137"/>
  <c r="H75" i="122"/>
  <c r="H77" i="122" s="1"/>
  <c r="J234" i="137"/>
  <c r="F82" i="122"/>
  <c r="F83" i="122" s="1"/>
  <c r="F84" i="122" s="1"/>
  <c r="E163" i="89" s="1"/>
  <c r="I220" i="138"/>
  <c r="D206" i="131"/>
  <c r="H206" i="131" s="1"/>
  <c r="H233" i="131" s="1" a="1"/>
  <c r="H233" i="131" s="1"/>
  <c r="I233" i="131" s="1"/>
  <c r="D198" i="131"/>
  <c r="H198" i="131" s="1"/>
  <c r="H225" i="131" s="1" a="1"/>
  <c r="H225" i="131" s="1"/>
  <c r="I225" i="131" s="1"/>
  <c r="D190" i="131"/>
  <c r="H190" i="131" s="1"/>
  <c r="H217" i="131" s="1" a="1"/>
  <c r="H217" i="131" s="1"/>
  <c r="I217" i="131" s="1"/>
  <c r="D207" i="131"/>
  <c r="H207" i="131" s="1"/>
  <c r="H234" i="131" s="1" a="1"/>
  <c r="H234" i="131" s="1"/>
  <c r="I234" i="131" s="1"/>
  <c r="D199" i="131"/>
  <c r="H199" i="131" s="1"/>
  <c r="H226" i="131" s="1" a="1"/>
  <c r="H226" i="131" s="1"/>
  <c r="I226" i="131" s="1"/>
  <c r="D191" i="131"/>
  <c r="H191" i="131" s="1"/>
  <c r="H218" i="131" s="1" a="1"/>
  <c r="H218" i="131" s="1"/>
  <c r="I218" i="131" s="1"/>
  <c r="D204" i="131"/>
  <c r="H204" i="131" s="1"/>
  <c r="H231" i="131" s="1" a="1"/>
  <c r="H231" i="131" s="1"/>
  <c r="I231" i="131" s="1"/>
  <c r="D196" i="131"/>
  <c r="H196" i="131" s="1"/>
  <c r="H223" i="131" s="1" a="1"/>
  <c r="H223" i="131" s="1"/>
  <c r="I223" i="131" s="1"/>
  <c r="D188" i="131"/>
  <c r="H188" i="131" s="1"/>
  <c r="H215" i="131" s="1" a="1"/>
  <c r="H215" i="131" s="1"/>
  <c r="I215" i="131" s="1"/>
  <c r="D205" i="131"/>
  <c r="H205" i="131" s="1"/>
  <c r="H232" i="131" s="1" a="1"/>
  <c r="H232" i="131" s="1"/>
  <c r="I232" i="131" s="1"/>
  <c r="D197" i="131"/>
  <c r="H197" i="131" s="1"/>
  <c r="H224" i="131" s="1" a="1"/>
  <c r="H224" i="131" s="1"/>
  <c r="I224" i="131" s="1"/>
  <c r="D189" i="131"/>
  <c r="H189" i="131" s="1"/>
  <c r="H216" i="131" s="1" a="1"/>
  <c r="H216" i="131" s="1"/>
  <c r="I216" i="131" s="1"/>
  <c r="D202" i="131"/>
  <c r="H202" i="131" s="1"/>
  <c r="H229" i="131" s="1" a="1"/>
  <c r="H229" i="131" s="1"/>
  <c r="I229" i="131" s="1"/>
  <c r="D194" i="131"/>
  <c r="H194" i="131" s="1"/>
  <c r="H221" i="131" s="1" a="1"/>
  <c r="H221" i="131" s="1"/>
  <c r="I221" i="131" s="1"/>
  <c r="D203" i="131"/>
  <c r="H203" i="131" s="1"/>
  <c r="H230" i="131" s="1" a="1"/>
  <c r="H230" i="131" s="1"/>
  <c r="I230" i="131" s="1"/>
  <c r="D195" i="131"/>
  <c r="H195" i="131" s="1"/>
  <c r="H222" i="131" s="1" a="1"/>
  <c r="H222" i="131" s="1"/>
  <c r="I222" i="131" s="1"/>
  <c r="D200" i="131"/>
  <c r="H200" i="131" s="1"/>
  <c r="H227" i="131" s="1" a="1"/>
  <c r="H227" i="131" s="1"/>
  <c r="I227" i="131" s="1"/>
  <c r="D192" i="131"/>
  <c r="H192" i="131" s="1"/>
  <c r="H219" i="131" s="1" a="1"/>
  <c r="H219" i="131" s="1"/>
  <c r="I219" i="131" s="1"/>
  <c r="D201" i="131"/>
  <c r="H201" i="131" s="1"/>
  <c r="H228" i="131" s="1" a="1"/>
  <c r="H228" i="131" s="1"/>
  <c r="I228" i="131" s="1"/>
  <c r="D193" i="131"/>
  <c r="H193" i="131" s="1"/>
  <c r="H220" i="131" s="1" a="1"/>
  <c r="H220" i="131" s="1"/>
  <c r="I220" i="131" s="1"/>
  <c r="D188" i="127"/>
  <c r="H188" i="127" s="1"/>
  <c r="H215" i="127" s="1" a="1"/>
  <c r="H215" i="127" s="1"/>
  <c r="I215" i="127" s="1"/>
  <c r="D196" i="127"/>
  <c r="H196" i="127" s="1"/>
  <c r="H223" i="127" s="1" a="1"/>
  <c r="H223" i="127" s="1"/>
  <c r="I223" i="127" s="1"/>
  <c r="D204" i="127"/>
  <c r="H204" i="127" s="1"/>
  <c r="H231" i="127" s="1" a="1"/>
  <c r="H231" i="127" s="1"/>
  <c r="I231" i="127" s="1"/>
  <c r="D193" i="127"/>
  <c r="H193" i="127" s="1"/>
  <c r="H220" i="127" s="1" a="1"/>
  <c r="H220" i="127" s="1"/>
  <c r="I220" i="127" s="1"/>
  <c r="D201" i="127"/>
  <c r="H201" i="127" s="1"/>
  <c r="H228" i="127" s="1" a="1"/>
  <c r="H228" i="127" s="1"/>
  <c r="I228" i="127" s="1"/>
  <c r="D202" i="126"/>
  <c r="H202" i="126" s="1"/>
  <c r="H229" i="126" s="1" a="1"/>
  <c r="H229" i="126" s="1"/>
  <c r="I229" i="126" s="1"/>
  <c r="D200" i="126"/>
  <c r="H200" i="126" s="1"/>
  <c r="H227" i="126" s="1" a="1"/>
  <c r="H227" i="126" s="1"/>
  <c r="I227" i="126" s="1"/>
  <c r="D198" i="126"/>
  <c r="H198" i="126" s="1"/>
  <c r="H225" i="126" s="1" a="1"/>
  <c r="H225" i="126" s="1"/>
  <c r="D196" i="126"/>
  <c r="H196" i="126" s="1"/>
  <c r="H223" i="126" s="1" a="1"/>
  <c r="H223" i="126" s="1"/>
  <c r="I223" i="126" s="1"/>
  <c r="D194" i="126"/>
  <c r="H194" i="126" s="1"/>
  <c r="H221" i="126" s="1" a="1"/>
  <c r="H221" i="126" s="1"/>
  <c r="I221" i="126" s="1"/>
  <c r="D192" i="126"/>
  <c r="H192" i="126" s="1"/>
  <c r="H219" i="126" s="1" a="1"/>
  <c r="H219" i="126" s="1"/>
  <c r="I219" i="126" s="1"/>
  <c r="D190" i="126"/>
  <c r="H190" i="126" s="1"/>
  <c r="H217" i="126" s="1" a="1"/>
  <c r="H217" i="126" s="1"/>
  <c r="I217" i="126" s="1"/>
  <c r="D188" i="126"/>
  <c r="H188" i="126" s="1"/>
  <c r="H215" i="126" s="1" a="1"/>
  <c r="H215" i="126" s="1"/>
  <c r="D186" i="126"/>
  <c r="H186" i="126" s="1"/>
  <c r="H213" i="126" s="1" a="1"/>
  <c r="H213" i="126" s="1"/>
  <c r="I213" i="126" s="1"/>
  <c r="D184" i="126"/>
  <c r="H184" i="126" s="1"/>
  <c r="H211" i="126" s="1" a="1"/>
  <c r="H211" i="126" s="1"/>
  <c r="D187" i="126"/>
  <c r="H187" i="126" s="1"/>
  <c r="H214" i="126" s="1" a="1"/>
  <c r="H214" i="126" s="1"/>
  <c r="I214" i="126" s="1"/>
  <c r="D195" i="126"/>
  <c r="H195" i="126" s="1"/>
  <c r="H222" i="126" s="1" a="1"/>
  <c r="H222" i="126" s="1"/>
  <c r="I222" i="126" s="1"/>
  <c r="D189" i="126"/>
  <c r="H189" i="126" s="1"/>
  <c r="H216" i="126" s="1" a="1"/>
  <c r="H216" i="126" s="1"/>
  <c r="I216" i="126" s="1"/>
  <c r="D197" i="126"/>
  <c r="H197" i="126" s="1"/>
  <c r="H224" i="126" s="1" a="1"/>
  <c r="H224" i="126" s="1"/>
  <c r="I224" i="126" s="1"/>
  <c r="D203" i="126"/>
  <c r="H203" i="126" s="1"/>
  <c r="H230" i="126" s="1" a="1"/>
  <c r="H230" i="126" s="1"/>
  <c r="D191" i="126"/>
  <c r="H191" i="126" s="1"/>
  <c r="H218" i="126" s="1" a="1"/>
  <c r="H218" i="126" s="1"/>
  <c r="I218" i="126" s="1"/>
  <c r="D199" i="126"/>
  <c r="H199" i="126" s="1"/>
  <c r="H226" i="126" s="1" a="1"/>
  <c r="H226" i="126" s="1"/>
  <c r="I226" i="126" s="1"/>
  <c r="D185" i="126"/>
  <c r="H185" i="126" s="1"/>
  <c r="H212" i="126" s="1" a="1"/>
  <c r="H212" i="126" s="1"/>
  <c r="I212" i="126" s="1"/>
  <c r="D193" i="126"/>
  <c r="H193" i="126" s="1"/>
  <c r="H220" i="126" s="1" a="1"/>
  <c r="H220" i="126" s="1"/>
  <c r="D201" i="126"/>
  <c r="H201" i="126" s="1"/>
  <c r="H228" i="126" s="1" a="1"/>
  <c r="H228" i="126" s="1"/>
  <c r="I228" i="126" s="1"/>
  <c r="J231" i="129"/>
  <c r="J218" i="135"/>
  <c r="J226" i="135"/>
  <c r="J221" i="135"/>
  <c r="J229" i="135"/>
  <c r="I230" i="140"/>
  <c r="D196" i="125"/>
  <c r="H196" i="125" s="1"/>
  <c r="H223" i="125" s="1" a="1"/>
  <c r="H223" i="125" s="1"/>
  <c r="I223" i="125" s="1"/>
  <c r="H183" i="135"/>
  <c r="J232" i="139"/>
  <c r="K184" i="137"/>
  <c r="H183" i="137"/>
  <c r="D202" i="134"/>
  <c r="H202" i="134" s="1"/>
  <c r="H229" i="134" s="1" a="1"/>
  <c r="H229" i="134" s="1"/>
  <c r="I229" i="134" s="1"/>
  <c r="D200" i="134"/>
  <c r="H200" i="134" s="1"/>
  <c r="H227" i="134" s="1" a="1"/>
  <c r="H227" i="134" s="1"/>
  <c r="I227" i="134" s="1"/>
  <c r="D198" i="134"/>
  <c r="H198" i="134" s="1"/>
  <c r="H225" i="134" s="1" a="1"/>
  <c r="H225" i="134" s="1"/>
  <c r="D196" i="134"/>
  <c r="H196" i="134" s="1"/>
  <c r="H223" i="134" s="1" a="1"/>
  <c r="H223" i="134" s="1"/>
  <c r="I223" i="134" s="1"/>
  <c r="D194" i="134"/>
  <c r="H194" i="134" s="1"/>
  <c r="H221" i="134" s="1" a="1"/>
  <c r="H221" i="134" s="1"/>
  <c r="I221" i="134" s="1"/>
  <c r="D192" i="134"/>
  <c r="H192" i="134" s="1"/>
  <c r="H219" i="134" s="1" a="1"/>
  <c r="H219" i="134" s="1"/>
  <c r="I219" i="134" s="1"/>
  <c r="D190" i="134"/>
  <c r="H190" i="134" s="1"/>
  <c r="H217" i="134" s="1" a="1"/>
  <c r="H217" i="134" s="1"/>
  <c r="I217" i="134" s="1"/>
  <c r="D188" i="134"/>
  <c r="H188" i="134" s="1"/>
  <c r="H215" i="134" s="1" a="1"/>
  <c r="H215" i="134" s="1"/>
  <c r="D186" i="134"/>
  <c r="H186" i="134" s="1"/>
  <c r="H213" i="134" s="1" a="1"/>
  <c r="H213" i="134" s="1"/>
  <c r="I213" i="134" s="1"/>
  <c r="D184" i="134"/>
  <c r="H184" i="134" s="1"/>
  <c r="H211" i="134" s="1" a="1"/>
  <c r="H211" i="134" s="1"/>
  <c r="D203" i="134"/>
  <c r="H203" i="134" s="1"/>
  <c r="H230" i="134" s="1" a="1"/>
  <c r="H230" i="134" s="1"/>
  <c r="D201" i="134"/>
  <c r="H201" i="134" s="1"/>
  <c r="H228" i="134" s="1" a="1"/>
  <c r="H228" i="134" s="1"/>
  <c r="I228" i="134" s="1"/>
  <c r="D199" i="134"/>
  <c r="H199" i="134" s="1"/>
  <c r="H226" i="134" s="1" a="1"/>
  <c r="H226" i="134" s="1"/>
  <c r="I226" i="134" s="1"/>
  <c r="D197" i="134"/>
  <c r="H197" i="134" s="1"/>
  <c r="H224" i="134" s="1" a="1"/>
  <c r="H224" i="134" s="1"/>
  <c r="I224" i="134" s="1"/>
  <c r="D195" i="134"/>
  <c r="H195" i="134" s="1"/>
  <c r="H222" i="134" s="1" a="1"/>
  <c r="H222" i="134" s="1"/>
  <c r="I222" i="134" s="1"/>
  <c r="D193" i="134"/>
  <c r="H193" i="134" s="1"/>
  <c r="H220" i="134" s="1" a="1"/>
  <c r="H220" i="134" s="1"/>
  <c r="D191" i="134"/>
  <c r="H191" i="134" s="1"/>
  <c r="H218" i="134" s="1" a="1"/>
  <c r="H218" i="134" s="1"/>
  <c r="I218" i="134" s="1"/>
  <c r="D189" i="134"/>
  <c r="H189" i="134" s="1"/>
  <c r="H216" i="134" s="1" a="1"/>
  <c r="H216" i="134" s="1"/>
  <c r="I216" i="134" s="1"/>
  <c r="D187" i="134"/>
  <c r="H187" i="134" s="1"/>
  <c r="H214" i="134" s="1" a="1"/>
  <c r="H214" i="134" s="1"/>
  <c r="I214" i="134" s="1"/>
  <c r="D185" i="134"/>
  <c r="H185" i="134" s="1"/>
  <c r="H212" i="134" s="1" a="1"/>
  <c r="H212" i="134" s="1"/>
  <c r="I212" i="134" s="1"/>
  <c r="D75" i="122"/>
  <c r="D77" i="122" s="1"/>
  <c r="J215" i="137"/>
  <c r="J223" i="137"/>
  <c r="J231" i="137"/>
  <c r="J220" i="137"/>
  <c r="J228" i="137"/>
  <c r="I211" i="140"/>
  <c r="D190" i="127"/>
  <c r="H190" i="127" s="1"/>
  <c r="H217" i="127" s="1" a="1"/>
  <c r="H217" i="127" s="1"/>
  <c r="I217" i="127" s="1"/>
  <c r="D198" i="127"/>
  <c r="H198" i="127" s="1"/>
  <c r="H225" i="127" s="1" a="1"/>
  <c r="H225" i="127" s="1"/>
  <c r="I225" i="127" s="1"/>
  <c r="D206" i="127"/>
  <c r="H206" i="127" s="1"/>
  <c r="H233" i="127" s="1" a="1"/>
  <c r="H233" i="127" s="1"/>
  <c r="I233" i="127" s="1"/>
  <c r="D195" i="127"/>
  <c r="H195" i="127" s="1"/>
  <c r="H222" i="127" s="1" a="1"/>
  <c r="H222" i="127" s="1"/>
  <c r="I222" i="127" s="1"/>
  <c r="J228" i="135"/>
  <c r="D58" i="122"/>
  <c r="J215" i="135"/>
  <c r="J223" i="135"/>
  <c r="J231" i="135"/>
  <c r="I225" i="140"/>
  <c r="J229" i="129"/>
  <c r="D198" i="125"/>
  <c r="H198" i="125" s="1"/>
  <c r="H225" i="125" s="1" a="1"/>
  <c r="H225" i="125" s="1"/>
  <c r="I225" i="125" s="1"/>
  <c r="O161" i="115"/>
  <c r="P161" i="115"/>
  <c r="Q161" i="115"/>
  <c r="R161" i="115"/>
  <c r="S161" i="115"/>
  <c r="T161" i="115"/>
  <c r="U161" i="115"/>
  <c r="V161" i="115"/>
  <c r="W161" i="115"/>
  <c r="N161" i="115"/>
  <c r="M161" i="115"/>
  <c r="N158" i="115"/>
  <c r="P158" i="115" s="1"/>
  <c r="N157" i="115"/>
  <c r="P157" i="115" s="1"/>
  <c r="Q154" i="115"/>
  <c r="R153" i="115"/>
  <c r="Q151" i="115"/>
  <c r="Q150" i="115"/>
  <c r="D202" i="127" l="1"/>
  <c r="H202" i="127" s="1"/>
  <c r="H229" i="127" s="1" a="1"/>
  <c r="H229" i="127" s="1"/>
  <c r="I229" i="127" s="1"/>
  <c r="D193" i="133"/>
  <c r="H193" i="133" s="1"/>
  <c r="H220" i="133" s="1" a="1"/>
  <c r="H220" i="133" s="1"/>
  <c r="I220" i="133" s="1"/>
  <c r="D204" i="133"/>
  <c r="H204" i="133" s="1"/>
  <c r="H231" i="133" s="1" a="1"/>
  <c r="H231" i="133" s="1"/>
  <c r="I231" i="133" s="1"/>
  <c r="D188" i="133"/>
  <c r="H188" i="133" s="1"/>
  <c r="H215" i="133" s="1" a="1"/>
  <c r="H215" i="133" s="1"/>
  <c r="D196" i="133"/>
  <c r="H196" i="133" s="1"/>
  <c r="H223" i="133" s="1" a="1"/>
  <c r="H223" i="133" s="1"/>
  <c r="I223" i="133" s="1"/>
  <c r="J224" i="135"/>
  <c r="D191" i="125"/>
  <c r="H191" i="125" s="1"/>
  <c r="H218" i="125" s="1" a="1"/>
  <c r="H218" i="125" s="1"/>
  <c r="I218" i="125" s="1"/>
  <c r="D205" i="125"/>
  <c r="H205" i="125" s="1"/>
  <c r="H232" i="125" s="1" a="1"/>
  <c r="H232" i="125" s="1"/>
  <c r="I232" i="125" s="1"/>
  <c r="D191" i="133"/>
  <c r="H191" i="133" s="1"/>
  <c r="H218" i="133" s="1" a="1"/>
  <c r="H218" i="133" s="1"/>
  <c r="I218" i="133" s="1"/>
  <c r="D199" i="133"/>
  <c r="H199" i="133" s="1"/>
  <c r="H226" i="133" s="1" a="1"/>
  <c r="H226" i="133" s="1"/>
  <c r="I226" i="133" s="1"/>
  <c r="D207" i="133"/>
  <c r="H207" i="133" s="1"/>
  <c r="H234" i="133" s="1" a="1"/>
  <c r="H234" i="133" s="1"/>
  <c r="I234" i="133" s="1"/>
  <c r="D194" i="133"/>
  <c r="H194" i="133" s="1"/>
  <c r="H221" i="133" s="1" a="1"/>
  <c r="H221" i="133" s="1"/>
  <c r="I221" i="133" s="1"/>
  <c r="D202" i="133"/>
  <c r="H202" i="133" s="1"/>
  <c r="H229" i="133" s="1" a="1"/>
  <c r="H229" i="133" s="1"/>
  <c r="I232" i="139"/>
  <c r="D195" i="133"/>
  <c r="H195" i="133" s="1"/>
  <c r="H222" i="133" s="1" a="1"/>
  <c r="H222" i="133" s="1"/>
  <c r="I222" i="133" s="1"/>
  <c r="D203" i="133"/>
  <c r="H203" i="133" s="1"/>
  <c r="H230" i="133" s="1" a="1"/>
  <c r="H230" i="133" s="1"/>
  <c r="I230" i="133" s="1"/>
  <c r="D190" i="133"/>
  <c r="H190" i="133" s="1"/>
  <c r="H217" i="133" s="1" a="1"/>
  <c r="H217" i="133" s="1"/>
  <c r="I217" i="133" s="1"/>
  <c r="D198" i="133"/>
  <c r="H198" i="133" s="1"/>
  <c r="H225" i="133" s="1" a="1"/>
  <c r="H225" i="133" s="1"/>
  <c r="I225" i="133" s="1"/>
  <c r="D206" i="133"/>
  <c r="H206" i="133" s="1"/>
  <c r="H233" i="133" s="1" a="1"/>
  <c r="H233" i="133" s="1"/>
  <c r="I233" i="133" s="1"/>
  <c r="D189" i="133"/>
  <c r="H189" i="133" s="1"/>
  <c r="H216" i="133" s="1" a="1"/>
  <c r="H216" i="133" s="1"/>
  <c r="I216" i="133" s="1"/>
  <c r="D197" i="133"/>
  <c r="H197" i="133" s="1"/>
  <c r="H224" i="133" s="1" a="1"/>
  <c r="H224" i="133" s="1"/>
  <c r="D205" i="133"/>
  <c r="H205" i="133" s="1"/>
  <c r="H232" i="133" s="1" a="1"/>
  <c r="H232" i="133" s="1"/>
  <c r="I232" i="133" s="1"/>
  <c r="D192" i="133"/>
  <c r="H192" i="133" s="1"/>
  <c r="H219" i="133" s="1" a="1"/>
  <c r="H219" i="133" s="1"/>
  <c r="I219" i="133" s="1"/>
  <c r="D201" i="125"/>
  <c r="H201" i="125" s="1"/>
  <c r="H228" i="125" s="1" a="1"/>
  <c r="H228" i="125" s="1"/>
  <c r="I228" i="125" s="1"/>
  <c r="D188" i="125"/>
  <c r="H188" i="125" s="1"/>
  <c r="H215" i="125" s="1" a="1"/>
  <c r="H215" i="125" s="1"/>
  <c r="D202" i="125"/>
  <c r="H202" i="125" s="1"/>
  <c r="H229" i="125" s="1" a="1"/>
  <c r="H229" i="125" s="1"/>
  <c r="J219" i="135"/>
  <c r="D197" i="125"/>
  <c r="H197" i="125" s="1"/>
  <c r="H224" i="125" s="1" a="1"/>
  <c r="H224" i="125" s="1"/>
  <c r="F25" i="122" s="1"/>
  <c r="F26" i="122" s="1"/>
  <c r="F33" i="122" s="1"/>
  <c r="E160" i="89" s="1"/>
  <c r="D193" i="125"/>
  <c r="H193" i="125" s="1"/>
  <c r="H220" i="125" s="1" a="1"/>
  <c r="H220" i="125" s="1"/>
  <c r="I220" i="125" s="1"/>
  <c r="J234" i="135"/>
  <c r="D207" i="125"/>
  <c r="H207" i="125" s="1"/>
  <c r="H234" i="125" s="1" a="1"/>
  <c r="H234" i="125" s="1"/>
  <c r="H25" i="122" s="1"/>
  <c r="H26" i="122" s="1"/>
  <c r="H33" i="122" s="1"/>
  <c r="G160" i="89" s="1"/>
  <c r="D194" i="125"/>
  <c r="H194" i="125" s="1"/>
  <c r="H221" i="125" s="1" a="1"/>
  <c r="H221" i="125" s="1"/>
  <c r="I221" i="125" s="1"/>
  <c r="D189" i="125"/>
  <c r="H189" i="125" s="1"/>
  <c r="H216" i="125" s="1" a="1"/>
  <c r="H216" i="125" s="1"/>
  <c r="I216" i="125" s="1"/>
  <c r="D190" i="125"/>
  <c r="H190" i="125" s="1"/>
  <c r="H217" i="125" s="1" a="1"/>
  <c r="H217" i="125" s="1"/>
  <c r="I217" i="125" s="1"/>
  <c r="D195" i="125"/>
  <c r="H195" i="125" s="1"/>
  <c r="H222" i="125" s="1" a="1"/>
  <c r="H222" i="125" s="1"/>
  <c r="I222" i="125" s="1"/>
  <c r="D206" i="125"/>
  <c r="H206" i="125" s="1"/>
  <c r="H233" i="125" s="1" a="1"/>
  <c r="H233" i="125" s="1"/>
  <c r="I233" i="125" s="1"/>
  <c r="D204" i="125"/>
  <c r="H204" i="125" s="1"/>
  <c r="H231" i="125" s="1" a="1"/>
  <c r="H231" i="125" s="1"/>
  <c r="I231" i="125" s="1"/>
  <c r="D199" i="125"/>
  <c r="H199" i="125" s="1"/>
  <c r="H226" i="125" s="1" a="1"/>
  <c r="H226" i="125" s="1"/>
  <c r="I226" i="125" s="1"/>
  <c r="D200" i="125"/>
  <c r="H200" i="125" s="1"/>
  <c r="H227" i="125" s="1" a="1"/>
  <c r="H227" i="125" s="1"/>
  <c r="I227" i="125" s="1"/>
  <c r="D191" i="127"/>
  <c r="H191" i="127" s="1"/>
  <c r="H218" i="127" s="1" a="1"/>
  <c r="H218" i="127" s="1"/>
  <c r="I218" i="127" s="1"/>
  <c r="D189" i="127"/>
  <c r="H189" i="127" s="1"/>
  <c r="H216" i="127" s="1" a="1"/>
  <c r="H216" i="127" s="1"/>
  <c r="I216" i="127" s="1"/>
  <c r="D207" i="127"/>
  <c r="H207" i="127" s="1"/>
  <c r="H234" i="127" s="1" a="1"/>
  <c r="H234" i="127" s="1"/>
  <c r="I234" i="127" s="1"/>
  <c r="D194" i="127"/>
  <c r="H194" i="127" s="1"/>
  <c r="H221" i="127" s="1" a="1"/>
  <c r="H221" i="127" s="1"/>
  <c r="I221" i="127" s="1"/>
  <c r="D205" i="127"/>
  <c r="H205" i="127" s="1"/>
  <c r="H232" i="127" s="1" a="1"/>
  <c r="H232" i="127" s="1"/>
  <c r="I232" i="127" s="1"/>
  <c r="D192" i="127"/>
  <c r="H192" i="127" s="1"/>
  <c r="H219" i="127" s="1" a="1"/>
  <c r="H219" i="127" s="1"/>
  <c r="I219" i="127" s="1"/>
  <c r="D199" i="127"/>
  <c r="H199" i="127" s="1"/>
  <c r="H226" i="127" s="1" a="1"/>
  <c r="H226" i="127" s="1"/>
  <c r="I226" i="127" s="1"/>
  <c r="D197" i="127"/>
  <c r="H197" i="127" s="1"/>
  <c r="H224" i="127" s="1" a="1"/>
  <c r="H224" i="127" s="1"/>
  <c r="I224" i="127" s="1"/>
  <c r="E92" i="122"/>
  <c r="H92" i="122"/>
  <c r="D92" i="122"/>
  <c r="G92" i="122"/>
  <c r="F92" i="122"/>
  <c r="D48" i="122"/>
  <c r="D49" i="122" s="1"/>
  <c r="I211" i="134"/>
  <c r="D25" i="122"/>
  <c r="D26" i="122" s="1"/>
  <c r="I215" i="125"/>
  <c r="F31" i="122"/>
  <c r="F32" i="122" s="1"/>
  <c r="I220" i="126"/>
  <c r="H31" i="122"/>
  <c r="H32" i="122" s="1"/>
  <c r="I230" i="126"/>
  <c r="G31" i="122"/>
  <c r="G32" i="122" s="1"/>
  <c r="I225" i="126"/>
  <c r="H42" i="122"/>
  <c r="H43" i="122" s="1"/>
  <c r="H50" i="122" s="1"/>
  <c r="G161" i="89" s="1"/>
  <c r="G42" i="122"/>
  <c r="G43" i="122" s="1"/>
  <c r="G50" i="122" s="1"/>
  <c r="F161" i="89" s="1"/>
  <c r="I229" i="133"/>
  <c r="D207" i="123"/>
  <c r="H207" i="123" s="1"/>
  <c r="H234" i="123" s="1" a="1"/>
  <c r="H234" i="123" s="1"/>
  <c r="D205" i="123"/>
  <c r="H205" i="123" s="1"/>
  <c r="H232" i="123" s="1" a="1"/>
  <c r="H232" i="123" s="1"/>
  <c r="I232" i="123" s="1"/>
  <c r="D203" i="123"/>
  <c r="H203" i="123" s="1"/>
  <c r="H230" i="123" s="1" a="1"/>
  <c r="H230" i="123" s="1"/>
  <c r="I230" i="123" s="1"/>
  <c r="D201" i="123"/>
  <c r="H201" i="123" s="1"/>
  <c r="H228" i="123" s="1" a="1"/>
  <c r="H228" i="123" s="1"/>
  <c r="I228" i="123" s="1"/>
  <c r="D199" i="123"/>
  <c r="H199" i="123" s="1"/>
  <c r="H226" i="123" s="1" a="1"/>
  <c r="H226" i="123" s="1"/>
  <c r="I226" i="123" s="1"/>
  <c r="D197" i="123"/>
  <c r="H197" i="123" s="1"/>
  <c r="H224" i="123" s="1" a="1"/>
  <c r="H224" i="123" s="1"/>
  <c r="D195" i="123"/>
  <c r="H195" i="123" s="1"/>
  <c r="H222" i="123" s="1" a="1"/>
  <c r="H222" i="123" s="1"/>
  <c r="I222" i="123" s="1"/>
  <c r="D193" i="123"/>
  <c r="H193" i="123" s="1"/>
  <c r="H220" i="123" s="1" a="1"/>
  <c r="H220" i="123" s="1"/>
  <c r="I220" i="123" s="1"/>
  <c r="D191" i="123"/>
  <c r="H191" i="123" s="1"/>
  <c r="H218" i="123" s="1" a="1"/>
  <c r="H218" i="123" s="1"/>
  <c r="I218" i="123" s="1"/>
  <c r="D189" i="123"/>
  <c r="H189" i="123" s="1"/>
  <c r="H216" i="123" s="1" a="1"/>
  <c r="H216" i="123" s="1"/>
  <c r="I216" i="123" s="1"/>
  <c r="D206" i="123"/>
  <c r="H206" i="123" s="1"/>
  <c r="H233" i="123" s="1" a="1"/>
  <c r="H233" i="123" s="1"/>
  <c r="I233" i="123" s="1"/>
  <c r="D204" i="123"/>
  <c r="H204" i="123" s="1"/>
  <c r="H231" i="123" s="1" a="1"/>
  <c r="H231" i="123" s="1"/>
  <c r="I231" i="123" s="1"/>
  <c r="D202" i="123"/>
  <c r="H202" i="123" s="1"/>
  <c r="H229" i="123" s="1" a="1"/>
  <c r="H229" i="123" s="1"/>
  <c r="D200" i="123"/>
  <c r="H200" i="123" s="1"/>
  <c r="H227" i="123" s="1" a="1"/>
  <c r="H227" i="123" s="1"/>
  <c r="I227" i="123" s="1"/>
  <c r="D198" i="123"/>
  <c r="H198" i="123" s="1"/>
  <c r="H225" i="123" s="1" a="1"/>
  <c r="H225" i="123" s="1"/>
  <c r="I225" i="123" s="1"/>
  <c r="D196" i="123"/>
  <c r="H196" i="123" s="1"/>
  <c r="H223" i="123" s="1" a="1"/>
  <c r="H223" i="123" s="1"/>
  <c r="I223" i="123" s="1"/>
  <c r="D194" i="123"/>
  <c r="H194" i="123" s="1"/>
  <c r="H221" i="123" s="1" a="1"/>
  <c r="H221" i="123" s="1"/>
  <c r="I221" i="123" s="1"/>
  <c r="D192" i="123"/>
  <c r="H192" i="123" s="1"/>
  <c r="H219" i="123" s="1" a="1"/>
  <c r="H219" i="123" s="1"/>
  <c r="D190" i="123"/>
  <c r="H190" i="123" s="1"/>
  <c r="H217" i="123" s="1" a="1"/>
  <c r="H217" i="123" s="1"/>
  <c r="I217" i="123" s="1"/>
  <c r="D188" i="123"/>
  <c r="H188" i="123" s="1"/>
  <c r="H215" i="123" s="1" a="1"/>
  <c r="H215" i="123" s="1"/>
  <c r="D200" i="139"/>
  <c r="H200" i="139" s="1"/>
  <c r="H227" i="139" s="1" a="1"/>
  <c r="H227" i="139" s="1"/>
  <c r="I227" i="139" s="1"/>
  <c r="D193" i="139"/>
  <c r="H193" i="139" s="1"/>
  <c r="H220" i="139" s="1" a="1"/>
  <c r="H220" i="139" s="1"/>
  <c r="I220" i="139" s="1"/>
  <c r="D203" i="139"/>
  <c r="H203" i="139" s="1"/>
  <c r="H230" i="139" s="1" a="1"/>
  <c r="H230" i="139" s="1"/>
  <c r="I230" i="139" s="1"/>
  <c r="D192" i="139"/>
  <c r="H192" i="139" s="1"/>
  <c r="H219" i="139" s="1" a="1"/>
  <c r="H219" i="139" s="1"/>
  <c r="D190" i="139"/>
  <c r="H190" i="139" s="1"/>
  <c r="H217" i="139" s="1" a="1"/>
  <c r="H217" i="139" s="1"/>
  <c r="I217" i="139" s="1"/>
  <c r="D31" i="122"/>
  <c r="D32" i="122" s="1"/>
  <c r="I211" i="126"/>
  <c r="G25" i="122"/>
  <c r="G26" i="122" s="1"/>
  <c r="G33" i="122" s="1"/>
  <c r="F160" i="89" s="1"/>
  <c r="I229" i="125"/>
  <c r="D42" i="122"/>
  <c r="D43" i="122" s="1"/>
  <c r="I215" i="133"/>
  <c r="D191" i="139"/>
  <c r="H191" i="139" s="1"/>
  <c r="H218" i="139" s="1" a="1"/>
  <c r="H218" i="139" s="1"/>
  <c r="I218" i="139" s="1"/>
  <c r="D201" i="139"/>
  <c r="H201" i="139" s="1"/>
  <c r="H228" i="139" s="1" a="1"/>
  <c r="H228" i="139" s="1"/>
  <c r="I228" i="139" s="1"/>
  <c r="D206" i="139"/>
  <c r="H206" i="139" s="1"/>
  <c r="H233" i="139" s="1" a="1"/>
  <c r="H233" i="139" s="1"/>
  <c r="I233" i="139" s="1"/>
  <c r="D189" i="139"/>
  <c r="H189" i="139" s="1"/>
  <c r="H216" i="139" s="1" a="1"/>
  <c r="H216" i="139" s="1"/>
  <c r="I216" i="139" s="1"/>
  <c r="D202" i="139"/>
  <c r="H202" i="139" s="1"/>
  <c r="H229" i="139" s="1" a="1"/>
  <c r="H229" i="139" s="1"/>
  <c r="F48" i="122"/>
  <c r="F49" i="122" s="1"/>
  <c r="I220" i="134"/>
  <c r="E48" i="122"/>
  <c r="E49" i="122" s="1"/>
  <c r="I215" i="134"/>
  <c r="D190" i="137"/>
  <c r="H190" i="137" s="1"/>
  <c r="H217" i="137" s="1" a="1"/>
  <c r="H217" i="137" s="1"/>
  <c r="I217" i="137" s="1"/>
  <c r="D198" i="137"/>
  <c r="H198" i="137" s="1"/>
  <c r="H225" i="137" s="1" a="1"/>
  <c r="H225" i="137" s="1"/>
  <c r="I225" i="137" s="1"/>
  <c r="D206" i="137"/>
  <c r="H206" i="137" s="1"/>
  <c r="H233" i="137" s="1" a="1"/>
  <c r="H233" i="137" s="1"/>
  <c r="I233" i="137" s="1"/>
  <c r="D195" i="137"/>
  <c r="H195" i="137" s="1"/>
  <c r="H222" i="137" s="1" a="1"/>
  <c r="H222" i="137" s="1"/>
  <c r="I222" i="137" s="1"/>
  <c r="D203" i="137"/>
  <c r="H203" i="137" s="1"/>
  <c r="H230" i="137" s="1" a="1"/>
  <c r="H230" i="137" s="1"/>
  <c r="I230" i="137" s="1"/>
  <c r="D192" i="137"/>
  <c r="H192" i="137" s="1"/>
  <c r="H219" i="137" s="1" a="1"/>
  <c r="H219" i="137" s="1"/>
  <c r="D200" i="137"/>
  <c r="H200" i="137" s="1"/>
  <c r="H227" i="137" s="1" a="1"/>
  <c r="H227" i="137" s="1"/>
  <c r="I227" i="137" s="1"/>
  <c r="D189" i="137"/>
  <c r="H189" i="137" s="1"/>
  <c r="H216" i="137" s="1" a="1"/>
  <c r="H216" i="137" s="1"/>
  <c r="I216" i="137" s="1"/>
  <c r="D197" i="137"/>
  <c r="H197" i="137" s="1"/>
  <c r="H224" i="137" s="1" a="1"/>
  <c r="H224" i="137" s="1"/>
  <c r="D205" i="137"/>
  <c r="H205" i="137" s="1"/>
  <c r="H232" i="137" s="1" a="1"/>
  <c r="H232" i="137" s="1"/>
  <c r="I232" i="137" s="1"/>
  <c r="D194" i="137"/>
  <c r="H194" i="137" s="1"/>
  <c r="H221" i="137" s="1" a="1"/>
  <c r="H221" i="137" s="1"/>
  <c r="I221" i="137" s="1"/>
  <c r="D202" i="137"/>
  <c r="H202" i="137" s="1"/>
  <c r="H229" i="137" s="1" a="1"/>
  <c r="H229" i="137" s="1"/>
  <c r="D191" i="137"/>
  <c r="H191" i="137" s="1"/>
  <c r="H218" i="137" s="1" a="1"/>
  <c r="H218" i="137" s="1"/>
  <c r="I218" i="137" s="1"/>
  <c r="D199" i="137"/>
  <c r="H199" i="137" s="1"/>
  <c r="H226" i="137" s="1" a="1"/>
  <c r="H226" i="137" s="1"/>
  <c r="I226" i="137" s="1"/>
  <c r="D207" i="137"/>
  <c r="H207" i="137" s="1"/>
  <c r="H234" i="137" s="1" a="1"/>
  <c r="H234" i="137" s="1"/>
  <c r="D188" i="137"/>
  <c r="H188" i="137" s="1"/>
  <c r="H215" i="137" s="1" a="1"/>
  <c r="H215" i="137" s="1"/>
  <c r="D196" i="137"/>
  <c r="H196" i="137" s="1"/>
  <c r="H223" i="137" s="1" a="1"/>
  <c r="H223" i="137" s="1"/>
  <c r="I223" i="137" s="1"/>
  <c r="D204" i="137"/>
  <c r="H204" i="137" s="1"/>
  <c r="H231" i="137" s="1" a="1"/>
  <c r="H231" i="137" s="1"/>
  <c r="I231" i="137" s="1"/>
  <c r="D193" i="137"/>
  <c r="H193" i="137" s="1"/>
  <c r="H220" i="137" s="1" a="1"/>
  <c r="H220" i="137" s="1"/>
  <c r="I220" i="137" s="1"/>
  <c r="D201" i="137"/>
  <c r="H201" i="137" s="1"/>
  <c r="H228" i="137" s="1" a="1"/>
  <c r="H228" i="137" s="1"/>
  <c r="I228" i="137" s="1"/>
  <c r="D194" i="139"/>
  <c r="H194" i="139" s="1"/>
  <c r="H221" i="139" s="1" a="1"/>
  <c r="H221" i="139" s="1"/>
  <c r="I221" i="139" s="1"/>
  <c r="D199" i="139"/>
  <c r="H199" i="139" s="1"/>
  <c r="H226" i="139" s="1" a="1"/>
  <c r="H226" i="139" s="1"/>
  <c r="I226" i="139" s="1"/>
  <c r="D188" i="139"/>
  <c r="H188" i="139" s="1"/>
  <c r="H215" i="139" s="1" a="1"/>
  <c r="H215" i="139" s="1"/>
  <c r="D198" i="139"/>
  <c r="H198" i="139" s="1"/>
  <c r="H225" i="139" s="1" a="1"/>
  <c r="H225" i="139" s="1"/>
  <c r="I225" i="139" s="1"/>
  <c r="D197" i="139"/>
  <c r="H197" i="139" s="1"/>
  <c r="H224" i="139" s="1" a="1"/>
  <c r="H224" i="139" s="1"/>
  <c r="D207" i="129"/>
  <c r="H207" i="129" s="1"/>
  <c r="H234" i="129" s="1" a="1"/>
  <c r="H234" i="129" s="1"/>
  <c r="I234" i="129" s="1"/>
  <c r="D205" i="129"/>
  <c r="H205" i="129" s="1"/>
  <c r="H232" i="129" s="1" a="1"/>
  <c r="H232" i="129" s="1"/>
  <c r="I232" i="129" s="1"/>
  <c r="D203" i="129"/>
  <c r="H203" i="129" s="1"/>
  <c r="H230" i="129" s="1" a="1"/>
  <c r="H230" i="129" s="1"/>
  <c r="I230" i="129" s="1"/>
  <c r="D201" i="129"/>
  <c r="H201" i="129" s="1"/>
  <c r="H228" i="129" s="1" a="1"/>
  <c r="H228" i="129" s="1"/>
  <c r="I228" i="129" s="1"/>
  <c r="D199" i="129"/>
  <c r="H199" i="129" s="1"/>
  <c r="H226" i="129" s="1" a="1"/>
  <c r="H226" i="129" s="1"/>
  <c r="I226" i="129" s="1"/>
  <c r="D197" i="129"/>
  <c r="H197" i="129" s="1"/>
  <c r="H224" i="129" s="1" a="1"/>
  <c r="H224" i="129" s="1"/>
  <c r="I224" i="129" s="1"/>
  <c r="D195" i="129"/>
  <c r="H195" i="129" s="1"/>
  <c r="H222" i="129" s="1" a="1"/>
  <c r="H222" i="129" s="1"/>
  <c r="I222" i="129" s="1"/>
  <c r="D193" i="129"/>
  <c r="H193" i="129" s="1"/>
  <c r="H220" i="129" s="1" a="1"/>
  <c r="H220" i="129" s="1"/>
  <c r="I220" i="129" s="1"/>
  <c r="D191" i="129"/>
  <c r="H191" i="129" s="1"/>
  <c r="H218" i="129" s="1" a="1"/>
  <c r="H218" i="129" s="1"/>
  <c r="I218" i="129" s="1"/>
  <c r="D189" i="129"/>
  <c r="H189" i="129" s="1"/>
  <c r="H216" i="129" s="1" a="1"/>
  <c r="H216" i="129" s="1"/>
  <c r="I216" i="129" s="1"/>
  <c r="D206" i="129"/>
  <c r="H206" i="129" s="1"/>
  <c r="H233" i="129" s="1" a="1"/>
  <c r="H233" i="129" s="1"/>
  <c r="I233" i="129" s="1"/>
  <c r="D204" i="129"/>
  <c r="H204" i="129" s="1"/>
  <c r="H231" i="129" s="1" a="1"/>
  <c r="H231" i="129" s="1"/>
  <c r="I231" i="129" s="1"/>
  <c r="D202" i="129"/>
  <c r="H202" i="129" s="1"/>
  <c r="H229" i="129" s="1" a="1"/>
  <c r="H229" i="129" s="1"/>
  <c r="I229" i="129" s="1"/>
  <c r="D200" i="129"/>
  <c r="H200" i="129" s="1"/>
  <c r="H227" i="129" s="1" a="1"/>
  <c r="H227" i="129" s="1"/>
  <c r="I227" i="129" s="1"/>
  <c r="D198" i="129"/>
  <c r="H198" i="129" s="1"/>
  <c r="H225" i="129" s="1" a="1"/>
  <c r="H225" i="129" s="1"/>
  <c r="I225" i="129" s="1"/>
  <c r="D196" i="129"/>
  <c r="H196" i="129" s="1"/>
  <c r="H223" i="129" s="1" a="1"/>
  <c r="H223" i="129" s="1"/>
  <c r="I223" i="129" s="1"/>
  <c r="D194" i="129"/>
  <c r="H194" i="129" s="1"/>
  <c r="H221" i="129" s="1" a="1"/>
  <c r="H221" i="129" s="1"/>
  <c r="I221" i="129" s="1"/>
  <c r="D192" i="129"/>
  <c r="H192" i="129" s="1"/>
  <c r="H219" i="129" s="1" a="1"/>
  <c r="H219" i="129" s="1"/>
  <c r="I219" i="129" s="1"/>
  <c r="D190" i="129"/>
  <c r="H190" i="129" s="1"/>
  <c r="H217" i="129" s="1" a="1"/>
  <c r="H217" i="129" s="1"/>
  <c r="I217" i="129" s="1"/>
  <c r="D188" i="129"/>
  <c r="H188" i="129" s="1"/>
  <c r="H215" i="129" s="1" a="1"/>
  <c r="H215" i="129" s="1"/>
  <c r="I215" i="129" s="1"/>
  <c r="H48" i="122"/>
  <c r="H49" i="122" s="1"/>
  <c r="I230" i="134"/>
  <c r="G48" i="122"/>
  <c r="G49" i="122" s="1"/>
  <c r="I225" i="134"/>
  <c r="D206" i="135"/>
  <c r="H206" i="135" s="1"/>
  <c r="H233" i="135" s="1" a="1"/>
  <c r="H233" i="135" s="1"/>
  <c r="I233" i="135" s="1"/>
  <c r="D204" i="135"/>
  <c r="H204" i="135" s="1"/>
  <c r="H231" i="135" s="1" a="1"/>
  <c r="H231" i="135" s="1"/>
  <c r="I231" i="135" s="1"/>
  <c r="D202" i="135"/>
  <c r="H202" i="135" s="1"/>
  <c r="H229" i="135" s="1" a="1"/>
  <c r="H229" i="135" s="1"/>
  <c r="D200" i="135"/>
  <c r="H200" i="135" s="1"/>
  <c r="H227" i="135" s="1" a="1"/>
  <c r="H227" i="135" s="1"/>
  <c r="I227" i="135" s="1"/>
  <c r="D198" i="135"/>
  <c r="H198" i="135" s="1"/>
  <c r="H225" i="135" s="1" a="1"/>
  <c r="H225" i="135" s="1"/>
  <c r="I225" i="135" s="1"/>
  <c r="D196" i="135"/>
  <c r="H196" i="135" s="1"/>
  <c r="H223" i="135" s="1" a="1"/>
  <c r="H223" i="135" s="1"/>
  <c r="I223" i="135" s="1"/>
  <c r="D194" i="135"/>
  <c r="H194" i="135" s="1"/>
  <c r="H221" i="135" s="1" a="1"/>
  <c r="H221" i="135" s="1"/>
  <c r="I221" i="135" s="1"/>
  <c r="D192" i="135"/>
  <c r="H192" i="135" s="1"/>
  <c r="H219" i="135" s="1" a="1"/>
  <c r="H219" i="135" s="1"/>
  <c r="D190" i="135"/>
  <c r="H190" i="135" s="1"/>
  <c r="H217" i="135" s="1" a="1"/>
  <c r="H217" i="135" s="1"/>
  <c r="I217" i="135" s="1"/>
  <c r="D188" i="135"/>
  <c r="H188" i="135" s="1"/>
  <c r="H215" i="135" s="1" a="1"/>
  <c r="H215" i="135" s="1"/>
  <c r="D189" i="135"/>
  <c r="H189" i="135" s="1"/>
  <c r="H216" i="135" s="1" a="1"/>
  <c r="H216" i="135" s="1"/>
  <c r="I216" i="135" s="1"/>
  <c r="D197" i="135"/>
  <c r="H197" i="135" s="1"/>
  <c r="H224" i="135" s="1" a="1"/>
  <c r="H224" i="135" s="1"/>
  <c r="D205" i="135"/>
  <c r="H205" i="135" s="1"/>
  <c r="H232" i="135" s="1" a="1"/>
  <c r="H232" i="135" s="1"/>
  <c r="I232" i="135" s="1"/>
  <c r="D191" i="135"/>
  <c r="H191" i="135" s="1"/>
  <c r="H218" i="135" s="1" a="1"/>
  <c r="H218" i="135" s="1"/>
  <c r="I218" i="135" s="1"/>
  <c r="D199" i="135"/>
  <c r="H199" i="135" s="1"/>
  <c r="H226" i="135" s="1" a="1"/>
  <c r="H226" i="135" s="1"/>
  <c r="I226" i="135" s="1"/>
  <c r="D193" i="135"/>
  <c r="H193" i="135" s="1"/>
  <c r="H220" i="135" s="1" a="1"/>
  <c r="H220" i="135" s="1"/>
  <c r="I220" i="135" s="1"/>
  <c r="D201" i="135"/>
  <c r="H201" i="135" s="1"/>
  <c r="H228" i="135" s="1" a="1"/>
  <c r="H228" i="135" s="1"/>
  <c r="I228" i="135" s="1"/>
  <c r="D207" i="135"/>
  <c r="H207" i="135" s="1"/>
  <c r="H234" i="135" s="1" a="1"/>
  <c r="H234" i="135" s="1"/>
  <c r="D195" i="135"/>
  <c r="H195" i="135" s="1"/>
  <c r="H222" i="135" s="1" a="1"/>
  <c r="H222" i="135" s="1"/>
  <c r="I222" i="135" s="1"/>
  <c r="D203" i="135"/>
  <c r="H203" i="135" s="1"/>
  <c r="H230" i="135" s="1" a="1"/>
  <c r="H230" i="135" s="1"/>
  <c r="I230" i="135" s="1"/>
  <c r="E31" i="122"/>
  <c r="E32" i="122" s="1"/>
  <c r="I215" i="126"/>
  <c r="F42" i="122"/>
  <c r="F43" i="122" s="1"/>
  <c r="F50" i="122" s="1"/>
  <c r="E161" i="89" s="1"/>
  <c r="I224" i="133"/>
  <c r="E25" i="122"/>
  <c r="E26" i="122" s="1"/>
  <c r="E33" i="122" s="1"/>
  <c r="D160" i="89" s="1"/>
  <c r="I219" i="125"/>
  <c r="D204" i="139"/>
  <c r="H204" i="139" s="1"/>
  <c r="H231" i="139" s="1" a="1"/>
  <c r="H231" i="139" s="1"/>
  <c r="I231" i="139" s="1"/>
  <c r="D207" i="139"/>
  <c r="H207" i="139" s="1"/>
  <c r="H234" i="139" s="1" a="1"/>
  <c r="H234" i="139" s="1"/>
  <c r="D195" i="139"/>
  <c r="H195" i="139" s="1"/>
  <c r="H222" i="139" s="1" a="1"/>
  <c r="H222" i="139" s="1"/>
  <c r="I222" i="139" s="1"/>
  <c r="D196" i="139"/>
  <c r="H196" i="139" s="1"/>
  <c r="H223" i="139" s="1" a="1"/>
  <c r="H223" i="139" s="1"/>
  <c r="I223" i="139" s="1"/>
  <c r="Q153" i="115"/>
  <c r="C30" i="117"/>
  <c r="D30" i="117"/>
  <c r="E30" i="117"/>
  <c r="F30" i="117"/>
  <c r="D62" i="89"/>
  <c r="L44" i="89"/>
  <c r="L46" i="89" s="1"/>
  <c r="B8" i="105"/>
  <c r="B9" i="105" s="1"/>
  <c r="B10" i="105" s="1"/>
  <c r="B11" i="105" s="1"/>
  <c r="B12" i="105" s="1"/>
  <c r="B13" i="105" s="1"/>
  <c r="B14" i="105" s="1"/>
  <c r="B15" i="105" s="1"/>
  <c r="B16" i="105" s="1"/>
  <c r="B8" i="85"/>
  <c r="B9" i="85" s="1"/>
  <c r="B10" i="85" s="1"/>
  <c r="B11" i="85" s="1"/>
  <c r="B12" i="85" s="1"/>
  <c r="B13" i="85" s="1"/>
  <c r="B14" i="85" s="1"/>
  <c r="B15" i="85" s="1"/>
  <c r="B16" i="85" s="1"/>
  <c r="B8" i="106"/>
  <c r="B9" i="106" s="1"/>
  <c r="B10" i="106" s="1"/>
  <c r="B11" i="106" s="1"/>
  <c r="B8" i="86"/>
  <c r="B9" i="86" s="1"/>
  <c r="B10" i="86" s="1"/>
  <c r="B11" i="86" s="1"/>
  <c r="B8" i="83"/>
  <c r="B9" i="83" s="1"/>
  <c r="B10" i="83" s="1"/>
  <c r="B11" i="83" s="1"/>
  <c r="B8" i="82"/>
  <c r="B9" i="82" s="1"/>
  <c r="B10" i="82" s="1"/>
  <c r="B11" i="82" s="1"/>
  <c r="B12" i="82" s="1"/>
  <c r="B13" i="82" s="1"/>
  <c r="B14" i="82" s="1"/>
  <c r="B15" i="82" s="1"/>
  <c r="B16" i="82" s="1"/>
  <c r="B8" i="81"/>
  <c r="B9" i="81" s="1"/>
  <c r="B10" i="81" s="1"/>
  <c r="B11" i="81" s="1"/>
  <c r="I224" i="125" l="1"/>
  <c r="E42" i="122"/>
  <c r="E43" i="122" s="1"/>
  <c r="E50" i="122" s="1"/>
  <c r="D161" i="89" s="1"/>
  <c r="I234" i="125"/>
  <c r="D50" i="122"/>
  <c r="D130" i="89"/>
  <c r="D33" i="122"/>
  <c r="F190" i="89"/>
  <c r="F189" i="89"/>
  <c r="K30" i="122"/>
  <c r="K32" i="122" s="1"/>
  <c r="K33" i="122" s="1"/>
  <c r="G59" i="122"/>
  <c r="G60" i="122" s="1"/>
  <c r="G67" i="122" s="1"/>
  <c r="F162" i="89" s="1"/>
  <c r="I229" i="135"/>
  <c r="E9" i="122"/>
  <c r="E10" i="122" s="1"/>
  <c r="E17" i="122" s="1"/>
  <c r="D159" i="89" s="1"/>
  <c r="I219" i="123"/>
  <c r="F9" i="122"/>
  <c r="F10" i="122" s="1"/>
  <c r="F17" i="122" s="1"/>
  <c r="I224" i="123"/>
  <c r="D76" i="122"/>
  <c r="I215" i="137"/>
  <c r="G76" i="122"/>
  <c r="I229" i="137"/>
  <c r="G93" i="122"/>
  <c r="G94" i="122" s="1"/>
  <c r="G101" i="122" s="1"/>
  <c r="F164" i="89" s="1"/>
  <c r="I229" i="139"/>
  <c r="E93" i="122"/>
  <c r="E94" i="122" s="1"/>
  <c r="E101" i="122" s="1"/>
  <c r="D164" i="89" s="1"/>
  <c r="I164" i="89" s="1"/>
  <c r="I219" i="139"/>
  <c r="D9" i="122"/>
  <c r="D10" i="122" s="1"/>
  <c r="D17" i="122" s="1"/>
  <c r="I215" i="123"/>
  <c r="E76" i="122"/>
  <c r="I219" i="137"/>
  <c r="F59" i="122"/>
  <c r="F60" i="122" s="1"/>
  <c r="F67" i="122" s="1"/>
  <c r="E162" i="89" s="1"/>
  <c r="I224" i="135"/>
  <c r="E59" i="122"/>
  <c r="E60" i="122" s="1"/>
  <c r="E67" i="122" s="1"/>
  <c r="D162" i="89" s="1"/>
  <c r="I219" i="135"/>
  <c r="F93" i="122"/>
  <c r="F94" i="122" s="1"/>
  <c r="F101" i="122" s="1"/>
  <c r="E164" i="89" s="1"/>
  <c r="I224" i="139"/>
  <c r="H76" i="122"/>
  <c r="I234" i="137"/>
  <c r="H93" i="122"/>
  <c r="H94" i="122" s="1"/>
  <c r="H101" i="122" s="1"/>
  <c r="G164" i="89" s="1"/>
  <c r="I234" i="139"/>
  <c r="H59" i="122"/>
  <c r="H60" i="122" s="1"/>
  <c r="H67" i="122" s="1"/>
  <c r="G162" i="89" s="1"/>
  <c r="I234" i="135"/>
  <c r="D59" i="122"/>
  <c r="D60" i="122" s="1"/>
  <c r="D67" i="122" s="1"/>
  <c r="I215" i="135"/>
  <c r="D93" i="122"/>
  <c r="D94" i="122" s="1"/>
  <c r="D101" i="122" s="1"/>
  <c r="I215" i="139"/>
  <c r="F76" i="122"/>
  <c r="I224" i="137"/>
  <c r="G9" i="122"/>
  <c r="G10" i="122" s="1"/>
  <c r="G17" i="122" s="1"/>
  <c r="I229" i="123"/>
  <c r="H9" i="122"/>
  <c r="H10" i="122" s="1"/>
  <c r="H17" i="122" s="1"/>
  <c r="I234" i="123"/>
  <c r="M43" i="89"/>
  <c r="B9" i="79"/>
  <c r="B10" i="79"/>
  <c r="B11" i="79"/>
  <c r="B12" i="79" s="1"/>
  <c r="B13" i="79" s="1"/>
  <c r="B14" i="79" s="1"/>
  <c r="B15" i="79" s="1"/>
  <c r="B16" i="79" s="1"/>
  <c r="B8" i="79"/>
  <c r="K47" i="122" l="1"/>
  <c r="K49" i="122" s="1"/>
  <c r="K50" i="122" s="1"/>
  <c r="F196" i="89"/>
  <c r="G52" i="90" s="1"/>
  <c r="F195" i="89"/>
  <c r="G51" i="90" s="1"/>
  <c r="D193" i="89"/>
  <c r="C188" i="89"/>
  <c r="C194" i="89" s="1"/>
  <c r="K64" i="122"/>
  <c r="K66" i="122" s="1"/>
  <c r="K67" i="122" s="1"/>
  <c r="K98" i="122"/>
  <c r="K100" i="122" s="1"/>
  <c r="K101" i="122" s="1"/>
  <c r="G190" i="89"/>
  <c r="G189" i="89"/>
  <c r="E192" i="89"/>
  <c r="K81" i="122"/>
  <c r="K83" i="122" s="1"/>
  <c r="K84" i="122" s="1"/>
  <c r="N43" i="89"/>
  <c r="O43" i="89" s="1"/>
  <c r="M44" i="89"/>
  <c r="M46" i="89" s="1"/>
  <c r="P13" i="68"/>
  <c r="O13" i="68"/>
  <c r="K13" i="68"/>
  <c r="L13" i="68"/>
  <c r="M13" i="68"/>
  <c r="J13" i="68"/>
  <c r="F13" i="68"/>
  <c r="G13" i="68"/>
  <c r="H13" i="68"/>
  <c r="E13" i="68"/>
  <c r="J47" i="68"/>
  <c r="H13" i="20"/>
  <c r="H12" i="20"/>
  <c r="H11" i="20"/>
  <c r="H10" i="20"/>
  <c r="H9" i="20"/>
  <c r="H8" i="20"/>
  <c r="H7" i="20"/>
  <c r="H6" i="20"/>
  <c r="H5" i="20"/>
  <c r="H4" i="20"/>
  <c r="B33" i="27"/>
  <c r="B43" i="27" s="1"/>
  <c r="B53" i="27" s="1"/>
  <c r="B63" i="27" s="1"/>
  <c r="B73" i="27" s="1"/>
  <c r="B83" i="27" s="1"/>
  <c r="B29" i="27"/>
  <c r="B39" i="27" s="1"/>
  <c r="B49" i="27" s="1"/>
  <c r="B59" i="27" s="1"/>
  <c r="B69" i="27" s="1"/>
  <c r="B79" i="27" s="1"/>
  <c r="B25" i="27"/>
  <c r="B35" i="27" s="1"/>
  <c r="B45" i="27" s="1"/>
  <c r="B55" i="27" s="1"/>
  <c r="B65" i="27" s="1"/>
  <c r="B75" i="27" s="1"/>
  <c r="B15" i="27"/>
  <c r="B16" i="27"/>
  <c r="B26" i="27" s="1"/>
  <c r="B36" i="27" s="1"/>
  <c r="B46" i="27" s="1"/>
  <c r="B56" i="27" s="1"/>
  <c r="B66" i="27" s="1"/>
  <c r="B76" i="27" s="1"/>
  <c r="B17" i="27"/>
  <c r="B27" i="27" s="1"/>
  <c r="B37" i="27" s="1"/>
  <c r="B47" i="27" s="1"/>
  <c r="B57" i="27" s="1"/>
  <c r="B67" i="27" s="1"/>
  <c r="B77" i="27" s="1"/>
  <c r="B18" i="27"/>
  <c r="B28" i="27" s="1"/>
  <c r="B38" i="27" s="1"/>
  <c r="B48" i="27" s="1"/>
  <c r="B58" i="27" s="1"/>
  <c r="B68" i="27" s="1"/>
  <c r="B78" i="27" s="1"/>
  <c r="B19" i="27"/>
  <c r="B20" i="27"/>
  <c r="B30" i="27" s="1"/>
  <c r="B40" i="27" s="1"/>
  <c r="B50" i="27" s="1"/>
  <c r="B60" i="27" s="1"/>
  <c r="B70" i="27" s="1"/>
  <c r="B80" i="27" s="1"/>
  <c r="B21" i="27"/>
  <c r="B31" i="27" s="1"/>
  <c r="B41" i="27" s="1"/>
  <c r="B51" i="27" s="1"/>
  <c r="B61" i="27" s="1"/>
  <c r="B71" i="27" s="1"/>
  <c r="B81" i="27" s="1"/>
  <c r="B22" i="27"/>
  <c r="B32" i="27" s="1"/>
  <c r="B42" i="27" s="1"/>
  <c r="B52" i="27" s="1"/>
  <c r="B62" i="27" s="1"/>
  <c r="B72" i="27" s="1"/>
  <c r="B82" i="27" s="1"/>
  <c r="B23" i="27"/>
  <c r="B14" i="27"/>
  <c r="B24" i="27" s="1"/>
  <c r="B34" i="27" s="1"/>
  <c r="B44" i="27" s="1"/>
  <c r="B54" i="27" s="1"/>
  <c r="B64" i="27" s="1"/>
  <c r="B74" i="27" s="1"/>
  <c r="B104" i="27" s="1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5" i="27"/>
  <c r="F6" i="27"/>
  <c r="F7" i="27"/>
  <c r="F8" i="27"/>
  <c r="F9" i="27"/>
  <c r="F10" i="27"/>
  <c r="F11" i="27"/>
  <c r="F12" i="27"/>
  <c r="F13" i="27"/>
  <c r="F4" i="27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N8" i="22"/>
  <c r="N7" i="22"/>
  <c r="N6" i="22"/>
  <c r="N5" i="22"/>
  <c r="N24" i="22"/>
  <c r="I5" i="22"/>
  <c r="J5" i="22"/>
  <c r="K5" i="22"/>
  <c r="L5" i="22"/>
  <c r="M5" i="22"/>
  <c r="I6" i="22"/>
  <c r="J6" i="22"/>
  <c r="K6" i="22"/>
  <c r="L6" i="22"/>
  <c r="M6" i="22"/>
  <c r="I7" i="22"/>
  <c r="J7" i="22"/>
  <c r="K7" i="22"/>
  <c r="L7" i="22"/>
  <c r="M7" i="22"/>
  <c r="I8" i="22"/>
  <c r="J8" i="22"/>
  <c r="K8" i="22"/>
  <c r="L8" i="22"/>
  <c r="M8" i="22"/>
  <c r="I9" i="22"/>
  <c r="J9" i="22"/>
  <c r="K9" i="22"/>
  <c r="L9" i="22"/>
  <c r="M9" i="22"/>
  <c r="I10" i="22"/>
  <c r="J10" i="22"/>
  <c r="K10" i="22"/>
  <c r="L10" i="22"/>
  <c r="M10" i="22"/>
  <c r="I11" i="22"/>
  <c r="J11" i="22"/>
  <c r="K11" i="22"/>
  <c r="L11" i="22"/>
  <c r="M11" i="22"/>
  <c r="I12" i="22"/>
  <c r="J12" i="22"/>
  <c r="K12" i="22"/>
  <c r="L12" i="22"/>
  <c r="M12" i="22"/>
  <c r="I13" i="22"/>
  <c r="J13" i="22"/>
  <c r="K13" i="22"/>
  <c r="L13" i="22"/>
  <c r="M13" i="22"/>
  <c r="H6" i="66"/>
  <c r="D199" i="89" l="1"/>
  <c r="E55" i="90" s="1"/>
  <c r="E198" i="89"/>
  <c r="F54" i="90" s="1"/>
  <c r="H17" i="103"/>
  <c r="G38" i="90"/>
  <c r="G70" i="90"/>
  <c r="G196" i="89"/>
  <c r="H52" i="90" s="1"/>
  <c r="H16" i="103"/>
  <c r="G37" i="90"/>
  <c r="G195" i="89"/>
  <c r="H51" i="90" s="1"/>
  <c r="G191" i="89"/>
  <c r="F191" i="89"/>
  <c r="E193" i="89"/>
  <c r="F192" i="89"/>
  <c r="D188" i="89"/>
  <c r="D194" i="89" s="1"/>
  <c r="I167" i="89"/>
  <c r="E188" i="89"/>
  <c r="E194" i="89" s="1"/>
  <c r="N13" i="68"/>
  <c r="I13" i="68"/>
  <c r="D13" i="68"/>
  <c r="B89" i="27"/>
  <c r="B99" i="27" s="1"/>
  <c r="B109" i="27"/>
  <c r="B90" i="27"/>
  <c r="B100" i="27" s="1"/>
  <c r="B110" i="27"/>
  <c r="B92" i="27"/>
  <c r="B102" i="27" s="1"/>
  <c r="B112" i="27"/>
  <c r="B88" i="27"/>
  <c r="B98" i="27" s="1"/>
  <c r="B108" i="27"/>
  <c r="B85" i="27"/>
  <c r="B95" i="27" s="1"/>
  <c r="B105" i="27"/>
  <c r="B93" i="27"/>
  <c r="B103" i="27" s="1"/>
  <c r="B113" i="27"/>
  <c r="B91" i="27"/>
  <c r="B101" i="27" s="1"/>
  <c r="B111" i="27"/>
  <c r="B87" i="27"/>
  <c r="B97" i="27" s="1"/>
  <c r="B107" i="27"/>
  <c r="B86" i="27"/>
  <c r="B96" i="27" s="1"/>
  <c r="B106" i="27"/>
  <c r="P13" i="22"/>
  <c r="P12" i="22"/>
  <c r="P10" i="22"/>
  <c r="P11" i="22"/>
  <c r="P9" i="22"/>
  <c r="P8" i="22"/>
  <c r="P7" i="22"/>
  <c r="P6" i="22"/>
  <c r="P5" i="22"/>
  <c r="P43" i="89"/>
  <c r="O44" i="89"/>
  <c r="O46" i="89" s="1"/>
  <c r="N44" i="89"/>
  <c r="N46" i="89" s="1"/>
  <c r="O7" i="22"/>
  <c r="O11" i="22"/>
  <c r="O13" i="22"/>
  <c r="O9" i="22"/>
  <c r="O6" i="22"/>
  <c r="O12" i="22"/>
  <c r="O10" i="22"/>
  <c r="O8" i="22"/>
  <c r="O5" i="22"/>
  <c r="D150" i="115"/>
  <c r="O237" i="115"/>
  <c r="O238" i="115"/>
  <c r="O242" i="115"/>
  <c r="P241" i="115"/>
  <c r="O241" i="115" s="1"/>
  <c r="O240" i="115"/>
  <c r="O239" i="115"/>
  <c r="S211" i="115"/>
  <c r="S212" i="115"/>
  <c r="S213" i="115"/>
  <c r="S214" i="115"/>
  <c r="S215" i="115"/>
  <c r="S216" i="115"/>
  <c r="S217" i="115"/>
  <c r="S218" i="115"/>
  <c r="S219" i="115"/>
  <c r="S220" i="115"/>
  <c r="S221" i="115"/>
  <c r="S222" i="115"/>
  <c r="S223" i="115"/>
  <c r="S224" i="115"/>
  <c r="S225" i="115"/>
  <c r="S226" i="115"/>
  <c r="S227" i="115"/>
  <c r="S228" i="115"/>
  <c r="S229" i="115"/>
  <c r="S210" i="115"/>
  <c r="R232" i="115"/>
  <c r="N206" i="115"/>
  <c r="O205" i="115"/>
  <c r="N205" i="115" s="1"/>
  <c r="N204" i="115"/>
  <c r="N203" i="115"/>
  <c r="N202" i="115"/>
  <c r="O201" i="115" l="1"/>
  <c r="H38" i="90"/>
  <c r="I17" i="103"/>
  <c r="H70" i="90"/>
  <c r="E79" i="90"/>
  <c r="E41" i="90"/>
  <c r="F8" i="103" s="1"/>
  <c r="F20" i="103"/>
  <c r="E199" i="89"/>
  <c r="F55" i="90" s="1"/>
  <c r="G19" i="103"/>
  <c r="F76" i="90"/>
  <c r="G39" i="103" s="1"/>
  <c r="F40" i="90"/>
  <c r="G7" i="103" s="1"/>
  <c r="F198" i="89"/>
  <c r="G54" i="90" s="1"/>
  <c r="G197" i="89"/>
  <c r="H53" i="90" s="1"/>
  <c r="F197" i="89"/>
  <c r="G53" i="90" s="1"/>
  <c r="I16" i="103"/>
  <c r="H37" i="90"/>
  <c r="G193" i="89"/>
  <c r="F193" i="89"/>
  <c r="G192" i="89"/>
  <c r="F188" i="89"/>
  <c r="F194" i="89" s="1"/>
  <c r="G188" i="89"/>
  <c r="G194" i="89" s="1"/>
  <c r="C13" i="68"/>
  <c r="Q43" i="89"/>
  <c r="P44" i="89"/>
  <c r="P46" i="89" s="1"/>
  <c r="S232" i="115"/>
  <c r="T232" i="115" s="1"/>
  <c r="O236" i="115"/>
  <c r="P236" i="115"/>
  <c r="N201" i="115"/>
  <c r="D208" i="115"/>
  <c r="E154" i="115" s="1"/>
  <c r="D153" i="115"/>
  <c r="D152" i="115"/>
  <c r="D155" i="115"/>
  <c r="F201" i="115"/>
  <c r="D151" i="115"/>
  <c r="D145" i="115"/>
  <c r="D144" i="115" s="1"/>
  <c r="E144" i="115"/>
  <c r="F41" i="90" l="1"/>
  <c r="G8" i="103" s="1"/>
  <c r="F79" i="90"/>
  <c r="G20" i="103"/>
  <c r="G76" i="90"/>
  <c r="H39" i="103" s="1"/>
  <c r="H19" i="103"/>
  <c r="G40" i="90"/>
  <c r="H7" i="103" s="1"/>
  <c r="F199" i="89"/>
  <c r="G55" i="90" s="1"/>
  <c r="G199" i="89"/>
  <c r="H55" i="90" s="1"/>
  <c r="G198" i="89"/>
  <c r="H54" i="90" s="1"/>
  <c r="G73" i="90"/>
  <c r="H36" i="103" s="1"/>
  <c r="G39" i="90"/>
  <c r="H6" i="103" s="1"/>
  <c r="H18" i="103"/>
  <c r="I18" i="103"/>
  <c r="H39" i="90"/>
  <c r="I6" i="103" s="1"/>
  <c r="H73" i="90"/>
  <c r="I36" i="103" s="1"/>
  <c r="B13" i="68"/>
  <c r="C26" i="68" s="1"/>
  <c r="Q44" i="89"/>
  <c r="Q46" i="89" s="1"/>
  <c r="D154" i="115"/>
  <c r="D149" i="115" s="1"/>
  <c r="E149" i="115"/>
  <c r="N193" i="115"/>
  <c r="P193" i="115" s="1"/>
  <c r="N192" i="115"/>
  <c r="P192" i="115" s="1"/>
  <c r="N188" i="115"/>
  <c r="O188" i="115"/>
  <c r="P188" i="115"/>
  <c r="Q188" i="115"/>
  <c r="R188" i="115"/>
  <c r="D178" i="115" s="1"/>
  <c r="F178" i="115" s="1"/>
  <c r="H178" i="115" s="1"/>
  <c r="H177" i="115" s="1"/>
  <c r="E181" i="103" s="1"/>
  <c r="S188" i="115"/>
  <c r="T188" i="115"/>
  <c r="U188" i="115"/>
  <c r="V188" i="115"/>
  <c r="W188" i="115"/>
  <c r="X188" i="115"/>
  <c r="M188" i="115"/>
  <c r="D173" i="115"/>
  <c r="D172" i="115" s="1"/>
  <c r="E178" i="103" s="1"/>
  <c r="E172" i="115"/>
  <c r="H20" i="103" l="1"/>
  <c r="G79" i="90"/>
  <c r="G41" i="90"/>
  <c r="H8" i="103" s="1"/>
  <c r="I20" i="103"/>
  <c r="H79" i="90"/>
  <c r="H41" i="90"/>
  <c r="I8" i="103" s="1"/>
  <c r="I19" i="103"/>
  <c r="H40" i="90"/>
  <c r="I7" i="103" s="1"/>
  <c r="H76" i="90"/>
  <c r="I39" i="103" s="1"/>
  <c r="N26" i="68"/>
  <c r="C41" i="89" s="1"/>
  <c r="J26" i="68"/>
  <c r="F26" i="68"/>
  <c r="B26" i="68"/>
  <c r="M26" i="68"/>
  <c r="I26" i="68"/>
  <c r="P26" i="68"/>
  <c r="L26" i="68"/>
  <c r="H26" i="68"/>
  <c r="O26" i="68"/>
  <c r="K26" i="68"/>
  <c r="G26" i="68"/>
  <c r="E26" i="68"/>
  <c r="D26" i="68"/>
  <c r="D177" i="115"/>
  <c r="E177" i="103"/>
  <c r="F178" i="103"/>
  <c r="F177" i="103" s="1"/>
  <c r="F181" i="103"/>
  <c r="F180" i="103" s="1"/>
  <c r="E182" i="103"/>
  <c r="F177" i="115"/>
  <c r="E179" i="103"/>
  <c r="E180" i="103"/>
  <c r="R26" i="68" l="1"/>
  <c r="G178" i="103"/>
  <c r="G177" i="103" s="1"/>
  <c r="F182" i="103"/>
  <c r="F179" i="103"/>
  <c r="G181" i="103"/>
  <c r="G180" i="103" s="1"/>
  <c r="E118" i="115"/>
  <c r="E119" i="115"/>
  <c r="E116" i="115"/>
  <c r="E117" i="115" s="1"/>
  <c r="D118" i="115"/>
  <c r="D116" i="115"/>
  <c r="D117" i="115" s="1"/>
  <c r="O124" i="89" l="1"/>
  <c r="O125" i="89" s="1"/>
  <c r="O126" i="89" s="1"/>
  <c r="O115" i="89"/>
  <c r="G179" i="103"/>
  <c r="H178" i="103"/>
  <c r="H177" i="103" s="1"/>
  <c r="G182" i="103"/>
  <c r="H181" i="103"/>
  <c r="H180" i="103" s="1"/>
  <c r="E120" i="115"/>
  <c r="O116" i="89" l="1"/>
  <c r="O130" i="89"/>
  <c r="H179" i="103"/>
  <c r="I178" i="103"/>
  <c r="I179" i="103" s="1"/>
  <c r="H182" i="103"/>
  <c r="I181" i="103"/>
  <c r="O117" i="89" l="1"/>
  <c r="O131" i="89"/>
  <c r="I177" i="103"/>
  <c r="I180" i="103"/>
  <c r="I182" i="103"/>
  <c r="D119" i="115"/>
  <c r="D120" i="115" s="1"/>
  <c r="D115" i="115" s="1"/>
  <c r="E213" i="115"/>
  <c r="D213" i="115" s="1"/>
  <c r="D214" i="115"/>
  <c r="D215" i="115"/>
  <c r="D216" i="115"/>
  <c r="D217" i="115"/>
  <c r="E212" i="115" l="1"/>
  <c r="D212" i="115"/>
  <c r="M263" i="115" l="1"/>
  <c r="N262" i="115"/>
  <c r="M262" i="115" s="1"/>
  <c r="M261" i="115"/>
  <c r="M260" i="115"/>
  <c r="S259" i="115"/>
  <c r="S263" i="115"/>
  <c r="E167" i="115"/>
  <c r="D168" i="115"/>
  <c r="D167" i="115" l="1"/>
  <c r="E175" i="103" s="1"/>
  <c r="N259" i="115"/>
  <c r="M259" i="115"/>
  <c r="E176" i="103" l="1"/>
  <c r="E174" i="103"/>
  <c r="F175" i="103"/>
  <c r="O126" i="115"/>
  <c r="P126" i="115"/>
  <c r="Q126" i="115"/>
  <c r="R126" i="115"/>
  <c r="S126" i="115"/>
  <c r="T126" i="115"/>
  <c r="O127" i="115"/>
  <c r="P127" i="115"/>
  <c r="Q127" i="115"/>
  <c r="R127" i="115"/>
  <c r="S127" i="115"/>
  <c r="T127" i="115"/>
  <c r="O128" i="115"/>
  <c r="P128" i="115"/>
  <c r="Q128" i="115"/>
  <c r="R128" i="115"/>
  <c r="S128" i="115"/>
  <c r="T128" i="115"/>
  <c r="O129" i="115"/>
  <c r="P129" i="115"/>
  <c r="Q129" i="115"/>
  <c r="R129" i="115"/>
  <c r="S129" i="115"/>
  <c r="T129" i="115"/>
  <c r="O130" i="115"/>
  <c r="P130" i="115"/>
  <c r="Q130" i="115"/>
  <c r="R130" i="115"/>
  <c r="S130" i="115"/>
  <c r="T130" i="115"/>
  <c r="O131" i="115"/>
  <c r="P131" i="115"/>
  <c r="Q131" i="115"/>
  <c r="R131" i="115"/>
  <c r="S131" i="115"/>
  <c r="T131" i="115"/>
  <c r="O132" i="115"/>
  <c r="P132" i="115"/>
  <c r="Q132" i="115"/>
  <c r="R132" i="115"/>
  <c r="S132" i="115"/>
  <c r="T132" i="115"/>
  <c r="O133" i="115"/>
  <c r="P133" i="115"/>
  <c r="Q133" i="115"/>
  <c r="R133" i="115"/>
  <c r="S133" i="115"/>
  <c r="T133" i="115"/>
  <c r="O134" i="115"/>
  <c r="P134" i="115"/>
  <c r="Q134" i="115"/>
  <c r="R134" i="115"/>
  <c r="S134" i="115"/>
  <c r="T134" i="115"/>
  <c r="O135" i="115"/>
  <c r="P135" i="115"/>
  <c r="Q135" i="115"/>
  <c r="R135" i="115"/>
  <c r="S135" i="115"/>
  <c r="T135" i="115"/>
  <c r="O136" i="115"/>
  <c r="P136" i="115"/>
  <c r="Q136" i="115"/>
  <c r="R136" i="115"/>
  <c r="S136" i="115"/>
  <c r="T136" i="115"/>
  <c r="P125" i="115"/>
  <c r="Q125" i="115"/>
  <c r="R125" i="115"/>
  <c r="S125" i="115"/>
  <c r="T125" i="115"/>
  <c r="O125" i="115"/>
  <c r="V120" i="115"/>
  <c r="V121" i="115" s="1"/>
  <c r="O120" i="115"/>
  <c r="P120" i="115"/>
  <c r="P121" i="115" s="1"/>
  <c r="Q120" i="115"/>
  <c r="Q121" i="115" s="1"/>
  <c r="R120" i="115"/>
  <c r="R121" i="115" s="1"/>
  <c r="S120" i="115"/>
  <c r="S121" i="115" s="1"/>
  <c r="T120" i="115"/>
  <c r="T121" i="115" s="1"/>
  <c r="U120" i="115"/>
  <c r="U121" i="115" s="1"/>
  <c r="AC18" i="114"/>
  <c r="AB18" i="114"/>
  <c r="AA18" i="114"/>
  <c r="Z18" i="114"/>
  <c r="F176" i="103" l="1"/>
  <c r="F174" i="103"/>
  <c r="G175" i="103"/>
  <c r="U125" i="115"/>
  <c r="U133" i="115"/>
  <c r="U131" i="115"/>
  <c r="U128" i="115"/>
  <c r="U136" i="115"/>
  <c r="U135" i="115"/>
  <c r="U132" i="115"/>
  <c r="U129" i="115"/>
  <c r="U127" i="115"/>
  <c r="U134" i="115"/>
  <c r="U130" i="115"/>
  <c r="U126" i="115"/>
  <c r="G29" i="117"/>
  <c r="G33" i="117" s="1"/>
  <c r="F24" i="117"/>
  <c r="E24" i="117"/>
  <c r="D24" i="117"/>
  <c r="C24" i="117"/>
  <c r="F23" i="117"/>
  <c r="E23" i="117"/>
  <c r="D23" i="117"/>
  <c r="C23" i="117"/>
  <c r="G176" i="103" l="1"/>
  <c r="G174" i="103"/>
  <c r="H175" i="103"/>
  <c r="G30" i="117"/>
  <c r="G31" i="117" s="1"/>
  <c r="G35" i="117" s="1"/>
  <c r="I161" i="103"/>
  <c r="H161" i="103"/>
  <c r="G161" i="103"/>
  <c r="F161" i="103"/>
  <c r="G34" i="117" l="1"/>
  <c r="G32" i="117"/>
  <c r="G36" i="117" s="1"/>
  <c r="H174" i="103"/>
  <c r="H176" i="103"/>
  <c r="I175" i="103"/>
  <c r="I174" i="103" s="1"/>
  <c r="R22" i="20"/>
  <c r="R14" i="20"/>
  <c r="R15" i="20"/>
  <c r="R16" i="20"/>
  <c r="R17" i="20"/>
  <c r="R18" i="20"/>
  <c r="R19" i="20"/>
  <c r="R20" i="20"/>
  <c r="R21" i="20"/>
  <c r="R13" i="20"/>
  <c r="I176" i="103" l="1"/>
  <c r="E161" i="115"/>
  <c r="D161" i="115" s="1"/>
  <c r="E160" i="115"/>
  <c r="D160" i="115" s="1"/>
  <c r="D163" i="115"/>
  <c r="D162" i="115"/>
  <c r="E159" i="115" l="1"/>
  <c r="D159" i="115"/>
  <c r="F172" i="103" s="1"/>
  <c r="F171" i="103" l="1"/>
  <c r="F173" i="103"/>
  <c r="G172" i="103"/>
  <c r="G173" i="103" l="1"/>
  <c r="H172" i="103"/>
  <c r="G171" i="103"/>
  <c r="I172" i="103" l="1"/>
  <c r="I171" i="103" s="1"/>
  <c r="H173" i="103"/>
  <c r="H171" i="103"/>
  <c r="I173" i="103" l="1"/>
  <c r="G135" i="103" l="1"/>
  <c r="H135" i="103" s="1"/>
  <c r="I135" i="103" s="1"/>
  <c r="E136" i="103" l="1"/>
  <c r="E137" i="103" s="1"/>
  <c r="G137" i="103" s="1"/>
  <c r="H137" i="103" s="1"/>
  <c r="I137" i="103" s="1"/>
  <c r="D137" i="115"/>
  <c r="D136" i="115"/>
  <c r="D135" i="115"/>
  <c r="D134" i="115"/>
  <c r="D133" i="115"/>
  <c r="D132" i="115"/>
  <c r="D131" i="115"/>
  <c r="D130" i="115"/>
  <c r="D128" i="115"/>
  <c r="D127" i="115"/>
  <c r="E126" i="115"/>
  <c r="D110" i="115"/>
  <c r="D109" i="115"/>
  <c r="D108" i="115"/>
  <c r="D107" i="115"/>
  <c r="E106" i="115"/>
  <c r="V102" i="115"/>
  <c r="U102" i="115"/>
  <c r="T102" i="115"/>
  <c r="S102" i="115"/>
  <c r="R102" i="115"/>
  <c r="Q102" i="115"/>
  <c r="E101" i="115" s="1"/>
  <c r="D101" i="115" s="1"/>
  <c r="P102" i="115"/>
  <c r="O102" i="115"/>
  <c r="N102" i="115"/>
  <c r="M102" i="115"/>
  <c r="L102" i="115"/>
  <c r="K102" i="115"/>
  <c r="V97" i="115"/>
  <c r="U97" i="115"/>
  <c r="T97" i="115"/>
  <c r="S97" i="115"/>
  <c r="R97" i="115"/>
  <c r="Q97" i="115"/>
  <c r="P97" i="115"/>
  <c r="O97" i="115"/>
  <c r="N97" i="115"/>
  <c r="M97" i="115"/>
  <c r="L97" i="115"/>
  <c r="K97" i="115"/>
  <c r="D96" i="115"/>
  <c r="V91" i="115"/>
  <c r="V92" i="115" s="1"/>
  <c r="U91" i="115"/>
  <c r="U92" i="115" s="1"/>
  <c r="T91" i="115"/>
  <c r="T92" i="115" s="1"/>
  <c r="S91" i="115"/>
  <c r="S92" i="115" s="1"/>
  <c r="E91" i="115" s="1"/>
  <c r="R91" i="115"/>
  <c r="R92" i="115" s="1"/>
  <c r="Q91" i="115"/>
  <c r="Q92" i="115" s="1"/>
  <c r="P91" i="115"/>
  <c r="P92" i="115" s="1"/>
  <c r="O91" i="115"/>
  <c r="O92" i="115" s="1"/>
  <c r="N91" i="115"/>
  <c r="N92" i="115" s="1"/>
  <c r="M91" i="115"/>
  <c r="M92" i="115" s="1"/>
  <c r="L91" i="115"/>
  <c r="L92" i="115" s="1"/>
  <c r="K91" i="115"/>
  <c r="K92" i="115" s="1"/>
  <c r="D85" i="115"/>
  <c r="D84" i="115"/>
  <c r="D83" i="115"/>
  <c r="D82" i="115"/>
  <c r="D81" i="115"/>
  <c r="D80" i="115"/>
  <c r="E79" i="115"/>
  <c r="D91" i="115" l="1"/>
  <c r="D106" i="115"/>
  <c r="D79" i="115"/>
  <c r="D126" i="115"/>
  <c r="G136" i="103"/>
  <c r="H136" i="103" s="1"/>
  <c r="I136" i="103" s="1"/>
  <c r="E115" i="115"/>
  <c r="T18" i="114"/>
  <c r="S18" i="114"/>
  <c r="R18" i="114"/>
  <c r="Q18" i="114"/>
  <c r="P18" i="114"/>
  <c r="O18" i="114"/>
  <c r="N18" i="114"/>
  <c r="M18" i="114"/>
  <c r="L18" i="114"/>
  <c r="K18" i="114"/>
  <c r="J18" i="114"/>
  <c r="I18" i="114"/>
  <c r="G18" i="114"/>
  <c r="E16" i="114"/>
  <c r="T15" i="114"/>
  <c r="S15" i="114"/>
  <c r="R15" i="114"/>
  <c r="Q15" i="114"/>
  <c r="P15" i="114"/>
  <c r="O15" i="114"/>
  <c r="N15" i="114"/>
  <c r="M15" i="114"/>
  <c r="L15" i="114"/>
  <c r="K15" i="114"/>
  <c r="J15" i="114"/>
  <c r="I15" i="114"/>
  <c r="G15" i="114"/>
  <c r="E12" i="114"/>
  <c r="T11" i="114"/>
  <c r="S11" i="114"/>
  <c r="R11" i="114"/>
  <c r="Q11" i="114"/>
  <c r="P11" i="114"/>
  <c r="O11" i="114"/>
  <c r="N11" i="114"/>
  <c r="M11" i="114"/>
  <c r="L11" i="114"/>
  <c r="K11" i="114"/>
  <c r="J11" i="114"/>
  <c r="I11" i="114"/>
  <c r="G11" i="114"/>
  <c r="E8" i="114"/>
  <c r="T7" i="114"/>
  <c r="S7" i="114"/>
  <c r="R7" i="114"/>
  <c r="Q7" i="114"/>
  <c r="P7" i="114"/>
  <c r="O7" i="114"/>
  <c r="N7" i="114"/>
  <c r="M7" i="114"/>
  <c r="L7" i="114"/>
  <c r="K7" i="114"/>
  <c r="J7" i="114"/>
  <c r="I7" i="114"/>
  <c r="G7" i="114"/>
  <c r="E5" i="114"/>
  <c r="H56" i="113"/>
  <c r="H57" i="113" s="1"/>
  <c r="H58" i="113" s="1"/>
  <c r="G56" i="113"/>
  <c r="F56" i="113"/>
  <c r="E56" i="113"/>
  <c r="E57" i="113" s="1"/>
  <c r="E58" i="113" s="1"/>
  <c r="D56" i="113"/>
  <c r="C101" i="111"/>
  <c r="C100" i="111"/>
  <c r="C99" i="111"/>
  <c r="C98" i="111"/>
  <c r="C97" i="111"/>
  <c r="C96" i="111"/>
  <c r="C95" i="111"/>
  <c r="C94" i="111"/>
  <c r="C93" i="111"/>
  <c r="C92" i="111"/>
  <c r="C91" i="111"/>
  <c r="J102" i="111"/>
  <c r="J20" i="111" s="1"/>
  <c r="J10" i="111" s="1"/>
  <c r="I102" i="111"/>
  <c r="I20" i="111" s="1"/>
  <c r="I10" i="111" s="1"/>
  <c r="H102" i="111"/>
  <c r="H20" i="111" s="1"/>
  <c r="H10" i="111" s="1"/>
  <c r="G102" i="111"/>
  <c r="G20" i="111" s="1"/>
  <c r="G10" i="111" s="1"/>
  <c r="F102" i="111"/>
  <c r="F20" i="111" s="1"/>
  <c r="F10" i="111" s="1"/>
  <c r="E102" i="111"/>
  <c r="E20" i="111" s="1"/>
  <c r="E10" i="111" s="1"/>
  <c r="C88" i="111"/>
  <c r="C87" i="111"/>
  <c r="C86" i="111"/>
  <c r="C85" i="111"/>
  <c r="C84" i="111"/>
  <c r="C83" i="111"/>
  <c r="C82" i="111"/>
  <c r="C81" i="111"/>
  <c r="C80" i="111"/>
  <c r="C79" i="111"/>
  <c r="C78" i="111"/>
  <c r="J89" i="111"/>
  <c r="J19" i="111" s="1"/>
  <c r="J9" i="111" s="1"/>
  <c r="I89" i="111"/>
  <c r="I19" i="111" s="1"/>
  <c r="I9" i="111" s="1"/>
  <c r="H89" i="111"/>
  <c r="H19" i="111" s="1"/>
  <c r="H9" i="111" s="1"/>
  <c r="G89" i="111"/>
  <c r="G19" i="111" s="1"/>
  <c r="G9" i="111" s="1"/>
  <c r="F89" i="111"/>
  <c r="F19" i="111" s="1"/>
  <c r="F9" i="111" s="1"/>
  <c r="E89" i="111"/>
  <c r="E19" i="111" s="1"/>
  <c r="E9" i="111" s="1"/>
  <c r="D89" i="111"/>
  <c r="D19" i="111" s="1"/>
  <c r="C75" i="111"/>
  <c r="C74" i="111"/>
  <c r="C73" i="111"/>
  <c r="C72" i="111"/>
  <c r="C71" i="111"/>
  <c r="C70" i="111"/>
  <c r="C69" i="111"/>
  <c r="C68" i="111"/>
  <c r="C67" i="111"/>
  <c r="C66" i="111"/>
  <c r="C65" i="111"/>
  <c r="J76" i="111"/>
  <c r="J18" i="111" s="1"/>
  <c r="I76" i="111"/>
  <c r="H76" i="111"/>
  <c r="H18" i="111" s="1"/>
  <c r="H8" i="111" s="1"/>
  <c r="G76" i="111"/>
  <c r="G18" i="111" s="1"/>
  <c r="G8" i="111" s="1"/>
  <c r="F76" i="111"/>
  <c r="F18" i="111" s="1"/>
  <c r="F8" i="111" s="1"/>
  <c r="E76" i="111"/>
  <c r="E18" i="111" s="1"/>
  <c r="E8" i="111" s="1"/>
  <c r="D76" i="111"/>
  <c r="D18" i="111" s="1"/>
  <c r="C60" i="111"/>
  <c r="C59" i="111"/>
  <c r="C58" i="111"/>
  <c r="C57" i="111"/>
  <c r="C56" i="111"/>
  <c r="C55" i="111"/>
  <c r="C54" i="111"/>
  <c r="C53" i="111"/>
  <c r="C52" i="111"/>
  <c r="J63" i="111"/>
  <c r="J17" i="111" s="1"/>
  <c r="J7" i="111" s="1"/>
  <c r="I63" i="111"/>
  <c r="I17" i="111" s="1"/>
  <c r="H63" i="111"/>
  <c r="H17" i="111" s="1"/>
  <c r="H7" i="111" s="1"/>
  <c r="G63" i="111"/>
  <c r="G17" i="111" s="1"/>
  <c r="G7" i="111" s="1"/>
  <c r="F63" i="111"/>
  <c r="F17" i="111" s="1"/>
  <c r="F7" i="111" s="1"/>
  <c r="E63" i="111"/>
  <c r="E17" i="111" s="1"/>
  <c r="E7" i="111" s="1"/>
  <c r="D63" i="111"/>
  <c r="D17" i="111" s="1"/>
  <c r="C49" i="111"/>
  <c r="C48" i="111"/>
  <c r="C47" i="111"/>
  <c r="C46" i="111"/>
  <c r="C45" i="111"/>
  <c r="C44" i="111"/>
  <c r="C43" i="111"/>
  <c r="C42" i="111"/>
  <c r="C41" i="111"/>
  <c r="C40" i="111"/>
  <c r="C39" i="111"/>
  <c r="J50" i="111"/>
  <c r="J16" i="111" s="1"/>
  <c r="J6" i="111" s="1"/>
  <c r="I50" i="111"/>
  <c r="I16" i="111" s="1"/>
  <c r="I6" i="111" s="1"/>
  <c r="H50" i="111"/>
  <c r="H16" i="111" s="1"/>
  <c r="H6" i="111" s="1"/>
  <c r="G50" i="111"/>
  <c r="G16" i="111" s="1"/>
  <c r="G6" i="111" s="1"/>
  <c r="F50" i="111"/>
  <c r="F16" i="111" s="1"/>
  <c r="F6" i="111" s="1"/>
  <c r="E50" i="111"/>
  <c r="E16" i="111" s="1"/>
  <c r="E6" i="111" s="1"/>
  <c r="C36" i="111"/>
  <c r="C35" i="111"/>
  <c r="C34" i="111"/>
  <c r="C33" i="111"/>
  <c r="C32" i="111"/>
  <c r="C31" i="111"/>
  <c r="C30" i="111"/>
  <c r="C29" i="111"/>
  <c r="C28" i="111"/>
  <c r="C27" i="111"/>
  <c r="C26" i="111"/>
  <c r="J37" i="111"/>
  <c r="J15" i="111" s="1"/>
  <c r="J5" i="111" s="1"/>
  <c r="I37" i="111"/>
  <c r="I15" i="111" s="1"/>
  <c r="I5" i="111" s="1"/>
  <c r="H37" i="111"/>
  <c r="H15" i="111" s="1"/>
  <c r="H5" i="111" s="1"/>
  <c r="G37" i="111"/>
  <c r="G15" i="111" s="1"/>
  <c r="G5" i="111" s="1"/>
  <c r="F37" i="111"/>
  <c r="F15" i="111" s="1"/>
  <c r="F5" i="111" s="1"/>
  <c r="E37" i="111"/>
  <c r="E15" i="111" s="1"/>
  <c r="E5" i="111" s="1"/>
  <c r="C25" i="111"/>
  <c r="I18" i="111"/>
  <c r="I8" i="111" s="1"/>
  <c r="J8" i="111"/>
  <c r="I7" i="111"/>
  <c r="C101" i="110"/>
  <c r="C100" i="110"/>
  <c r="C99" i="110"/>
  <c r="C98" i="110"/>
  <c r="C97" i="110"/>
  <c r="C96" i="110"/>
  <c r="C95" i="110"/>
  <c r="C94" i="110"/>
  <c r="C93" i="110"/>
  <c r="C92" i="110"/>
  <c r="C91" i="110"/>
  <c r="J102" i="110"/>
  <c r="I102" i="110"/>
  <c r="I20" i="110" s="1"/>
  <c r="I10" i="110" s="1"/>
  <c r="H102" i="110"/>
  <c r="H20" i="110" s="1"/>
  <c r="H10" i="110" s="1"/>
  <c r="G102" i="110"/>
  <c r="G20" i="110" s="1"/>
  <c r="G10" i="110" s="1"/>
  <c r="F102" i="110"/>
  <c r="F20" i="110" s="1"/>
  <c r="F10" i="110" s="1"/>
  <c r="E102" i="110"/>
  <c r="C90" i="110"/>
  <c r="C88" i="110"/>
  <c r="C87" i="110"/>
  <c r="C86" i="110"/>
  <c r="C85" i="110"/>
  <c r="C84" i="110"/>
  <c r="C83" i="110"/>
  <c r="C82" i="110"/>
  <c r="C81" i="110"/>
  <c r="C80" i="110"/>
  <c r="C79" i="110"/>
  <c r="C78" i="110"/>
  <c r="J89" i="110"/>
  <c r="J19" i="110" s="1"/>
  <c r="J9" i="110" s="1"/>
  <c r="I89" i="110"/>
  <c r="I19" i="110" s="1"/>
  <c r="I9" i="110" s="1"/>
  <c r="H89" i="110"/>
  <c r="H19" i="110" s="1"/>
  <c r="H9" i="110" s="1"/>
  <c r="G89" i="110"/>
  <c r="G19" i="110" s="1"/>
  <c r="G9" i="110" s="1"/>
  <c r="F89" i="110"/>
  <c r="F19" i="110" s="1"/>
  <c r="F9" i="110" s="1"/>
  <c r="E89" i="110"/>
  <c r="E19" i="110" s="1"/>
  <c r="E9" i="110" s="1"/>
  <c r="C77" i="110"/>
  <c r="C75" i="110"/>
  <c r="C74" i="110"/>
  <c r="C73" i="110"/>
  <c r="C72" i="110"/>
  <c r="C71" i="110"/>
  <c r="C70" i="110"/>
  <c r="C69" i="110"/>
  <c r="C68" i="110"/>
  <c r="C67" i="110"/>
  <c r="C66" i="110"/>
  <c r="C65" i="110"/>
  <c r="J76" i="110"/>
  <c r="J18" i="110" s="1"/>
  <c r="J8" i="110" s="1"/>
  <c r="I76" i="110"/>
  <c r="I18" i="110" s="1"/>
  <c r="I8" i="110" s="1"/>
  <c r="H76" i="110"/>
  <c r="H18" i="110" s="1"/>
  <c r="H8" i="110" s="1"/>
  <c r="G76" i="110"/>
  <c r="G18" i="110" s="1"/>
  <c r="G8" i="110" s="1"/>
  <c r="F76" i="110"/>
  <c r="F18" i="110" s="1"/>
  <c r="F8" i="110" s="1"/>
  <c r="E76" i="110"/>
  <c r="E18" i="110" s="1"/>
  <c r="E8" i="110" s="1"/>
  <c r="C62" i="110"/>
  <c r="C61" i="110"/>
  <c r="C60" i="110"/>
  <c r="C59" i="110"/>
  <c r="C58" i="110"/>
  <c r="C57" i="110"/>
  <c r="C56" i="110"/>
  <c r="C55" i="110"/>
  <c r="C54" i="110"/>
  <c r="C53" i="110"/>
  <c r="C52" i="110"/>
  <c r="J63" i="110"/>
  <c r="J17" i="110" s="1"/>
  <c r="J7" i="110" s="1"/>
  <c r="I63" i="110"/>
  <c r="I17" i="110" s="1"/>
  <c r="I7" i="110" s="1"/>
  <c r="H63" i="110"/>
  <c r="H17" i="110" s="1"/>
  <c r="H7" i="110" s="1"/>
  <c r="G63" i="110"/>
  <c r="G17" i="110" s="1"/>
  <c r="G7" i="110" s="1"/>
  <c r="F63" i="110"/>
  <c r="F17" i="110" s="1"/>
  <c r="F7" i="110" s="1"/>
  <c r="E63" i="110"/>
  <c r="E17" i="110" s="1"/>
  <c r="E7" i="110" s="1"/>
  <c r="C51" i="110"/>
  <c r="C49" i="110"/>
  <c r="C48" i="110"/>
  <c r="C47" i="110"/>
  <c r="C46" i="110"/>
  <c r="C45" i="110"/>
  <c r="C44" i="110"/>
  <c r="C43" i="110"/>
  <c r="C42" i="110"/>
  <c r="C41" i="110"/>
  <c r="C40" i="110"/>
  <c r="C39" i="110"/>
  <c r="J50" i="110"/>
  <c r="J16" i="110" s="1"/>
  <c r="J6" i="110" s="1"/>
  <c r="I50" i="110"/>
  <c r="I16" i="110" s="1"/>
  <c r="I6" i="110" s="1"/>
  <c r="H50" i="110"/>
  <c r="H16" i="110" s="1"/>
  <c r="H6" i="110" s="1"/>
  <c r="G50" i="110"/>
  <c r="G16" i="110" s="1"/>
  <c r="G6" i="110" s="1"/>
  <c r="F50" i="110"/>
  <c r="F16" i="110" s="1"/>
  <c r="F6" i="110" s="1"/>
  <c r="E50" i="110"/>
  <c r="E16" i="110" s="1"/>
  <c r="E6" i="110" s="1"/>
  <c r="C38" i="110"/>
  <c r="C36" i="110"/>
  <c r="C35" i="110"/>
  <c r="C34" i="110"/>
  <c r="C33" i="110"/>
  <c r="C32" i="110"/>
  <c r="C31" i="110"/>
  <c r="C30" i="110"/>
  <c r="C29" i="110"/>
  <c r="C28" i="110"/>
  <c r="C27" i="110"/>
  <c r="C26" i="110"/>
  <c r="J37" i="110"/>
  <c r="J15" i="110" s="1"/>
  <c r="J5" i="110" s="1"/>
  <c r="I37" i="110"/>
  <c r="I15" i="110" s="1"/>
  <c r="I5" i="110" s="1"/>
  <c r="H37" i="110"/>
  <c r="H15" i="110" s="1"/>
  <c r="H5" i="110" s="1"/>
  <c r="G37" i="110"/>
  <c r="G15" i="110" s="1"/>
  <c r="G5" i="110" s="1"/>
  <c r="F37" i="110"/>
  <c r="F15" i="110" s="1"/>
  <c r="F5" i="110" s="1"/>
  <c r="E37" i="110"/>
  <c r="E15" i="110" s="1"/>
  <c r="E5" i="110" s="1"/>
  <c r="C25" i="110"/>
  <c r="J20" i="110"/>
  <c r="J10" i="110" s="1"/>
  <c r="E20" i="110"/>
  <c r="E10" i="110" s="1"/>
  <c r="C101" i="109"/>
  <c r="C100" i="109"/>
  <c r="C99" i="109"/>
  <c r="C98" i="109"/>
  <c r="C97" i="109"/>
  <c r="C96" i="109"/>
  <c r="C95" i="109"/>
  <c r="C94" i="109"/>
  <c r="C93" i="109"/>
  <c r="C92" i="109"/>
  <c r="C91" i="109"/>
  <c r="J102" i="109"/>
  <c r="J20" i="109" s="1"/>
  <c r="J10" i="109" s="1"/>
  <c r="I102" i="109"/>
  <c r="I20" i="109" s="1"/>
  <c r="I10" i="109" s="1"/>
  <c r="H102" i="109"/>
  <c r="H20" i="109" s="1"/>
  <c r="H10" i="109" s="1"/>
  <c r="G102" i="109"/>
  <c r="G20" i="109" s="1"/>
  <c r="G10" i="109" s="1"/>
  <c r="F102" i="109"/>
  <c r="F20" i="109" s="1"/>
  <c r="F10" i="109" s="1"/>
  <c r="E102" i="109"/>
  <c r="E20" i="109" s="1"/>
  <c r="E10" i="109" s="1"/>
  <c r="D102" i="109"/>
  <c r="D20" i="109" s="1"/>
  <c r="C88" i="109"/>
  <c r="C87" i="109"/>
  <c r="C86" i="109"/>
  <c r="C85" i="109"/>
  <c r="C84" i="109"/>
  <c r="C83" i="109"/>
  <c r="C82" i="109"/>
  <c r="C81" i="109"/>
  <c r="C80" i="109"/>
  <c r="C79" i="109"/>
  <c r="C78" i="109"/>
  <c r="J89" i="109"/>
  <c r="J19" i="109" s="1"/>
  <c r="J9" i="109" s="1"/>
  <c r="I89" i="109"/>
  <c r="I19" i="109" s="1"/>
  <c r="I9" i="109" s="1"/>
  <c r="H89" i="109"/>
  <c r="H19" i="109" s="1"/>
  <c r="H9" i="109" s="1"/>
  <c r="G89" i="109"/>
  <c r="G19" i="109" s="1"/>
  <c r="G9" i="109" s="1"/>
  <c r="F89" i="109"/>
  <c r="F19" i="109" s="1"/>
  <c r="F9" i="109" s="1"/>
  <c r="E89" i="109"/>
  <c r="E19" i="109" s="1"/>
  <c r="E9" i="109" s="1"/>
  <c r="D89" i="109"/>
  <c r="D19" i="109" s="1"/>
  <c r="C75" i="109"/>
  <c r="C74" i="109"/>
  <c r="C73" i="109"/>
  <c r="C72" i="109"/>
  <c r="C71" i="109"/>
  <c r="C68" i="109"/>
  <c r="C67" i="109"/>
  <c r="C66" i="109"/>
  <c r="C65" i="109"/>
  <c r="J76" i="109"/>
  <c r="J18" i="109" s="1"/>
  <c r="J8" i="109" s="1"/>
  <c r="I76" i="109"/>
  <c r="I18" i="109" s="1"/>
  <c r="I8" i="109" s="1"/>
  <c r="H76" i="109"/>
  <c r="H18" i="109" s="1"/>
  <c r="H8" i="109" s="1"/>
  <c r="G76" i="109"/>
  <c r="G18" i="109" s="1"/>
  <c r="G8" i="109" s="1"/>
  <c r="F76" i="109"/>
  <c r="F18" i="109" s="1"/>
  <c r="F8" i="109" s="1"/>
  <c r="E76" i="109"/>
  <c r="E18" i="109" s="1"/>
  <c r="E8" i="109" s="1"/>
  <c r="D76" i="109"/>
  <c r="D18" i="109" s="1"/>
  <c r="C62" i="109"/>
  <c r="C61" i="109"/>
  <c r="C60" i="109"/>
  <c r="C59" i="109"/>
  <c r="C58" i="109"/>
  <c r="C57" i="109"/>
  <c r="C56" i="109"/>
  <c r="C55" i="109"/>
  <c r="C54" i="109"/>
  <c r="C53" i="109"/>
  <c r="C52" i="109"/>
  <c r="J63" i="109"/>
  <c r="J17" i="109" s="1"/>
  <c r="J7" i="109" s="1"/>
  <c r="I63" i="109"/>
  <c r="I17" i="109" s="1"/>
  <c r="I7" i="109" s="1"/>
  <c r="H63" i="109"/>
  <c r="H17" i="109" s="1"/>
  <c r="H7" i="109" s="1"/>
  <c r="G63" i="109"/>
  <c r="G17" i="109" s="1"/>
  <c r="G7" i="109" s="1"/>
  <c r="F63" i="109"/>
  <c r="F17" i="109" s="1"/>
  <c r="F7" i="109" s="1"/>
  <c r="E63" i="109"/>
  <c r="E17" i="109" s="1"/>
  <c r="E7" i="109" s="1"/>
  <c r="D63" i="109"/>
  <c r="D17" i="109" s="1"/>
  <c r="C49" i="109"/>
  <c r="C48" i="109"/>
  <c r="C47" i="109"/>
  <c r="C46" i="109"/>
  <c r="C45" i="109"/>
  <c r="C44" i="109"/>
  <c r="C43" i="109"/>
  <c r="C42" i="109"/>
  <c r="C41" i="109"/>
  <c r="C40" i="109"/>
  <c r="C39" i="109"/>
  <c r="J50" i="109"/>
  <c r="J16" i="109" s="1"/>
  <c r="J6" i="109" s="1"/>
  <c r="I50" i="109"/>
  <c r="I16" i="109" s="1"/>
  <c r="I6" i="109" s="1"/>
  <c r="H50" i="109"/>
  <c r="H16" i="109" s="1"/>
  <c r="H6" i="109" s="1"/>
  <c r="G50" i="109"/>
  <c r="G16" i="109" s="1"/>
  <c r="G6" i="109" s="1"/>
  <c r="F50" i="109"/>
  <c r="F16" i="109" s="1"/>
  <c r="F6" i="109" s="1"/>
  <c r="E50" i="109"/>
  <c r="E16" i="109" s="1"/>
  <c r="E6" i="109" s="1"/>
  <c r="C38" i="109"/>
  <c r="C36" i="109"/>
  <c r="C35" i="109"/>
  <c r="C34" i="109"/>
  <c r="C33" i="109"/>
  <c r="C32" i="109"/>
  <c r="C31" i="109"/>
  <c r="C30" i="109"/>
  <c r="C29" i="109"/>
  <c r="C28" i="109"/>
  <c r="C27" i="109"/>
  <c r="C26" i="109"/>
  <c r="J37" i="109"/>
  <c r="J15" i="109" s="1"/>
  <c r="J5" i="109" s="1"/>
  <c r="I37" i="109"/>
  <c r="I15" i="109" s="1"/>
  <c r="I5" i="109" s="1"/>
  <c r="H37" i="109"/>
  <c r="H15" i="109" s="1"/>
  <c r="H5" i="109" s="1"/>
  <c r="G37" i="109"/>
  <c r="G15" i="109" s="1"/>
  <c r="G5" i="109" s="1"/>
  <c r="F37" i="109"/>
  <c r="F15" i="109" s="1"/>
  <c r="F5" i="109" s="1"/>
  <c r="E15" i="109"/>
  <c r="E5" i="109" s="1"/>
  <c r="C25" i="109"/>
  <c r="C37" i="111" l="1"/>
  <c r="C63" i="110"/>
  <c r="C20" i="109"/>
  <c r="C89" i="110"/>
  <c r="D57" i="113"/>
  <c r="H74" i="113"/>
  <c r="E74" i="113"/>
  <c r="D58" i="113"/>
  <c r="C17" i="111"/>
  <c r="C50" i="110"/>
  <c r="C102" i="110"/>
  <c r="C37" i="110"/>
  <c r="C77" i="109"/>
  <c r="C89" i="109" s="1"/>
  <c r="C61" i="111"/>
  <c r="C77" i="111"/>
  <c r="C89" i="111" s="1"/>
  <c r="D7" i="111"/>
  <c r="M7" i="111" s="1"/>
  <c r="E22" i="113" s="1"/>
  <c r="C62" i="111"/>
  <c r="C19" i="109"/>
  <c r="D9" i="109"/>
  <c r="C9" i="109" s="1"/>
  <c r="L9" i="109" s="1"/>
  <c r="R9" i="109" s="1"/>
  <c r="D50" i="110"/>
  <c r="D16" i="110" s="1"/>
  <c r="D6" i="110" s="1"/>
  <c r="M6" i="110" s="1"/>
  <c r="E37" i="113" s="1"/>
  <c r="C64" i="110"/>
  <c r="C76" i="110" s="1"/>
  <c r="D76" i="110"/>
  <c r="D18" i="110" s="1"/>
  <c r="D8" i="110" s="1"/>
  <c r="C8" i="110" s="1"/>
  <c r="L8" i="110" s="1"/>
  <c r="C19" i="111"/>
  <c r="D9" i="111"/>
  <c r="C9" i="111" s="1"/>
  <c r="L9" i="111" s="1"/>
  <c r="O9" i="111" s="1"/>
  <c r="D102" i="111"/>
  <c r="D20" i="111" s="1"/>
  <c r="C20" i="111" s="1"/>
  <c r="C90" i="111"/>
  <c r="C102" i="111" s="1"/>
  <c r="C70" i="109"/>
  <c r="C69" i="109"/>
  <c r="C90" i="109"/>
  <c r="C102" i="109" s="1"/>
  <c r="D37" i="110"/>
  <c r="D15" i="110" s="1"/>
  <c r="D63" i="110"/>
  <c r="D17" i="110" s="1"/>
  <c r="D89" i="110"/>
  <c r="D19" i="110" s="1"/>
  <c r="D9" i="110" s="1"/>
  <c r="M9" i="110" s="1"/>
  <c r="E40" i="113" s="1"/>
  <c r="D37" i="111"/>
  <c r="D15" i="111" s="1"/>
  <c r="C15" i="111" s="1"/>
  <c r="D102" i="110"/>
  <c r="D20" i="110" s="1"/>
  <c r="D10" i="110" s="1"/>
  <c r="E7" i="114"/>
  <c r="E21" i="114" s="1"/>
  <c r="Q21" i="114" s="1"/>
  <c r="E15" i="114"/>
  <c r="E23" i="114" s="1"/>
  <c r="E11" i="114"/>
  <c r="E22" i="114" s="1"/>
  <c r="E18" i="114"/>
  <c r="E24" i="114" s="1"/>
  <c r="G143" i="103"/>
  <c r="H142" i="103"/>
  <c r="H141" i="103" s="1"/>
  <c r="G138" i="103"/>
  <c r="G157" i="103"/>
  <c r="G156" i="103" s="1"/>
  <c r="F158" i="103"/>
  <c r="F57" i="113"/>
  <c r="G57" i="113"/>
  <c r="G58" i="113" s="1"/>
  <c r="C18" i="109"/>
  <c r="D8" i="109"/>
  <c r="C37" i="109"/>
  <c r="C50" i="109"/>
  <c r="C17" i="109"/>
  <c r="D7" i="109"/>
  <c r="D50" i="109"/>
  <c r="D16" i="109" s="1"/>
  <c r="D10" i="109"/>
  <c r="D37" i="109"/>
  <c r="D15" i="109" s="1"/>
  <c r="C51" i="109"/>
  <c r="C63" i="109" s="1"/>
  <c r="C64" i="109"/>
  <c r="D8" i="111"/>
  <c r="C18" i="111"/>
  <c r="D16" i="111"/>
  <c r="C16" i="111" s="1"/>
  <c r="C38" i="111"/>
  <c r="C50" i="111" s="1"/>
  <c r="C51" i="111"/>
  <c r="C64" i="111"/>
  <c r="C76" i="111" s="1"/>
  <c r="M9" i="109" l="1"/>
  <c r="E32" i="113" s="1"/>
  <c r="C63" i="111"/>
  <c r="C18" i="110"/>
  <c r="D5" i="111"/>
  <c r="C5" i="111" s="1"/>
  <c r="C7" i="111"/>
  <c r="L7" i="111" s="1"/>
  <c r="R7" i="111" s="1"/>
  <c r="D10" i="111"/>
  <c r="C10" i="111" s="1"/>
  <c r="I69" i="103"/>
  <c r="G74" i="113"/>
  <c r="F69" i="103"/>
  <c r="D74" i="113"/>
  <c r="F58" i="113"/>
  <c r="C20" i="110"/>
  <c r="M8" i="110"/>
  <c r="E39" i="113" s="1"/>
  <c r="C76" i="109"/>
  <c r="C6" i="110"/>
  <c r="L6" i="110" s="1"/>
  <c r="R6" i="110" s="1"/>
  <c r="C16" i="110"/>
  <c r="M9" i="111"/>
  <c r="N9" i="111" s="1"/>
  <c r="R9" i="111"/>
  <c r="C9" i="110"/>
  <c r="L9" i="110" s="1"/>
  <c r="C19" i="110"/>
  <c r="C17" i="110"/>
  <c r="D7" i="110"/>
  <c r="D6" i="111"/>
  <c r="M6" i="111" s="1"/>
  <c r="E21" i="113" s="1"/>
  <c r="C15" i="110"/>
  <c r="D5" i="110"/>
  <c r="Q24" i="114"/>
  <c r="E126" i="103" s="1"/>
  <c r="Q22" i="114"/>
  <c r="E120" i="103" s="1"/>
  <c r="E25" i="114"/>
  <c r="Q23" i="114"/>
  <c r="E123" i="103" s="1"/>
  <c r="I142" i="103"/>
  <c r="I141" i="103" s="1"/>
  <c r="H143" i="103"/>
  <c r="G158" i="103"/>
  <c r="H157" i="103"/>
  <c r="H156" i="103" s="1"/>
  <c r="G140" i="103"/>
  <c r="H139" i="103"/>
  <c r="H138" i="103" s="1"/>
  <c r="E117" i="103"/>
  <c r="C10" i="109"/>
  <c r="M10" i="109"/>
  <c r="E33" i="113" s="1"/>
  <c r="C7" i="109"/>
  <c r="M7" i="109"/>
  <c r="E30" i="113" s="1"/>
  <c r="C8" i="109"/>
  <c r="M8" i="109"/>
  <c r="E31" i="113" s="1"/>
  <c r="N9" i="109"/>
  <c r="F32" i="113" s="1"/>
  <c r="O9" i="109"/>
  <c r="C16" i="109"/>
  <c r="D6" i="109"/>
  <c r="C10" i="110"/>
  <c r="M10" i="110"/>
  <c r="E41" i="113" s="1"/>
  <c r="O8" i="110"/>
  <c r="C15" i="109"/>
  <c r="D5" i="109"/>
  <c r="M5" i="111"/>
  <c r="R8" i="110"/>
  <c r="M8" i="111"/>
  <c r="E23" i="113" s="1"/>
  <c r="C8" i="111"/>
  <c r="L124" i="27"/>
  <c r="K117" i="27"/>
  <c r="J117" i="27" s="1"/>
  <c r="K118" i="27"/>
  <c r="K119" i="27"/>
  <c r="K120" i="27"/>
  <c r="J120" i="27" s="1"/>
  <c r="K121" i="27"/>
  <c r="J121" i="27" s="1"/>
  <c r="K122" i="27"/>
  <c r="J122" i="27" s="1"/>
  <c r="K123" i="27"/>
  <c r="K124" i="27"/>
  <c r="J124" i="27" s="1"/>
  <c r="K125" i="27"/>
  <c r="J125" i="27" s="1"/>
  <c r="K116" i="27"/>
  <c r="J116" i="27" s="1"/>
  <c r="X104" i="27"/>
  <c r="X105" i="27" s="1"/>
  <c r="J118" i="27"/>
  <c r="J119" i="27"/>
  <c r="J123" i="27"/>
  <c r="M10" i="111" l="1"/>
  <c r="E25" i="113" s="1"/>
  <c r="N8" i="110"/>
  <c r="F39" i="113" s="1"/>
  <c r="D39" i="113" s="1"/>
  <c r="G39" i="113" s="1"/>
  <c r="D32" i="113"/>
  <c r="G32" i="113" s="1"/>
  <c r="H69" i="103"/>
  <c r="F74" i="113"/>
  <c r="E69" i="103"/>
  <c r="E24" i="113"/>
  <c r="C6" i="111"/>
  <c r="L6" i="111" s="1"/>
  <c r="R6" i="111" s="1"/>
  <c r="P9" i="111"/>
  <c r="F24" i="113"/>
  <c r="M5" i="110"/>
  <c r="C5" i="110"/>
  <c r="L5" i="110" s="1"/>
  <c r="O5" i="110" s="1"/>
  <c r="D15" i="113"/>
  <c r="P9" i="109"/>
  <c r="D8" i="113"/>
  <c r="M7" i="110"/>
  <c r="E38" i="113" s="1"/>
  <c r="C7" i="110"/>
  <c r="L7" i="110" s="1"/>
  <c r="E124" i="103"/>
  <c r="E125" i="103" s="1"/>
  <c r="F123" i="103"/>
  <c r="F120" i="103"/>
  <c r="E121" i="103"/>
  <c r="E122" i="103" s="1"/>
  <c r="E127" i="103"/>
  <c r="E128" i="103" s="1"/>
  <c r="F126" i="103"/>
  <c r="Q25" i="114"/>
  <c r="H158" i="103"/>
  <c r="I157" i="103"/>
  <c r="I156" i="103" s="1"/>
  <c r="I143" i="103"/>
  <c r="I139" i="103"/>
  <c r="I138" i="103" s="1"/>
  <c r="H140" i="103"/>
  <c r="O9" i="110"/>
  <c r="N9" i="110"/>
  <c r="F40" i="113" s="1"/>
  <c r="C5" i="109"/>
  <c r="M5" i="109"/>
  <c r="C6" i="109"/>
  <c r="M6" i="109"/>
  <c r="E29" i="113" s="1"/>
  <c r="L8" i="109"/>
  <c r="R8" i="109" s="1"/>
  <c r="L10" i="109"/>
  <c r="R10" i="109" s="1"/>
  <c r="R9" i="110"/>
  <c r="L5" i="111"/>
  <c r="L10" i="110"/>
  <c r="O6" i="110"/>
  <c r="N6" i="110"/>
  <c r="F37" i="113" s="1"/>
  <c r="L7" i="109"/>
  <c r="N7" i="111"/>
  <c r="O7" i="111"/>
  <c r="L8" i="111"/>
  <c r="R8" i="111" s="1"/>
  <c r="L10" i="111"/>
  <c r="R10" i="111" s="1"/>
  <c r="P8" i="110" l="1"/>
  <c r="N7" i="110"/>
  <c r="F38" i="113" s="1"/>
  <c r="D38" i="113" s="1"/>
  <c r="G38" i="113" s="1"/>
  <c r="D40" i="113"/>
  <c r="G40" i="113" s="1"/>
  <c r="D37" i="113"/>
  <c r="G37" i="113" s="1"/>
  <c r="H32" i="113"/>
  <c r="H39" i="113"/>
  <c r="G69" i="103"/>
  <c r="E4" i="91"/>
  <c r="E5" i="91"/>
  <c r="G4" i="91"/>
  <c r="F4" i="91"/>
  <c r="O7" i="110"/>
  <c r="R7" i="110"/>
  <c r="N5" i="110"/>
  <c r="P5" i="110" s="1"/>
  <c r="P7" i="111"/>
  <c r="F22" i="113"/>
  <c r="H8" i="113"/>
  <c r="G8" i="113"/>
  <c r="P9" i="110"/>
  <c r="P6" i="110"/>
  <c r="R5" i="110"/>
  <c r="P7" i="110"/>
  <c r="H15" i="113"/>
  <c r="G15" i="113"/>
  <c r="D24" i="113"/>
  <c r="G24" i="113" s="1"/>
  <c r="F121" i="103"/>
  <c r="F122" i="103" s="1"/>
  <c r="G120" i="103"/>
  <c r="F127" i="103"/>
  <c r="F128" i="103" s="1"/>
  <c r="G126" i="103"/>
  <c r="G123" i="103"/>
  <c r="F124" i="103"/>
  <c r="F125" i="103" s="1"/>
  <c r="I140" i="103"/>
  <c r="I158" i="103"/>
  <c r="N10" i="110"/>
  <c r="F41" i="113" s="1"/>
  <c r="O10" i="110"/>
  <c r="O5" i="111"/>
  <c r="N5" i="111"/>
  <c r="P5" i="111" s="1"/>
  <c r="N8" i="111"/>
  <c r="O8" i="111"/>
  <c r="R10" i="110"/>
  <c r="N8" i="109"/>
  <c r="F31" i="113" s="1"/>
  <c r="D31" i="113" s="1"/>
  <c r="O8" i="109"/>
  <c r="L5" i="109"/>
  <c r="R5" i="109" s="1"/>
  <c r="N7" i="109"/>
  <c r="F30" i="113" s="1"/>
  <c r="O7" i="109"/>
  <c r="N10" i="111"/>
  <c r="O10" i="111"/>
  <c r="N6" i="111"/>
  <c r="O6" i="111"/>
  <c r="R7" i="109"/>
  <c r="R5" i="111"/>
  <c r="N10" i="109"/>
  <c r="F33" i="113" s="1"/>
  <c r="O10" i="109"/>
  <c r="L6" i="109"/>
  <c r="R6" i="109" s="1"/>
  <c r="H31" i="113" l="1"/>
  <c r="G31" i="113"/>
  <c r="H38" i="113"/>
  <c r="D33" i="113"/>
  <c r="G33" i="113" s="1"/>
  <c r="D68" i="113" s="1"/>
  <c r="D30" i="113"/>
  <c r="G30" i="113" s="1"/>
  <c r="H40" i="113"/>
  <c r="D41" i="113"/>
  <c r="G41" i="113" s="1"/>
  <c r="H37" i="113"/>
  <c r="E3" i="91"/>
  <c r="H4" i="91"/>
  <c r="G5" i="91"/>
  <c r="F3" i="91"/>
  <c r="G3" i="91"/>
  <c r="F5" i="91"/>
  <c r="P6" i="111"/>
  <c r="F21" i="113"/>
  <c r="P8" i="109"/>
  <c r="H24" i="113"/>
  <c r="P10" i="109"/>
  <c r="D16" i="113"/>
  <c r="G16" i="113" s="1"/>
  <c r="D13" i="113"/>
  <c r="G13" i="113" s="1"/>
  <c r="P7" i="109"/>
  <c r="D6" i="113"/>
  <c r="D22" i="113"/>
  <c r="G22" i="113" s="1"/>
  <c r="P10" i="111"/>
  <c r="F25" i="113"/>
  <c r="P8" i="111"/>
  <c r="F23" i="113"/>
  <c r="P10" i="110"/>
  <c r="D14" i="113"/>
  <c r="G14" i="113" s="1"/>
  <c r="G127" i="103"/>
  <c r="G128" i="103" s="1"/>
  <c r="H126" i="103"/>
  <c r="H120" i="103"/>
  <c r="G121" i="103"/>
  <c r="G122" i="103" s="1"/>
  <c r="H123" i="103"/>
  <c r="G124" i="103"/>
  <c r="G125" i="103" s="1"/>
  <c r="N6" i="109"/>
  <c r="F29" i="113" s="1"/>
  <c r="O6" i="109"/>
  <c r="N5" i="109"/>
  <c r="P5" i="109" s="1"/>
  <c r="O5" i="109"/>
  <c r="E54" i="103" l="1"/>
  <c r="H33" i="113"/>
  <c r="H41" i="113"/>
  <c r="D29" i="113"/>
  <c r="G29" i="113" s="1"/>
  <c r="H30" i="113"/>
  <c r="I4" i="91"/>
  <c r="H3" i="91"/>
  <c r="H5" i="91"/>
  <c r="H14" i="113"/>
  <c r="H22" i="113"/>
  <c r="H13" i="113"/>
  <c r="H16" i="113"/>
  <c r="D7" i="113"/>
  <c r="G7" i="113" s="1"/>
  <c r="D23" i="113"/>
  <c r="G23" i="113" s="1"/>
  <c r="D9" i="113"/>
  <c r="G9" i="113" s="1"/>
  <c r="D21" i="113"/>
  <c r="G21" i="113" s="1"/>
  <c r="P6" i="109"/>
  <c r="D17" i="113"/>
  <c r="G17" i="113" s="1"/>
  <c r="D62" i="113" s="1"/>
  <c r="D25" i="113"/>
  <c r="G25" i="113" s="1"/>
  <c r="D65" i="113" s="1"/>
  <c r="H6" i="113"/>
  <c r="G6" i="113"/>
  <c r="I126" i="103"/>
  <c r="I127" i="103" s="1"/>
  <c r="I128" i="103" s="1"/>
  <c r="H127" i="103"/>
  <c r="H128" i="103" s="1"/>
  <c r="I123" i="103"/>
  <c r="I124" i="103" s="1"/>
  <c r="I125" i="103" s="1"/>
  <c r="H124" i="103"/>
  <c r="H125" i="103" s="1"/>
  <c r="I120" i="103"/>
  <c r="I121" i="103" s="1"/>
  <c r="I122" i="103" s="1"/>
  <c r="H121" i="103"/>
  <c r="H122" i="103" s="1"/>
  <c r="H29" i="113" l="1"/>
  <c r="I3" i="91"/>
  <c r="I5" i="91"/>
  <c r="D75" i="113"/>
  <c r="E48" i="103"/>
  <c r="E49" i="113"/>
  <c r="E65" i="113" s="1"/>
  <c r="E51" i="103"/>
  <c r="E48" i="113"/>
  <c r="E62" i="113" s="1"/>
  <c r="H25" i="113"/>
  <c r="H7" i="113"/>
  <c r="H9" i="113"/>
  <c r="H17" i="113"/>
  <c r="H21" i="113"/>
  <c r="H23" i="113"/>
  <c r="D71" i="113"/>
  <c r="D5" i="113"/>
  <c r="G5" i="113" s="1"/>
  <c r="E47" i="113"/>
  <c r="E59" i="113" s="1"/>
  <c r="D59" i="113"/>
  <c r="E50" i="113"/>
  <c r="E68" i="113" s="1"/>
  <c r="F113" i="89"/>
  <c r="E113" i="89"/>
  <c r="D113" i="89"/>
  <c r="C113" i="89"/>
  <c r="B113" i="89"/>
  <c r="M5" i="20"/>
  <c r="M6" i="20"/>
  <c r="M4" i="20"/>
  <c r="I159" i="89" l="1"/>
  <c r="E57" i="103"/>
  <c r="E70" i="103"/>
  <c r="F54" i="103"/>
  <c r="D76" i="113"/>
  <c r="D95" i="113"/>
  <c r="E75" i="113"/>
  <c r="D70" i="113"/>
  <c r="E55" i="103"/>
  <c r="D89" i="113"/>
  <c r="F48" i="103"/>
  <c r="D86" i="113"/>
  <c r="E52" i="103"/>
  <c r="F49" i="113"/>
  <c r="F65" i="113" s="1"/>
  <c r="F51" i="103"/>
  <c r="F48" i="113"/>
  <c r="F62" i="113" s="1"/>
  <c r="E51" i="113"/>
  <c r="F50" i="113"/>
  <c r="F68" i="113" s="1"/>
  <c r="H5" i="113"/>
  <c r="F47" i="113"/>
  <c r="F59" i="113" s="1"/>
  <c r="E45" i="103"/>
  <c r="E177" i="108"/>
  <c r="J143" i="108"/>
  <c r="B139" i="108"/>
  <c r="B137" i="108"/>
  <c r="K136" i="108"/>
  <c r="G136" i="108"/>
  <c r="B98" i="108"/>
  <c r="B97" i="108"/>
  <c r="E96" i="108"/>
  <c r="F96" i="108" s="1"/>
  <c r="B96" i="108"/>
  <c r="E95" i="108"/>
  <c r="F95" i="108" s="1"/>
  <c r="B95" i="108"/>
  <c r="B94" i="108"/>
  <c r="B198" i="107"/>
  <c r="E192" i="107"/>
  <c r="J158" i="107"/>
  <c r="B155" i="107"/>
  <c r="B154" i="107"/>
  <c r="B153" i="107"/>
  <c r="B202" i="107" s="1"/>
  <c r="B152" i="107"/>
  <c r="B151" i="107"/>
  <c r="B150" i="107"/>
  <c r="B149" i="107"/>
  <c r="B148" i="107"/>
  <c r="B147" i="107"/>
  <c r="B196" i="107" s="1"/>
  <c r="B146" i="107"/>
  <c r="E108" i="107"/>
  <c r="F108" i="107" s="1"/>
  <c r="B108" i="107"/>
  <c r="E107" i="107"/>
  <c r="F107" i="107" s="1"/>
  <c r="B107" i="107"/>
  <c r="B106" i="107"/>
  <c r="E105" i="107"/>
  <c r="F105" i="107" s="1"/>
  <c r="B105" i="107"/>
  <c r="E104" i="107"/>
  <c r="F104" i="107" s="1"/>
  <c r="B104" i="107"/>
  <c r="E103" i="107"/>
  <c r="F103" i="107" s="1"/>
  <c r="B103" i="107"/>
  <c r="B102" i="107"/>
  <c r="E101" i="107"/>
  <c r="F101" i="107" s="1"/>
  <c r="B101" i="107"/>
  <c r="E100" i="107"/>
  <c r="F100" i="107" s="1"/>
  <c r="B100" i="107"/>
  <c r="E99" i="107"/>
  <c r="F99" i="107" s="1"/>
  <c r="B99" i="107"/>
  <c r="E177" i="106"/>
  <c r="J143" i="106"/>
  <c r="B139" i="106"/>
  <c r="K136" i="106"/>
  <c r="G136" i="106"/>
  <c r="B98" i="106"/>
  <c r="B97" i="106"/>
  <c r="B96" i="106"/>
  <c r="B95" i="106"/>
  <c r="B137" i="106" s="1"/>
  <c r="B181" i="106" s="1"/>
  <c r="B94" i="106"/>
  <c r="E139" i="106" s="1"/>
  <c r="F139" i="106" s="1"/>
  <c r="G139" i="106" s="1"/>
  <c r="O248" i="105"/>
  <c r="E192" i="105"/>
  <c r="J158" i="105"/>
  <c r="B108" i="105"/>
  <c r="B155" i="105" s="1"/>
  <c r="B107" i="105"/>
  <c r="B106" i="105"/>
  <c r="B153" i="105" s="1"/>
  <c r="B105" i="105"/>
  <c r="B152" i="105" s="1"/>
  <c r="B104" i="105"/>
  <c r="B151" i="105" s="1"/>
  <c r="B103" i="105"/>
  <c r="B102" i="105"/>
  <c r="B101" i="105"/>
  <c r="B100" i="105"/>
  <c r="B147" i="105" s="1"/>
  <c r="B99" i="105"/>
  <c r="E99" i="105" s="1"/>
  <c r="F99" i="105" s="1"/>
  <c r="E58" i="103" l="1"/>
  <c r="F70" i="103"/>
  <c r="E115" i="103"/>
  <c r="E71" i="103"/>
  <c r="G54" i="103"/>
  <c r="E56" i="103"/>
  <c r="E76" i="113"/>
  <c r="E95" i="113"/>
  <c r="D96" i="113"/>
  <c r="D94" i="113"/>
  <c r="F75" i="113"/>
  <c r="E86" i="113"/>
  <c r="F52" i="103"/>
  <c r="D67" i="113"/>
  <c r="E49" i="103"/>
  <c r="E70" i="113"/>
  <c r="F55" i="103"/>
  <c r="E89" i="113"/>
  <c r="D90" i="113"/>
  <c r="E100" i="103"/>
  <c r="D88" i="113"/>
  <c r="G48" i="103"/>
  <c r="D87" i="113"/>
  <c r="E97" i="103"/>
  <c r="D85" i="113"/>
  <c r="G49" i="113"/>
  <c r="G65" i="113" s="1"/>
  <c r="G51" i="103"/>
  <c r="F51" i="113"/>
  <c r="G51" i="113" s="1"/>
  <c r="E71" i="113"/>
  <c r="G48" i="113"/>
  <c r="G62" i="113" s="1"/>
  <c r="D73" i="113"/>
  <c r="D92" i="113"/>
  <c r="G50" i="113"/>
  <c r="G68" i="113" s="1"/>
  <c r="D61" i="113"/>
  <c r="D80" i="113"/>
  <c r="E46" i="103"/>
  <c r="D64" i="113"/>
  <c r="D83" i="113"/>
  <c r="F45" i="103"/>
  <c r="G47" i="113"/>
  <c r="G59" i="113" s="1"/>
  <c r="E102" i="105"/>
  <c r="F102" i="105" s="1"/>
  <c r="E137" i="106"/>
  <c r="F137" i="106" s="1"/>
  <c r="G137" i="106" s="1"/>
  <c r="B181" i="108"/>
  <c r="B183" i="108"/>
  <c r="E137" i="108"/>
  <c r="F137" i="108" s="1"/>
  <c r="G137" i="108" s="1"/>
  <c r="E139" i="108"/>
  <c r="F139" i="108" s="1"/>
  <c r="G139" i="108" s="1"/>
  <c r="E97" i="108"/>
  <c r="F97" i="108" s="1"/>
  <c r="B136" i="108"/>
  <c r="B138" i="108"/>
  <c r="B140" i="108"/>
  <c r="E94" i="108"/>
  <c r="F94" i="108" s="1"/>
  <c r="F99" i="108" s="1"/>
  <c r="E98" i="108"/>
  <c r="F98" i="108" s="1"/>
  <c r="E140" i="108"/>
  <c r="F140" i="108" s="1"/>
  <c r="B197" i="107"/>
  <c r="B199" i="107"/>
  <c r="B201" i="107"/>
  <c r="B203" i="107"/>
  <c r="B195" i="107"/>
  <c r="B200" i="107"/>
  <c r="B204" i="107"/>
  <c r="E155" i="107"/>
  <c r="F155" i="107" s="1"/>
  <c r="E154" i="107"/>
  <c r="F154" i="107" s="1"/>
  <c r="G154" i="107" s="1"/>
  <c r="E153" i="107"/>
  <c r="F153" i="107" s="1"/>
  <c r="G153" i="107" s="1"/>
  <c r="E152" i="107"/>
  <c r="F152" i="107" s="1"/>
  <c r="G152" i="107" s="1"/>
  <c r="E151" i="107"/>
  <c r="F151" i="107" s="1"/>
  <c r="G151" i="107" s="1"/>
  <c r="E150" i="107"/>
  <c r="F150" i="107" s="1"/>
  <c r="G150" i="107" s="1"/>
  <c r="E149" i="107"/>
  <c r="F149" i="107" s="1"/>
  <c r="G149" i="107" s="1"/>
  <c r="E148" i="107"/>
  <c r="F148" i="107" s="1"/>
  <c r="G148" i="107" s="1"/>
  <c r="E147" i="107"/>
  <c r="F147" i="107" s="1"/>
  <c r="G147" i="107" s="1"/>
  <c r="E146" i="107"/>
  <c r="F146" i="107" s="1"/>
  <c r="G146" i="107" s="1"/>
  <c r="E102" i="107"/>
  <c r="F102" i="107" s="1"/>
  <c r="F109" i="107" s="1"/>
  <c r="E106" i="107"/>
  <c r="F106" i="107" s="1"/>
  <c r="B183" i="106"/>
  <c r="E96" i="106"/>
  <c r="E94" i="106"/>
  <c r="F94" i="106" s="1"/>
  <c r="E140" i="106"/>
  <c r="F140" i="106" s="1"/>
  <c r="B136" i="106"/>
  <c r="E95" i="106"/>
  <c r="F95" i="106" s="1"/>
  <c r="E97" i="106"/>
  <c r="F97" i="106" s="1"/>
  <c r="B140" i="106"/>
  <c r="B138" i="106"/>
  <c r="E98" i="106"/>
  <c r="F98" i="106" s="1"/>
  <c r="B148" i="105"/>
  <c r="E101" i="105"/>
  <c r="F101" i="105" s="1"/>
  <c r="B196" i="105"/>
  <c r="B201" i="105"/>
  <c r="E155" i="105"/>
  <c r="F155" i="105" s="1"/>
  <c r="E153" i="105"/>
  <c r="F153" i="105" s="1"/>
  <c r="G153" i="105" s="1"/>
  <c r="E152" i="105"/>
  <c r="F152" i="105" s="1"/>
  <c r="G152" i="105" s="1"/>
  <c r="E151" i="105"/>
  <c r="F151" i="105" s="1"/>
  <c r="G151" i="105" s="1"/>
  <c r="E147" i="105"/>
  <c r="F147" i="105" s="1"/>
  <c r="G147" i="105" s="1"/>
  <c r="B146" i="105"/>
  <c r="E108" i="105"/>
  <c r="F108" i="105" s="1"/>
  <c r="E104" i="105"/>
  <c r="F104" i="105" s="1"/>
  <c r="E100" i="105"/>
  <c r="F100" i="105" s="1"/>
  <c r="E148" i="105"/>
  <c r="F148" i="105" s="1"/>
  <c r="G148" i="105" s="1"/>
  <c r="E107" i="105"/>
  <c r="F107" i="105" s="1"/>
  <c r="E103" i="105"/>
  <c r="F103" i="105" s="1"/>
  <c r="E106" i="105"/>
  <c r="F106" i="105" s="1"/>
  <c r="B149" i="105"/>
  <c r="E149" i="105" s="1"/>
  <c r="F149" i="105" s="1"/>
  <c r="G149" i="105" s="1"/>
  <c r="E105" i="105"/>
  <c r="F105" i="105" s="1"/>
  <c r="B150" i="105"/>
  <c r="E150" i="105" s="1"/>
  <c r="F150" i="105" s="1"/>
  <c r="G150" i="105" s="1"/>
  <c r="B200" i="105"/>
  <c r="B202" i="105"/>
  <c r="B154" i="105"/>
  <c r="B204" i="105"/>
  <c r="Q104" i="27"/>
  <c r="F71" i="113" l="1"/>
  <c r="F58" i="103"/>
  <c r="E103" i="103"/>
  <c r="F57" i="103"/>
  <c r="E59" i="103"/>
  <c r="E99" i="103"/>
  <c r="E116" i="103"/>
  <c r="F56" i="103"/>
  <c r="F115" i="103"/>
  <c r="H54" i="103"/>
  <c r="E101" i="103"/>
  <c r="G70" i="103"/>
  <c r="F71" i="103"/>
  <c r="E114" i="103"/>
  <c r="E96" i="103"/>
  <c r="E53" i="103"/>
  <c r="E94" i="103"/>
  <c r="E50" i="103"/>
  <c r="E98" i="103"/>
  <c r="E47" i="103"/>
  <c r="E96" i="113"/>
  <c r="E94" i="113"/>
  <c r="F76" i="113"/>
  <c r="F95" i="113"/>
  <c r="G75" i="113"/>
  <c r="H48" i="103"/>
  <c r="G52" i="103"/>
  <c r="F86" i="113"/>
  <c r="E90" i="113"/>
  <c r="E88" i="113"/>
  <c r="F100" i="103"/>
  <c r="E67" i="113"/>
  <c r="F49" i="103"/>
  <c r="F70" i="113"/>
  <c r="G55" i="103"/>
  <c r="F89" i="113"/>
  <c r="E87" i="113"/>
  <c r="F97" i="103"/>
  <c r="E85" i="113"/>
  <c r="H49" i="113"/>
  <c r="H51" i="103"/>
  <c r="H48" i="113"/>
  <c r="E61" i="113"/>
  <c r="E80" i="113"/>
  <c r="F46" i="103"/>
  <c r="H50" i="113"/>
  <c r="H68" i="113" s="1"/>
  <c r="G45" i="103"/>
  <c r="H47" i="113"/>
  <c r="H59" i="113" s="1"/>
  <c r="E73" i="113"/>
  <c r="E92" i="113"/>
  <c r="E64" i="113"/>
  <c r="E83" i="113"/>
  <c r="D91" i="113"/>
  <c r="D93" i="113"/>
  <c r="H51" i="113"/>
  <c r="G71" i="113"/>
  <c r="D82" i="113"/>
  <c r="D84" i="113"/>
  <c r="D81" i="113"/>
  <c r="D79" i="113"/>
  <c r="E91" i="103"/>
  <c r="F109" i="105"/>
  <c r="B182" i="108"/>
  <c r="G140" i="108"/>
  <c r="B180" i="108"/>
  <c r="E136" i="108"/>
  <c r="E138" i="108"/>
  <c r="F138" i="108" s="1"/>
  <c r="G138" i="108" s="1"/>
  <c r="B184" i="108"/>
  <c r="E195" i="107"/>
  <c r="E201" i="107"/>
  <c r="E197" i="107"/>
  <c r="E196" i="107"/>
  <c r="E198" i="107"/>
  <c r="E204" i="107"/>
  <c r="E202" i="107"/>
  <c r="E200" i="107"/>
  <c r="E203" i="107"/>
  <c r="E199" i="107"/>
  <c r="G155" i="107"/>
  <c r="F156" i="107"/>
  <c r="B180" i="106"/>
  <c r="E136" i="106"/>
  <c r="B182" i="106"/>
  <c r="G140" i="106"/>
  <c r="B184" i="106"/>
  <c r="E138" i="106"/>
  <c r="F138" i="106" s="1"/>
  <c r="G138" i="106" s="1"/>
  <c r="F96" i="106"/>
  <c r="F99" i="106" s="1"/>
  <c r="B203" i="105"/>
  <c r="B195" i="105"/>
  <c r="E146" i="105"/>
  <c r="F146" i="105" s="1"/>
  <c r="G146" i="105" s="1"/>
  <c r="B198" i="105"/>
  <c r="E154" i="105"/>
  <c r="F154" i="105" s="1"/>
  <c r="G154" i="105" s="1"/>
  <c r="G155" i="105"/>
  <c r="B199" i="105"/>
  <c r="B197" i="105"/>
  <c r="C83" i="27"/>
  <c r="C125" i="27" s="1"/>
  <c r="G57" i="103" l="1"/>
  <c r="G58" i="103"/>
  <c r="E104" i="103"/>
  <c r="F103" i="103"/>
  <c r="H57" i="103"/>
  <c r="E102" i="103"/>
  <c r="F59" i="103"/>
  <c r="H70" i="103"/>
  <c r="F116" i="103"/>
  <c r="I54" i="103"/>
  <c r="G115" i="103"/>
  <c r="G56" i="103"/>
  <c r="F99" i="103"/>
  <c r="G71" i="103"/>
  <c r="F101" i="103"/>
  <c r="F114" i="103"/>
  <c r="H65" i="113"/>
  <c r="F94" i="103"/>
  <c r="H75" i="113"/>
  <c r="H95" i="113" s="1"/>
  <c r="H62" i="113"/>
  <c r="E95" i="103"/>
  <c r="F50" i="103"/>
  <c r="F98" i="103"/>
  <c r="F53" i="103"/>
  <c r="E93" i="103"/>
  <c r="F96" i="103"/>
  <c r="F47" i="103"/>
  <c r="E90" i="103"/>
  <c r="E92" i="103"/>
  <c r="F96" i="113"/>
  <c r="F94" i="113"/>
  <c r="H76" i="113"/>
  <c r="G76" i="113"/>
  <c r="G95" i="113"/>
  <c r="F90" i="113"/>
  <c r="G100" i="103"/>
  <c r="F88" i="113"/>
  <c r="F87" i="113"/>
  <c r="G97" i="103"/>
  <c r="F85" i="113"/>
  <c r="G70" i="113"/>
  <c r="H55" i="103"/>
  <c r="G89" i="113"/>
  <c r="F67" i="113"/>
  <c r="G49" i="103"/>
  <c r="H52" i="103"/>
  <c r="G86" i="113"/>
  <c r="H71" i="113"/>
  <c r="E81" i="113"/>
  <c r="F91" i="103"/>
  <c r="E79" i="113"/>
  <c r="F73" i="113"/>
  <c r="F92" i="113"/>
  <c r="E91" i="113"/>
  <c r="E93" i="113"/>
  <c r="H45" i="103"/>
  <c r="E84" i="113"/>
  <c r="E82" i="113"/>
  <c r="F61" i="113"/>
  <c r="F80" i="113"/>
  <c r="G46" i="103"/>
  <c r="F64" i="113"/>
  <c r="F83" i="113"/>
  <c r="I45" i="103"/>
  <c r="E201" i="105"/>
  <c r="F201" i="105" s="1"/>
  <c r="E184" i="108"/>
  <c r="E180" i="108"/>
  <c r="E182" i="108"/>
  <c r="E181" i="108"/>
  <c r="F141" i="108"/>
  <c r="E183" i="108"/>
  <c r="G141" i="108"/>
  <c r="F197" i="107"/>
  <c r="E205" i="107"/>
  <c r="F195" i="107"/>
  <c r="G156" i="107"/>
  <c r="F203" i="107"/>
  <c r="F198" i="107"/>
  <c r="F200" i="107"/>
  <c r="F202" i="107"/>
  <c r="F204" i="107"/>
  <c r="F196" i="107"/>
  <c r="F201" i="107"/>
  <c r="F199" i="107"/>
  <c r="G141" i="106"/>
  <c r="F141" i="106"/>
  <c r="E180" i="106"/>
  <c r="E181" i="106"/>
  <c r="E184" i="106"/>
  <c r="E183" i="106"/>
  <c r="E182" i="106"/>
  <c r="E199" i="105"/>
  <c r="G156" i="105"/>
  <c r="F156" i="105"/>
  <c r="E198" i="105"/>
  <c r="E195" i="105"/>
  <c r="E202" i="105"/>
  <c r="E203" i="105"/>
  <c r="E197" i="105"/>
  <c r="E196" i="105"/>
  <c r="E204" i="105"/>
  <c r="E200" i="105"/>
  <c r="E12" i="68"/>
  <c r="E11" i="68"/>
  <c r="N8" i="68"/>
  <c r="O8" i="68"/>
  <c r="P8" i="68"/>
  <c r="N9" i="68"/>
  <c r="O9" i="68"/>
  <c r="P9" i="68"/>
  <c r="N10" i="68"/>
  <c r="O10" i="68"/>
  <c r="P10" i="68"/>
  <c r="P7" i="68"/>
  <c r="O7" i="68"/>
  <c r="N7" i="68"/>
  <c r="I8" i="68"/>
  <c r="J8" i="68"/>
  <c r="K8" i="68"/>
  <c r="L8" i="68"/>
  <c r="M8" i="68"/>
  <c r="I9" i="68"/>
  <c r="J9" i="68"/>
  <c r="K9" i="68"/>
  <c r="L9" i="68"/>
  <c r="M9" i="68"/>
  <c r="I10" i="68"/>
  <c r="J10" i="68"/>
  <c r="K10" i="68"/>
  <c r="L10" i="68"/>
  <c r="M10" i="68"/>
  <c r="K7" i="68"/>
  <c r="L7" i="68"/>
  <c r="M7" i="68"/>
  <c r="J7" i="68"/>
  <c r="I7" i="68"/>
  <c r="E8" i="68"/>
  <c r="F8" i="68"/>
  <c r="G8" i="68"/>
  <c r="H8" i="68"/>
  <c r="E9" i="68"/>
  <c r="F9" i="68"/>
  <c r="G9" i="68"/>
  <c r="H9" i="68"/>
  <c r="E10" i="68"/>
  <c r="F10" i="68"/>
  <c r="G10" i="68"/>
  <c r="H10" i="68"/>
  <c r="F7" i="68"/>
  <c r="G7" i="68"/>
  <c r="H7" i="68"/>
  <c r="E7" i="68"/>
  <c r="B8" i="68"/>
  <c r="C8" i="68"/>
  <c r="D8" i="68"/>
  <c r="B9" i="68"/>
  <c r="C9" i="68"/>
  <c r="D9" i="68"/>
  <c r="B10" i="68"/>
  <c r="C10" i="68"/>
  <c r="D10" i="68"/>
  <c r="C7" i="68"/>
  <c r="D7" i="68"/>
  <c r="O12" i="68"/>
  <c r="P12" i="68"/>
  <c r="K12" i="68"/>
  <c r="L12" i="68"/>
  <c r="M12" i="68"/>
  <c r="AF11" i="68"/>
  <c r="AE11" i="68"/>
  <c r="AC11" i="68"/>
  <c r="AB11" i="68"/>
  <c r="AA11" i="68"/>
  <c r="Z11" i="68"/>
  <c r="T11" i="68"/>
  <c r="F104" i="103" l="1"/>
  <c r="G59" i="103"/>
  <c r="I57" i="103"/>
  <c r="F102" i="103"/>
  <c r="G103" i="103"/>
  <c r="I58" i="103"/>
  <c r="H58" i="103"/>
  <c r="I115" i="103"/>
  <c r="G101" i="103"/>
  <c r="I71" i="103"/>
  <c r="H115" i="103"/>
  <c r="G114" i="103"/>
  <c r="I70" i="103"/>
  <c r="H56" i="103"/>
  <c r="G99" i="103"/>
  <c r="H71" i="103"/>
  <c r="G116" i="103"/>
  <c r="I51" i="103"/>
  <c r="G94" i="103"/>
  <c r="G53" i="103"/>
  <c r="G96" i="103"/>
  <c r="G50" i="103"/>
  <c r="F93" i="103"/>
  <c r="F95" i="103"/>
  <c r="G98" i="103"/>
  <c r="G47" i="103"/>
  <c r="F90" i="103"/>
  <c r="F92" i="103"/>
  <c r="H96" i="113"/>
  <c r="H94" i="113"/>
  <c r="G96" i="113"/>
  <c r="G94" i="113"/>
  <c r="I48" i="103"/>
  <c r="G67" i="113"/>
  <c r="H49" i="103"/>
  <c r="H70" i="113"/>
  <c r="I55" i="103"/>
  <c r="H89" i="113"/>
  <c r="G87" i="113"/>
  <c r="H97" i="103"/>
  <c r="G85" i="113"/>
  <c r="G90" i="113"/>
  <c r="H100" i="103"/>
  <c r="G88" i="113"/>
  <c r="AD11" i="68"/>
  <c r="H61" i="113"/>
  <c r="H80" i="113"/>
  <c r="I46" i="103"/>
  <c r="G73" i="113"/>
  <c r="G92" i="113"/>
  <c r="G61" i="113"/>
  <c r="H46" i="103"/>
  <c r="G80" i="113"/>
  <c r="F79" i="113"/>
  <c r="G91" i="103"/>
  <c r="F81" i="113"/>
  <c r="H73" i="113"/>
  <c r="H92" i="113"/>
  <c r="G64" i="113"/>
  <c r="G83" i="113"/>
  <c r="F82" i="113"/>
  <c r="F84" i="113"/>
  <c r="F93" i="113"/>
  <c r="F91" i="113"/>
  <c r="F182" i="108"/>
  <c r="F183" i="108"/>
  <c r="F181" i="108"/>
  <c r="E185" i="108"/>
  <c r="F180" i="108"/>
  <c r="F184" i="108"/>
  <c r="F205" i="107"/>
  <c r="G206" i="107"/>
  <c r="F184" i="106"/>
  <c r="E185" i="106"/>
  <c r="F180" i="106"/>
  <c r="F183" i="106"/>
  <c r="F182" i="106"/>
  <c r="F181" i="106"/>
  <c r="F204" i="105"/>
  <c r="F203" i="105"/>
  <c r="F199" i="105"/>
  <c r="F200" i="105"/>
  <c r="F196" i="105"/>
  <c r="F202" i="105"/>
  <c r="F197" i="105"/>
  <c r="F195" i="105"/>
  <c r="E205" i="105"/>
  <c r="F198" i="105"/>
  <c r="Y11" i="68"/>
  <c r="S11" i="68" s="1"/>
  <c r="R11" i="68" s="1"/>
  <c r="G104" i="103" l="1"/>
  <c r="I103" i="103"/>
  <c r="I59" i="103"/>
  <c r="H59" i="103"/>
  <c r="H103" i="103"/>
  <c r="G102" i="103"/>
  <c r="I114" i="103"/>
  <c r="H99" i="103"/>
  <c r="I56" i="103"/>
  <c r="I116" i="103"/>
  <c r="H114" i="103"/>
  <c r="H101" i="103"/>
  <c r="H116" i="103"/>
  <c r="G95" i="103"/>
  <c r="H98" i="103"/>
  <c r="I49" i="103"/>
  <c r="H94" i="103"/>
  <c r="H83" i="113"/>
  <c r="H53" i="103"/>
  <c r="H67" i="113"/>
  <c r="G93" i="103"/>
  <c r="H50" i="103"/>
  <c r="H64" i="113"/>
  <c r="H96" i="103"/>
  <c r="G92" i="103"/>
  <c r="I47" i="103"/>
  <c r="H47" i="103"/>
  <c r="G90" i="103"/>
  <c r="H86" i="113"/>
  <c r="I52" i="103"/>
  <c r="H90" i="113"/>
  <c r="I100" i="103"/>
  <c r="H88" i="113"/>
  <c r="G82" i="113"/>
  <c r="G84" i="113"/>
  <c r="H81" i="113"/>
  <c r="I91" i="103"/>
  <c r="H79" i="113"/>
  <c r="H91" i="113"/>
  <c r="H93" i="113"/>
  <c r="G79" i="113"/>
  <c r="H91" i="103"/>
  <c r="G81" i="113"/>
  <c r="G91" i="113"/>
  <c r="G93" i="113"/>
  <c r="G186" i="108"/>
  <c r="F185" i="108"/>
  <c r="G186" i="106"/>
  <c r="F185" i="106"/>
  <c r="G206" i="105"/>
  <c r="F205" i="105"/>
  <c r="F116" i="27"/>
  <c r="F117" i="27"/>
  <c r="F118" i="27"/>
  <c r="F119" i="27"/>
  <c r="F120" i="27"/>
  <c r="F121" i="27"/>
  <c r="F122" i="27"/>
  <c r="F123" i="27"/>
  <c r="F124" i="27"/>
  <c r="F125" i="27"/>
  <c r="H94" i="22"/>
  <c r="H93" i="22"/>
  <c r="M93" i="22"/>
  <c r="K93" i="22"/>
  <c r="H92" i="22"/>
  <c r="H91" i="22"/>
  <c r="H90" i="22"/>
  <c r="H89" i="22"/>
  <c r="H88" i="22"/>
  <c r="G87" i="22"/>
  <c r="M84" i="22"/>
  <c r="M83" i="20" s="1"/>
  <c r="G83" i="20" s="1"/>
  <c r="H83" i="20" s="1"/>
  <c r="L84" i="22"/>
  <c r="K84" i="22"/>
  <c r="J84" i="22"/>
  <c r="M83" i="22"/>
  <c r="M82" i="20" s="1"/>
  <c r="G82" i="20" s="1"/>
  <c r="H82" i="20" s="1"/>
  <c r="L83" i="22"/>
  <c r="K83" i="22"/>
  <c r="J83" i="22"/>
  <c r="M82" i="22"/>
  <c r="M81" i="20" s="1"/>
  <c r="G81" i="20" s="1"/>
  <c r="H81" i="20" s="1"/>
  <c r="L82" i="22"/>
  <c r="K82" i="22"/>
  <c r="J82" i="22"/>
  <c r="M81" i="22"/>
  <c r="M80" i="20" s="1"/>
  <c r="G80" i="20" s="1"/>
  <c r="H80" i="20" s="1"/>
  <c r="L81" i="22"/>
  <c r="K81" i="22"/>
  <c r="J81" i="22"/>
  <c r="M80" i="22"/>
  <c r="M79" i="20" s="1"/>
  <c r="G79" i="20" s="1"/>
  <c r="H79" i="20" s="1"/>
  <c r="L80" i="22"/>
  <c r="K80" i="22"/>
  <c r="J80" i="22"/>
  <c r="M79" i="22"/>
  <c r="M78" i="20" s="1"/>
  <c r="G78" i="20" s="1"/>
  <c r="H78" i="20" s="1"/>
  <c r="L79" i="22"/>
  <c r="K79" i="22"/>
  <c r="J79" i="22"/>
  <c r="M78" i="22"/>
  <c r="M77" i="20" s="1"/>
  <c r="G77" i="20" s="1"/>
  <c r="H77" i="20" s="1"/>
  <c r="L78" i="22"/>
  <c r="K78" i="22"/>
  <c r="J78" i="22"/>
  <c r="M77" i="22"/>
  <c r="M76" i="20" s="1"/>
  <c r="G76" i="20" s="1"/>
  <c r="H76" i="20" s="1"/>
  <c r="L77" i="22"/>
  <c r="K77" i="22"/>
  <c r="J77" i="22"/>
  <c r="M76" i="22"/>
  <c r="M75" i="20" s="1"/>
  <c r="G75" i="20" s="1"/>
  <c r="L76" i="22"/>
  <c r="K76" i="22"/>
  <c r="J76" i="22"/>
  <c r="M75" i="22"/>
  <c r="M74" i="20" s="1"/>
  <c r="G74" i="20" s="1"/>
  <c r="L75" i="22"/>
  <c r="K75" i="22"/>
  <c r="J75" i="22"/>
  <c r="M74" i="22"/>
  <c r="M73" i="20" s="1"/>
  <c r="G73" i="20" s="1"/>
  <c r="H73" i="20" s="1"/>
  <c r="L74" i="22"/>
  <c r="K74" i="22"/>
  <c r="J74" i="22"/>
  <c r="M73" i="22"/>
  <c r="M72" i="20" s="1"/>
  <c r="G72" i="20" s="1"/>
  <c r="H72" i="20" s="1"/>
  <c r="L73" i="22"/>
  <c r="K73" i="22"/>
  <c r="J73" i="22"/>
  <c r="M72" i="22"/>
  <c r="M71" i="20" s="1"/>
  <c r="G71" i="20" s="1"/>
  <c r="H71" i="20" s="1"/>
  <c r="L72" i="22"/>
  <c r="K72" i="22"/>
  <c r="J72" i="22"/>
  <c r="M71" i="22"/>
  <c r="M70" i="20" s="1"/>
  <c r="G70" i="20" s="1"/>
  <c r="H70" i="20" s="1"/>
  <c r="L71" i="22"/>
  <c r="K71" i="22"/>
  <c r="J71" i="22"/>
  <c r="M70" i="22"/>
  <c r="M69" i="20" s="1"/>
  <c r="G69" i="20" s="1"/>
  <c r="H69" i="20" s="1"/>
  <c r="L70" i="22"/>
  <c r="K70" i="22"/>
  <c r="J70" i="22"/>
  <c r="M69" i="22"/>
  <c r="M68" i="20" s="1"/>
  <c r="G68" i="20" s="1"/>
  <c r="H68" i="20" s="1"/>
  <c r="L69" i="22"/>
  <c r="K69" i="22"/>
  <c r="J69" i="22"/>
  <c r="M68" i="22"/>
  <c r="M67" i="20" s="1"/>
  <c r="G67" i="20" s="1"/>
  <c r="H67" i="20" s="1"/>
  <c r="L68" i="22"/>
  <c r="K68" i="22"/>
  <c r="J68" i="22"/>
  <c r="M67" i="22"/>
  <c r="M66" i="20" s="1"/>
  <c r="G66" i="20" s="1"/>
  <c r="H66" i="20" s="1"/>
  <c r="L67" i="22"/>
  <c r="K67" i="22"/>
  <c r="J67" i="22"/>
  <c r="M66" i="22"/>
  <c r="M65" i="20" s="1"/>
  <c r="G65" i="20" s="1"/>
  <c r="L66" i="22"/>
  <c r="K66" i="22"/>
  <c r="J66" i="22"/>
  <c r="M65" i="22"/>
  <c r="M64" i="20" s="1"/>
  <c r="G64" i="20" s="1"/>
  <c r="L65" i="22"/>
  <c r="K65" i="22"/>
  <c r="J65" i="22"/>
  <c r="P65" i="22" s="1"/>
  <c r="M64" i="22"/>
  <c r="M63" i="20" s="1"/>
  <c r="G63" i="20" s="1"/>
  <c r="H63" i="20" s="1"/>
  <c r="L64" i="22"/>
  <c r="K64" i="22"/>
  <c r="J64" i="22"/>
  <c r="M63" i="22"/>
  <c r="M62" i="20" s="1"/>
  <c r="G62" i="20" s="1"/>
  <c r="H62" i="20" s="1"/>
  <c r="L63" i="22"/>
  <c r="K63" i="22"/>
  <c r="J63" i="22"/>
  <c r="M62" i="22"/>
  <c r="M61" i="20" s="1"/>
  <c r="G61" i="20" s="1"/>
  <c r="H61" i="20" s="1"/>
  <c r="L62" i="22"/>
  <c r="K62" i="22"/>
  <c r="J62" i="22"/>
  <c r="M61" i="22"/>
  <c r="M60" i="20" s="1"/>
  <c r="G60" i="20" s="1"/>
  <c r="H60" i="20" s="1"/>
  <c r="L61" i="22"/>
  <c r="K61" i="22"/>
  <c r="J61" i="22"/>
  <c r="M60" i="22"/>
  <c r="M59" i="20" s="1"/>
  <c r="G59" i="20" s="1"/>
  <c r="H59" i="20" s="1"/>
  <c r="L60" i="22"/>
  <c r="K60" i="22"/>
  <c r="J60" i="22"/>
  <c r="M59" i="22"/>
  <c r="M58" i="20" s="1"/>
  <c r="G58" i="20" s="1"/>
  <c r="H58" i="20" s="1"/>
  <c r="L59" i="22"/>
  <c r="K59" i="22"/>
  <c r="J59" i="22"/>
  <c r="M58" i="22"/>
  <c r="M57" i="20" s="1"/>
  <c r="G57" i="20" s="1"/>
  <c r="H57" i="20" s="1"/>
  <c r="L58" i="22"/>
  <c r="K58" i="22"/>
  <c r="J58" i="22"/>
  <c r="M57" i="22"/>
  <c r="M56" i="20" s="1"/>
  <c r="G56" i="20" s="1"/>
  <c r="H56" i="20" s="1"/>
  <c r="L57" i="22"/>
  <c r="K57" i="22"/>
  <c r="J57" i="22"/>
  <c r="M56" i="22"/>
  <c r="M55" i="20" s="1"/>
  <c r="G55" i="20" s="1"/>
  <c r="L56" i="22"/>
  <c r="K56" i="22"/>
  <c r="J56" i="22"/>
  <c r="P56" i="22" s="1"/>
  <c r="M55" i="22"/>
  <c r="M54" i="20" s="1"/>
  <c r="G54" i="20" s="1"/>
  <c r="L55" i="22"/>
  <c r="K55" i="22"/>
  <c r="J55" i="22"/>
  <c r="P55" i="22" s="1"/>
  <c r="M54" i="22"/>
  <c r="M53" i="20" s="1"/>
  <c r="G53" i="20" s="1"/>
  <c r="H53" i="20" s="1"/>
  <c r="L54" i="22"/>
  <c r="K54" i="22"/>
  <c r="J54" i="22"/>
  <c r="M53" i="22"/>
  <c r="M52" i="20" s="1"/>
  <c r="G52" i="20" s="1"/>
  <c r="H52" i="20" s="1"/>
  <c r="L53" i="22"/>
  <c r="K53" i="22"/>
  <c r="J53" i="22"/>
  <c r="M52" i="22"/>
  <c r="M51" i="20" s="1"/>
  <c r="G51" i="20" s="1"/>
  <c r="H51" i="20" s="1"/>
  <c r="L52" i="22"/>
  <c r="K52" i="22"/>
  <c r="J52" i="22"/>
  <c r="M51" i="22"/>
  <c r="M50" i="20" s="1"/>
  <c r="G50" i="20" s="1"/>
  <c r="H50" i="20" s="1"/>
  <c r="L51" i="22"/>
  <c r="K51" i="22"/>
  <c r="J51" i="22"/>
  <c r="M50" i="22"/>
  <c r="M49" i="20" s="1"/>
  <c r="G49" i="20" s="1"/>
  <c r="H49" i="20" s="1"/>
  <c r="L50" i="22"/>
  <c r="K50" i="22"/>
  <c r="J50" i="22"/>
  <c r="M49" i="22"/>
  <c r="M48" i="20" s="1"/>
  <c r="G48" i="20" s="1"/>
  <c r="H48" i="20" s="1"/>
  <c r="L49" i="22"/>
  <c r="K49" i="22"/>
  <c r="J49" i="22"/>
  <c r="M48" i="22"/>
  <c r="M47" i="20" s="1"/>
  <c r="G47" i="20" s="1"/>
  <c r="H47" i="20" s="1"/>
  <c r="L48" i="22"/>
  <c r="K48" i="22"/>
  <c r="J48" i="22"/>
  <c r="P48" i="22" s="1"/>
  <c r="M47" i="22"/>
  <c r="M46" i="20" s="1"/>
  <c r="G46" i="20" s="1"/>
  <c r="H46" i="20" s="1"/>
  <c r="L47" i="22"/>
  <c r="K47" i="22"/>
  <c r="J47" i="22"/>
  <c r="M46" i="22"/>
  <c r="M45" i="20" s="1"/>
  <c r="G45" i="20" s="1"/>
  <c r="L46" i="22"/>
  <c r="K46" i="22"/>
  <c r="J46" i="22"/>
  <c r="M45" i="22"/>
  <c r="M44" i="20" s="1"/>
  <c r="G44" i="20" s="1"/>
  <c r="L45" i="22"/>
  <c r="K45" i="22"/>
  <c r="J45" i="22"/>
  <c r="M44" i="22"/>
  <c r="M43" i="20" s="1"/>
  <c r="G43" i="20" s="1"/>
  <c r="H43" i="20" s="1"/>
  <c r="L44" i="22"/>
  <c r="K44" i="22"/>
  <c r="J44" i="22"/>
  <c r="I44" i="22"/>
  <c r="M43" i="22"/>
  <c r="M42" i="20" s="1"/>
  <c r="G42" i="20" s="1"/>
  <c r="H42" i="20" s="1"/>
  <c r="L43" i="22"/>
  <c r="K43" i="22"/>
  <c r="J43" i="22"/>
  <c r="M42" i="22"/>
  <c r="M41" i="20" s="1"/>
  <c r="G41" i="20" s="1"/>
  <c r="H41" i="20" s="1"/>
  <c r="L42" i="22"/>
  <c r="K42" i="22"/>
  <c r="J42" i="22"/>
  <c r="M41" i="22"/>
  <c r="M40" i="20" s="1"/>
  <c r="G40" i="20" s="1"/>
  <c r="H40" i="20" s="1"/>
  <c r="L41" i="22"/>
  <c r="K41" i="22"/>
  <c r="J41" i="22"/>
  <c r="M40" i="22"/>
  <c r="M39" i="20" s="1"/>
  <c r="G39" i="20" s="1"/>
  <c r="H39" i="20" s="1"/>
  <c r="L40" i="22"/>
  <c r="K40" i="22"/>
  <c r="J40" i="22"/>
  <c r="M39" i="22"/>
  <c r="M38" i="20" s="1"/>
  <c r="G38" i="20" s="1"/>
  <c r="H38" i="20" s="1"/>
  <c r="L39" i="22"/>
  <c r="K39" i="22"/>
  <c r="J39" i="22"/>
  <c r="M38" i="22"/>
  <c r="M37" i="20" s="1"/>
  <c r="G37" i="20" s="1"/>
  <c r="H37" i="20" s="1"/>
  <c r="L38" i="22"/>
  <c r="K38" i="22"/>
  <c r="J38" i="22"/>
  <c r="M37" i="22"/>
  <c r="M36" i="20" s="1"/>
  <c r="G36" i="20" s="1"/>
  <c r="L37" i="22"/>
  <c r="K37" i="22"/>
  <c r="J37" i="22"/>
  <c r="M36" i="22"/>
  <c r="M35" i="20" s="1"/>
  <c r="G35" i="20" s="1"/>
  <c r="L36" i="22"/>
  <c r="K36" i="22"/>
  <c r="J36" i="22"/>
  <c r="M35" i="22"/>
  <c r="M34" i="20" s="1"/>
  <c r="G34" i="20" s="1"/>
  <c r="L35" i="22"/>
  <c r="K35" i="22"/>
  <c r="J35" i="22"/>
  <c r="M34" i="22"/>
  <c r="M33" i="20" s="1"/>
  <c r="G33" i="20" s="1"/>
  <c r="H33" i="20" s="1"/>
  <c r="L34" i="22"/>
  <c r="K34" i="22"/>
  <c r="J34" i="22"/>
  <c r="M33" i="22"/>
  <c r="M32" i="20" s="1"/>
  <c r="G32" i="20" s="1"/>
  <c r="H32" i="20" s="1"/>
  <c r="L33" i="22"/>
  <c r="K33" i="22"/>
  <c r="J33" i="22"/>
  <c r="M32" i="22"/>
  <c r="M31" i="20" s="1"/>
  <c r="G31" i="20" s="1"/>
  <c r="H31" i="20" s="1"/>
  <c r="L32" i="22"/>
  <c r="K32" i="22"/>
  <c r="J32" i="22"/>
  <c r="M31" i="22"/>
  <c r="M30" i="20" s="1"/>
  <c r="G30" i="20" s="1"/>
  <c r="H30" i="20" s="1"/>
  <c r="L31" i="22"/>
  <c r="K31" i="22"/>
  <c r="J31" i="22"/>
  <c r="M30" i="22"/>
  <c r="M29" i="20" s="1"/>
  <c r="G29" i="20" s="1"/>
  <c r="H29" i="20" s="1"/>
  <c r="L30" i="22"/>
  <c r="K30" i="22"/>
  <c r="J30" i="22"/>
  <c r="M29" i="22"/>
  <c r="M28" i="20" s="1"/>
  <c r="G28" i="20" s="1"/>
  <c r="H28" i="20" s="1"/>
  <c r="L29" i="22"/>
  <c r="K29" i="22"/>
  <c r="J29" i="22"/>
  <c r="M28" i="22"/>
  <c r="M27" i="20" s="1"/>
  <c r="G27" i="20" s="1"/>
  <c r="H27" i="20" s="1"/>
  <c r="L28" i="22"/>
  <c r="K28" i="22"/>
  <c r="J28" i="22"/>
  <c r="M27" i="22"/>
  <c r="M26" i="20" s="1"/>
  <c r="G26" i="20" s="1"/>
  <c r="H26" i="20" s="1"/>
  <c r="L27" i="22"/>
  <c r="K27" i="22"/>
  <c r="J27" i="22"/>
  <c r="M26" i="22"/>
  <c r="M25" i="20" s="1"/>
  <c r="G25" i="20" s="1"/>
  <c r="H25" i="20" s="1"/>
  <c r="D8" i="72" s="1"/>
  <c r="L26" i="22"/>
  <c r="K26" i="22"/>
  <c r="J26" i="22"/>
  <c r="M25" i="22"/>
  <c r="M24" i="20" s="1"/>
  <c r="G24" i="20" s="1"/>
  <c r="H24" i="20" s="1"/>
  <c r="D7" i="72" s="1"/>
  <c r="L25" i="22"/>
  <c r="K25" i="22"/>
  <c r="J25" i="22"/>
  <c r="M24" i="22"/>
  <c r="M23" i="20" s="1"/>
  <c r="G23" i="20" s="1"/>
  <c r="H23" i="20" s="1"/>
  <c r="L24" i="22"/>
  <c r="K24" i="22"/>
  <c r="J24" i="22"/>
  <c r="M23" i="22"/>
  <c r="M22" i="20" s="1"/>
  <c r="L23" i="22"/>
  <c r="K23" i="22"/>
  <c r="J23" i="22"/>
  <c r="M22" i="22"/>
  <c r="M21" i="20" s="1"/>
  <c r="L22" i="22"/>
  <c r="K22" i="22"/>
  <c r="J22" i="22"/>
  <c r="M21" i="22"/>
  <c r="M20" i="20" s="1"/>
  <c r="L21" i="22"/>
  <c r="K21" i="22"/>
  <c r="J21" i="22"/>
  <c r="M20" i="22"/>
  <c r="M19" i="20" s="1"/>
  <c r="L20" i="22"/>
  <c r="K20" i="22"/>
  <c r="J20" i="22"/>
  <c r="M19" i="22"/>
  <c r="M18" i="20" s="1"/>
  <c r="G18" i="20" s="1"/>
  <c r="H18" i="20" s="1"/>
  <c r="L19" i="22"/>
  <c r="K19" i="22"/>
  <c r="J19" i="22"/>
  <c r="M18" i="22"/>
  <c r="M17" i="20" s="1"/>
  <c r="G17" i="20" s="1"/>
  <c r="H17" i="20" s="1"/>
  <c r="L18" i="22"/>
  <c r="K18" i="22"/>
  <c r="J18" i="22"/>
  <c r="M17" i="22"/>
  <c r="M16" i="20" s="1"/>
  <c r="G16" i="20" s="1"/>
  <c r="H16" i="20" s="1"/>
  <c r="L17" i="22"/>
  <c r="K17" i="22"/>
  <c r="J17" i="22"/>
  <c r="M16" i="22"/>
  <c r="M15" i="20" s="1"/>
  <c r="G15" i="20" s="1"/>
  <c r="H15" i="20" s="1"/>
  <c r="L16" i="22"/>
  <c r="K16" i="22"/>
  <c r="J16" i="22"/>
  <c r="M15" i="22"/>
  <c r="L15" i="22"/>
  <c r="K15" i="22"/>
  <c r="J15" i="22"/>
  <c r="M14" i="22"/>
  <c r="L14" i="22"/>
  <c r="K14" i="22"/>
  <c r="J14" i="22"/>
  <c r="I14" i="22"/>
  <c r="C113" i="27"/>
  <c r="C110" i="27"/>
  <c r="E110" i="20"/>
  <c r="C108" i="27"/>
  <c r="C107" i="27"/>
  <c r="C106" i="27"/>
  <c r="E106" i="20"/>
  <c r="C105" i="27"/>
  <c r="C104" i="27"/>
  <c r="H82" i="113" l="1"/>
  <c r="H84" i="113"/>
  <c r="I95" i="103" s="1"/>
  <c r="H104" i="103"/>
  <c r="H102" i="103"/>
  <c r="I104" i="103"/>
  <c r="I102" i="103"/>
  <c r="I101" i="103"/>
  <c r="I99" i="103"/>
  <c r="I50" i="103"/>
  <c r="I94" i="103"/>
  <c r="I93" i="103"/>
  <c r="I53" i="103"/>
  <c r="H93" i="103"/>
  <c r="H95" i="103"/>
  <c r="I90" i="103"/>
  <c r="H90" i="103"/>
  <c r="I92" i="103"/>
  <c r="H92" i="103"/>
  <c r="H87" i="113"/>
  <c r="I97" i="103"/>
  <c r="H85" i="113"/>
  <c r="M14" i="20"/>
  <c r="G14" i="20" s="1"/>
  <c r="H14" i="20" s="1"/>
  <c r="D7" i="69" s="1"/>
  <c r="O15" i="22"/>
  <c r="N91" i="22"/>
  <c r="F90" i="27"/>
  <c r="H101" i="22"/>
  <c r="H111" i="22" s="1"/>
  <c r="N93" i="22"/>
  <c r="F92" i="27"/>
  <c r="H103" i="22"/>
  <c r="H113" i="22" s="1"/>
  <c r="N88" i="22"/>
  <c r="F87" i="27"/>
  <c r="H98" i="22"/>
  <c r="H108" i="22" s="1"/>
  <c r="N92" i="22"/>
  <c r="F91" i="27"/>
  <c r="H102" i="22"/>
  <c r="H112" i="22" s="1"/>
  <c r="N94" i="22"/>
  <c r="F93" i="27"/>
  <c r="H104" i="22"/>
  <c r="H114" i="22" s="1"/>
  <c r="N89" i="22"/>
  <c r="F88" i="27"/>
  <c r="H99" i="22"/>
  <c r="H109" i="22" s="1"/>
  <c r="P25" i="22"/>
  <c r="P26" i="22"/>
  <c r="P27" i="22"/>
  <c r="P31" i="22"/>
  <c r="N90" i="22"/>
  <c r="F89" i="27"/>
  <c r="H100" i="22"/>
  <c r="H110" i="22" s="1"/>
  <c r="P15" i="22"/>
  <c r="P16" i="22"/>
  <c r="P17" i="22"/>
  <c r="P66" i="22"/>
  <c r="P45" i="22"/>
  <c r="P46" i="22"/>
  <c r="L85" i="22"/>
  <c r="L95" i="22"/>
  <c r="K86" i="22"/>
  <c r="K96" i="22"/>
  <c r="M85" i="22"/>
  <c r="M95" i="22"/>
  <c r="M94" i="20" s="1"/>
  <c r="G94" i="20" s="1"/>
  <c r="L86" i="22"/>
  <c r="L96" i="22"/>
  <c r="J95" i="22"/>
  <c r="N85" i="22"/>
  <c r="N95" i="22"/>
  <c r="M86" i="22"/>
  <c r="M96" i="22"/>
  <c r="M95" i="20" s="1"/>
  <c r="G95" i="20" s="1"/>
  <c r="K85" i="22"/>
  <c r="K95" i="22"/>
  <c r="J96" i="22"/>
  <c r="N86" i="22"/>
  <c r="N96" i="22"/>
  <c r="P67" i="22"/>
  <c r="P57" i="22"/>
  <c r="P47" i="22"/>
  <c r="N87" i="22"/>
  <c r="N97" i="22"/>
  <c r="M87" i="22"/>
  <c r="G97" i="22"/>
  <c r="M97" i="22" s="1"/>
  <c r="M96" i="20" s="1"/>
  <c r="G96" i="20" s="1"/>
  <c r="L87" i="22"/>
  <c r="L97" i="22"/>
  <c r="K87" i="22"/>
  <c r="K97" i="22"/>
  <c r="J97" i="22"/>
  <c r="P68" i="22"/>
  <c r="P58" i="22"/>
  <c r="M88" i="22"/>
  <c r="M98" i="22"/>
  <c r="M97" i="20" s="1"/>
  <c r="G97" i="20" s="1"/>
  <c r="H97" i="20" s="1"/>
  <c r="L88" i="22"/>
  <c r="L98" i="22"/>
  <c r="P28" i="22"/>
  <c r="K88" i="22"/>
  <c r="K98" i="22"/>
  <c r="J98" i="22"/>
  <c r="P18" i="22"/>
  <c r="P69" i="22"/>
  <c r="P59" i="22"/>
  <c r="P49" i="22"/>
  <c r="M89" i="22"/>
  <c r="M99" i="22"/>
  <c r="M98" i="20" s="1"/>
  <c r="G98" i="20" s="1"/>
  <c r="H98" i="20" s="1"/>
  <c r="L89" i="22"/>
  <c r="L99" i="22"/>
  <c r="P29" i="22"/>
  <c r="K89" i="22"/>
  <c r="K99" i="22"/>
  <c r="J99" i="22"/>
  <c r="P19" i="22"/>
  <c r="P70" i="22"/>
  <c r="P60" i="22"/>
  <c r="P50" i="22"/>
  <c r="M90" i="22"/>
  <c r="M100" i="22"/>
  <c r="M99" i="20" s="1"/>
  <c r="G99" i="20" s="1"/>
  <c r="H99" i="20" s="1"/>
  <c r="L90" i="22"/>
  <c r="L100" i="22"/>
  <c r="K90" i="22"/>
  <c r="K100" i="22"/>
  <c r="P30" i="22"/>
  <c r="J100" i="22"/>
  <c r="P20" i="22"/>
  <c r="P71" i="22"/>
  <c r="P61" i="22"/>
  <c r="P51" i="22"/>
  <c r="M91" i="22"/>
  <c r="M101" i="22"/>
  <c r="M100" i="20" s="1"/>
  <c r="G100" i="20" s="1"/>
  <c r="H100" i="20" s="1"/>
  <c r="L91" i="22"/>
  <c r="L101" i="22"/>
  <c r="K91" i="22"/>
  <c r="K101" i="22"/>
  <c r="J101" i="22"/>
  <c r="P21" i="22"/>
  <c r="P72" i="22"/>
  <c r="P62" i="22"/>
  <c r="P52" i="22"/>
  <c r="M92" i="22"/>
  <c r="M102" i="22"/>
  <c r="M101" i="20" s="1"/>
  <c r="G101" i="20" s="1"/>
  <c r="H101" i="20" s="1"/>
  <c r="L92" i="22"/>
  <c r="L102" i="22"/>
  <c r="P32" i="22"/>
  <c r="K92" i="22"/>
  <c r="K102" i="22"/>
  <c r="J102" i="22"/>
  <c r="P22" i="22"/>
  <c r="P73" i="22"/>
  <c r="G112" i="20"/>
  <c r="H112" i="20" s="1"/>
  <c r="M92" i="20"/>
  <c r="G92" i="20" s="1"/>
  <c r="H92" i="20" s="1"/>
  <c r="P23" i="22"/>
  <c r="P63" i="22"/>
  <c r="P53" i="22"/>
  <c r="L93" i="22"/>
  <c r="M94" i="22"/>
  <c r="M104" i="22"/>
  <c r="M103" i="20" s="1"/>
  <c r="G103" i="20" s="1"/>
  <c r="H103" i="20" s="1"/>
  <c r="L94" i="22"/>
  <c r="L104" i="22"/>
  <c r="K94" i="22"/>
  <c r="K104" i="22"/>
  <c r="J104" i="22"/>
  <c r="G19" i="20"/>
  <c r="H19" i="20" s="1"/>
  <c r="G20" i="20"/>
  <c r="H20" i="20" s="1"/>
  <c r="G21" i="20"/>
  <c r="H21" i="20" s="1"/>
  <c r="G22" i="20"/>
  <c r="H22" i="20" s="1"/>
  <c r="P24" i="22"/>
  <c r="O14" i="22"/>
  <c r="P14" i="22"/>
  <c r="E109" i="20"/>
  <c r="E112" i="20"/>
  <c r="E113" i="20"/>
  <c r="C112" i="27"/>
  <c r="E111" i="20"/>
  <c r="C109" i="27"/>
  <c r="E108" i="20"/>
  <c r="C111" i="27"/>
  <c r="P33" i="22"/>
  <c r="P84" i="22"/>
  <c r="P74" i="22"/>
  <c r="P64" i="22"/>
  <c r="P54" i="22"/>
  <c r="P44" i="22"/>
  <c r="P75" i="22"/>
  <c r="P76" i="22"/>
  <c r="P77" i="22"/>
  <c r="P78" i="22"/>
  <c r="P79" i="22"/>
  <c r="P80" i="22"/>
  <c r="P81" i="22"/>
  <c r="P82" i="22"/>
  <c r="P83" i="22"/>
  <c r="P35" i="22"/>
  <c r="P36" i="22"/>
  <c r="P37" i="22"/>
  <c r="P38" i="22"/>
  <c r="P39" i="22"/>
  <c r="P40" i="22"/>
  <c r="P41" i="22"/>
  <c r="P42" i="22"/>
  <c r="P43" i="22"/>
  <c r="P34" i="22"/>
  <c r="J85" i="22"/>
  <c r="P85" i="22" s="1"/>
  <c r="J89" i="22"/>
  <c r="J92" i="22"/>
  <c r="J93" i="22"/>
  <c r="J88" i="22"/>
  <c r="P88" i="22" s="1"/>
  <c r="J87" i="22"/>
  <c r="J91" i="22"/>
  <c r="O44" i="22"/>
  <c r="E107" i="20"/>
  <c r="J86" i="22"/>
  <c r="P86" i="22" s="1"/>
  <c r="J90" i="22"/>
  <c r="J94" i="22"/>
  <c r="I96" i="103" l="1"/>
  <c r="I98" i="103"/>
  <c r="P96" i="22"/>
  <c r="F113" i="27"/>
  <c r="N114" i="22"/>
  <c r="P114" i="22" s="1"/>
  <c r="F107" i="27"/>
  <c r="N108" i="22"/>
  <c r="P108" i="22" s="1"/>
  <c r="D89" i="27"/>
  <c r="H89" i="27"/>
  <c r="L89" i="27"/>
  <c r="J89" i="27" s="1"/>
  <c r="F108" i="27"/>
  <c r="N109" i="22"/>
  <c r="P109" i="22" s="1"/>
  <c r="D93" i="27"/>
  <c r="H93" i="27" s="1"/>
  <c r="L93" i="27"/>
  <c r="J93" i="27" s="1"/>
  <c r="D91" i="27"/>
  <c r="H91" i="27" s="1"/>
  <c r="L91" i="27"/>
  <c r="J91" i="27" s="1"/>
  <c r="D87" i="27"/>
  <c r="L87" i="27"/>
  <c r="J87" i="27" s="1"/>
  <c r="D92" i="27"/>
  <c r="L92" i="27"/>
  <c r="J92" i="27" s="1"/>
  <c r="F110" i="27"/>
  <c r="N111" i="22"/>
  <c r="P111" i="22" s="1"/>
  <c r="F109" i="27"/>
  <c r="N110" i="22"/>
  <c r="P110" i="22" s="1"/>
  <c r="F111" i="27"/>
  <c r="N112" i="22"/>
  <c r="P112" i="22" s="1"/>
  <c r="F112" i="27"/>
  <c r="N113" i="22"/>
  <c r="P113" i="22" s="1"/>
  <c r="L88" i="27"/>
  <c r="J88" i="27" s="1"/>
  <c r="D88" i="27"/>
  <c r="D90" i="27"/>
  <c r="L90" i="27"/>
  <c r="J90" i="27" s="1"/>
  <c r="N100" i="22"/>
  <c r="P100" i="22" s="1"/>
  <c r="F99" i="27"/>
  <c r="F98" i="27"/>
  <c r="N99" i="22"/>
  <c r="N104" i="22"/>
  <c r="P104" i="22" s="1"/>
  <c r="F103" i="27"/>
  <c r="N102" i="22"/>
  <c r="F101" i="27"/>
  <c r="N98" i="22"/>
  <c r="P98" i="22" s="1"/>
  <c r="F97" i="27"/>
  <c r="F102" i="27"/>
  <c r="N103" i="22"/>
  <c r="F100" i="27"/>
  <c r="N101" i="22"/>
  <c r="P101" i="22" s="1"/>
  <c r="G107" i="22"/>
  <c r="M107" i="22" s="1"/>
  <c r="M106" i="20" s="1"/>
  <c r="G106" i="20" s="1"/>
  <c r="H106" i="20" s="1"/>
  <c r="P95" i="22"/>
  <c r="G105" i="20"/>
  <c r="M85" i="20"/>
  <c r="G85" i="20" s="1"/>
  <c r="G104" i="20"/>
  <c r="M84" i="20"/>
  <c r="G84" i="20" s="1"/>
  <c r="P87" i="22"/>
  <c r="M86" i="20"/>
  <c r="G86" i="20" s="1"/>
  <c r="H86" i="20" s="1"/>
  <c r="P97" i="22"/>
  <c r="G107" i="20"/>
  <c r="H107" i="20" s="1"/>
  <c r="M87" i="20"/>
  <c r="G87" i="20" s="1"/>
  <c r="H87" i="20" s="1"/>
  <c r="P89" i="22"/>
  <c r="G108" i="20"/>
  <c r="H108" i="20" s="1"/>
  <c r="M88" i="20"/>
  <c r="G88" i="20" s="1"/>
  <c r="H88" i="20" s="1"/>
  <c r="P99" i="22"/>
  <c r="P90" i="22"/>
  <c r="G109" i="20"/>
  <c r="H109" i="20" s="1"/>
  <c r="M89" i="20"/>
  <c r="G89" i="20" s="1"/>
  <c r="H89" i="20" s="1"/>
  <c r="P91" i="22"/>
  <c r="G110" i="20"/>
  <c r="H110" i="20" s="1"/>
  <c r="M90" i="20"/>
  <c r="G90" i="20" s="1"/>
  <c r="H90" i="20" s="1"/>
  <c r="P92" i="22"/>
  <c r="G111" i="20"/>
  <c r="H111" i="20" s="1"/>
  <c r="M91" i="20"/>
  <c r="G91" i="20" s="1"/>
  <c r="H91" i="20" s="1"/>
  <c r="P102" i="22"/>
  <c r="P94" i="22"/>
  <c r="P93" i="22"/>
  <c r="L103" i="22"/>
  <c r="P103" i="22" s="1"/>
  <c r="G113" i="20"/>
  <c r="H113" i="20" s="1"/>
  <c r="M93" i="20"/>
  <c r="G93" i="20" s="1"/>
  <c r="H93" i="20" s="1"/>
  <c r="D114" i="89"/>
  <c r="B114" i="89"/>
  <c r="E114" i="89"/>
  <c r="C114" i="89"/>
  <c r="E133" i="103"/>
  <c r="E134" i="103" s="1"/>
  <c r="F134" i="103" s="1"/>
  <c r="G134" i="103" s="1"/>
  <c r="H134" i="103" s="1"/>
  <c r="I134" i="103" s="1"/>
  <c r="I21" i="103"/>
  <c r="H21" i="103"/>
  <c r="G21" i="103"/>
  <c r="F21" i="103"/>
  <c r="E21" i="103"/>
  <c r="I160" i="89" l="1"/>
  <c r="D103" i="27"/>
  <c r="H103" i="27" s="1"/>
  <c r="L103" i="27"/>
  <c r="J103" i="27" s="1"/>
  <c r="N90" i="27"/>
  <c r="G90" i="27"/>
  <c r="G87" i="27"/>
  <c r="N87" i="27"/>
  <c r="D100" i="27"/>
  <c r="L100" i="27"/>
  <c r="J100" i="27" s="1"/>
  <c r="H88" i="27"/>
  <c r="G88" i="27"/>
  <c r="N88" i="27"/>
  <c r="G92" i="27"/>
  <c r="N92" i="27"/>
  <c r="L99" i="27"/>
  <c r="J99" i="27" s="1"/>
  <c r="D99" i="27"/>
  <c r="H99" i="27" s="1"/>
  <c r="L101" i="27"/>
  <c r="J101" i="27" s="1"/>
  <c r="D101" i="27"/>
  <c r="H90" i="27"/>
  <c r="N93" i="27"/>
  <c r="V93" i="27"/>
  <c r="W93" i="27" s="1"/>
  <c r="G93" i="27"/>
  <c r="P93" i="27" s="1"/>
  <c r="Q93" i="27" s="1"/>
  <c r="D97" i="27"/>
  <c r="H97" i="27" s="1"/>
  <c r="L97" i="27"/>
  <c r="J97" i="27" s="1"/>
  <c r="D102" i="27"/>
  <c r="H102" i="27" s="1"/>
  <c r="L102" i="27"/>
  <c r="J102" i="27" s="1"/>
  <c r="L98" i="27"/>
  <c r="J98" i="27" s="1"/>
  <c r="D98" i="27"/>
  <c r="H98" i="27" s="1"/>
  <c r="H92" i="27"/>
  <c r="H87" i="27"/>
  <c r="G91" i="27"/>
  <c r="N91" i="27"/>
  <c r="N89" i="27"/>
  <c r="G89" i="27"/>
  <c r="E118" i="103"/>
  <c r="F132" i="103"/>
  <c r="G132" i="103" s="1"/>
  <c r="H132" i="103" s="1"/>
  <c r="I132" i="103" s="1"/>
  <c r="F133" i="103"/>
  <c r="G133" i="103" s="1"/>
  <c r="H133" i="103" s="1"/>
  <c r="I133" i="103" s="1"/>
  <c r="F117" i="103"/>
  <c r="N97" i="27" l="1"/>
  <c r="G97" i="27"/>
  <c r="N101" i="27"/>
  <c r="G101" i="27"/>
  <c r="N100" i="27"/>
  <c r="G100" i="27"/>
  <c r="G98" i="27"/>
  <c r="N98" i="27"/>
  <c r="N102" i="27"/>
  <c r="G102" i="27"/>
  <c r="H101" i="27"/>
  <c r="G99" i="27"/>
  <c r="N99" i="27"/>
  <c r="H100" i="27"/>
  <c r="G103" i="27"/>
  <c r="P103" i="27" s="1"/>
  <c r="Q103" i="27" s="1"/>
  <c r="V103" i="27"/>
  <c r="W103" i="27" s="1"/>
  <c r="N103" i="27"/>
  <c r="E119" i="103"/>
  <c r="F118" i="103"/>
  <c r="G117" i="103"/>
  <c r="F119" i="103" l="1"/>
  <c r="G118" i="103"/>
  <c r="H117" i="103"/>
  <c r="F129" i="103" l="1"/>
  <c r="E130" i="103"/>
  <c r="E131" i="103" s="1"/>
  <c r="F131" i="103" s="1"/>
  <c r="G131" i="103" s="1"/>
  <c r="H131" i="103" s="1"/>
  <c r="I131" i="103" s="1"/>
  <c r="G119" i="103"/>
  <c r="H118" i="103"/>
  <c r="I117" i="103"/>
  <c r="F130" i="103" l="1"/>
  <c r="G130" i="103" s="1"/>
  <c r="G129" i="103"/>
  <c r="I118" i="103"/>
  <c r="H119" i="103"/>
  <c r="H129" i="103" l="1"/>
  <c r="H130" i="103"/>
  <c r="I119" i="103"/>
  <c r="B19" i="90"/>
  <c r="H19" i="90" s="1"/>
  <c r="B20" i="90"/>
  <c r="H20" i="90" s="1"/>
  <c r="B21" i="90"/>
  <c r="H21" i="90" s="1"/>
  <c r="B22" i="90"/>
  <c r="H22" i="90" s="1"/>
  <c r="D27" i="90" s="1"/>
  <c r="B18" i="90"/>
  <c r="H18" i="90" s="1"/>
  <c r="G186" i="89"/>
  <c r="F186" i="89"/>
  <c r="E186" i="89"/>
  <c r="D186" i="89"/>
  <c r="C186" i="89"/>
  <c r="G114" i="89"/>
  <c r="G113" i="89"/>
  <c r="H42" i="89"/>
  <c r="G42" i="89"/>
  <c r="F42" i="89" l="1"/>
  <c r="E62" i="89" s="1"/>
  <c r="E29" i="117" s="1"/>
  <c r="I130" i="103"/>
  <c r="I129" i="103"/>
  <c r="F62" i="89"/>
  <c r="F29" i="117" s="1"/>
  <c r="E130" i="89" l="1"/>
  <c r="E159" i="89"/>
  <c r="E33" i="117"/>
  <c r="F33" i="117"/>
  <c r="E6" i="91"/>
  <c r="E9" i="91"/>
  <c r="G43" i="90"/>
  <c r="F43" i="90"/>
  <c r="A8" i="89"/>
  <c r="B8" i="89"/>
  <c r="C8" i="89"/>
  <c r="E8" i="89"/>
  <c r="A9" i="89"/>
  <c r="B9" i="89"/>
  <c r="C9" i="89"/>
  <c r="E9" i="89"/>
  <c r="A10" i="89"/>
  <c r="B10" i="89"/>
  <c r="C10" i="89"/>
  <c r="E10" i="89"/>
  <c r="A11" i="89"/>
  <c r="B11" i="89"/>
  <c r="C11" i="89"/>
  <c r="E11" i="89"/>
  <c r="A12" i="89"/>
  <c r="B12" i="89"/>
  <c r="C12" i="89"/>
  <c r="E12" i="89"/>
  <c r="A13" i="89"/>
  <c r="B13" i="89"/>
  <c r="C13" i="89"/>
  <c r="E13" i="89"/>
  <c r="A14" i="89"/>
  <c r="B14" i="89"/>
  <c r="C14" i="89"/>
  <c r="E14" i="89"/>
  <c r="A15" i="89"/>
  <c r="B15" i="89"/>
  <c r="C15" i="89"/>
  <c r="E15" i="89"/>
  <c r="A16" i="89"/>
  <c r="B16" i="89"/>
  <c r="C16" i="89"/>
  <c r="E16" i="89"/>
  <c r="E7" i="89"/>
  <c r="A7" i="89"/>
  <c r="C7" i="89"/>
  <c r="B7" i="89"/>
  <c r="F159" i="89" l="1"/>
  <c r="F130" i="89"/>
  <c r="H9" i="103"/>
  <c r="G9" i="103"/>
  <c r="F34" i="117"/>
  <c r="F31" i="117"/>
  <c r="E31" i="117"/>
  <c r="E34" i="117"/>
  <c r="G6" i="91"/>
  <c r="G9" i="91"/>
  <c r="E10" i="91"/>
  <c r="I9" i="91"/>
  <c r="I6" i="91"/>
  <c r="E7" i="91"/>
  <c r="F9" i="91"/>
  <c r="F6" i="91"/>
  <c r="H9" i="91"/>
  <c r="H6" i="91"/>
  <c r="B19" i="89"/>
  <c r="E19" i="89"/>
  <c r="C17" i="89"/>
  <c r="C19" i="89"/>
  <c r="E18" i="89"/>
  <c r="C18" i="89"/>
  <c r="E17" i="89"/>
  <c r="B18" i="89"/>
  <c r="B17" i="89"/>
  <c r="E177" i="88"/>
  <c r="J143" i="88"/>
  <c r="B138" i="88"/>
  <c r="K136" i="88"/>
  <c r="G136" i="88"/>
  <c r="B98" i="88"/>
  <c r="B140" i="88" s="1"/>
  <c r="B97" i="88"/>
  <c r="B139" i="88" s="1"/>
  <c r="B96" i="88"/>
  <c r="B95" i="88"/>
  <c r="B137" i="88" s="1"/>
  <c r="B181" i="88" s="1"/>
  <c r="B94" i="88"/>
  <c r="E192" i="87"/>
  <c r="J158" i="87"/>
  <c r="B108" i="87"/>
  <c r="B107" i="87"/>
  <c r="B154" i="87" s="1"/>
  <c r="B106" i="87"/>
  <c r="B153" i="87" s="1"/>
  <c r="B105" i="87"/>
  <c r="B104" i="87"/>
  <c r="B103" i="87"/>
  <c r="B150" i="87" s="1"/>
  <c r="B102" i="87"/>
  <c r="B149" i="87" s="1"/>
  <c r="B101" i="87"/>
  <c r="B100" i="87"/>
  <c r="B99" i="87"/>
  <c r="B146" i="87" s="1"/>
  <c r="B195" i="87" s="1"/>
  <c r="G159" i="89" l="1"/>
  <c r="G130" i="89"/>
  <c r="E96" i="88"/>
  <c r="F96" i="88" s="1"/>
  <c r="E35" i="117"/>
  <c r="E32" i="117"/>
  <c r="F35" i="117"/>
  <c r="F32" i="117"/>
  <c r="E140" i="88"/>
  <c r="F140" i="88" s="1"/>
  <c r="G140" i="88" s="1"/>
  <c r="E94" i="88"/>
  <c r="F94" i="88" s="1"/>
  <c r="E98" i="88"/>
  <c r="F98" i="88" s="1"/>
  <c r="E101" i="87"/>
  <c r="F101" i="87" s="1"/>
  <c r="B136" i="88"/>
  <c r="E136" i="88" s="1"/>
  <c r="H10" i="91"/>
  <c r="F10" i="91"/>
  <c r="I7" i="91"/>
  <c r="E11" i="91"/>
  <c r="E105" i="87"/>
  <c r="F105" i="87" s="1"/>
  <c r="E97" i="88"/>
  <c r="F97" i="88" s="1"/>
  <c r="I10" i="91"/>
  <c r="G10" i="91"/>
  <c r="E8" i="91"/>
  <c r="G7" i="91"/>
  <c r="H7" i="91"/>
  <c r="F7" i="91"/>
  <c r="D17" i="89"/>
  <c r="F18" i="89"/>
  <c r="D18" i="89"/>
  <c r="F19" i="89"/>
  <c r="D19" i="89"/>
  <c r="F17" i="89"/>
  <c r="B180" i="88"/>
  <c r="B183" i="88"/>
  <c r="B182" i="88"/>
  <c r="E95" i="88"/>
  <c r="F95" i="88" s="1"/>
  <c r="E137" i="88"/>
  <c r="F137" i="88" s="1"/>
  <c r="G137" i="88" s="1"/>
  <c r="E138" i="88"/>
  <c r="F138" i="88" s="1"/>
  <c r="G138" i="88" s="1"/>
  <c r="E139" i="88"/>
  <c r="F139" i="88" s="1"/>
  <c r="G139" i="88" s="1"/>
  <c r="B184" i="88"/>
  <c r="B151" i="87"/>
  <c r="E151" i="87" s="1"/>
  <c r="F151" i="87" s="1"/>
  <c r="G151" i="87" s="1"/>
  <c r="E104" i="87"/>
  <c r="F104" i="87" s="1"/>
  <c r="B203" i="87"/>
  <c r="B155" i="87"/>
  <c r="E155" i="87" s="1"/>
  <c r="F155" i="87" s="1"/>
  <c r="E108" i="87"/>
  <c r="F108" i="87" s="1"/>
  <c r="E153" i="87"/>
  <c r="F153" i="87" s="1"/>
  <c r="G153" i="87" s="1"/>
  <c r="B147" i="87"/>
  <c r="E100" i="87"/>
  <c r="F100" i="87" s="1"/>
  <c r="B148" i="87"/>
  <c r="E148" i="87" s="1"/>
  <c r="F148" i="87" s="1"/>
  <c r="G148" i="87" s="1"/>
  <c r="E149" i="87"/>
  <c r="F149" i="87" s="1"/>
  <c r="G149" i="87" s="1"/>
  <c r="E150" i="87"/>
  <c r="F150" i="87" s="1"/>
  <c r="G150" i="87" s="1"/>
  <c r="E154" i="87"/>
  <c r="F154" i="87" s="1"/>
  <c r="G154" i="87" s="1"/>
  <c r="E99" i="87"/>
  <c r="F99" i="87" s="1"/>
  <c r="E102" i="87"/>
  <c r="F102" i="87" s="1"/>
  <c r="E103" i="87"/>
  <c r="F103" i="87" s="1"/>
  <c r="E146" i="87"/>
  <c r="F146" i="87" s="1"/>
  <c r="G146" i="87" s="1"/>
  <c r="B198" i="87"/>
  <c r="B199" i="87"/>
  <c r="B152" i="87"/>
  <c r="E106" i="87"/>
  <c r="F106" i="87" s="1"/>
  <c r="E107" i="87"/>
  <c r="F107" i="87" s="1"/>
  <c r="B202" i="87"/>
  <c r="E177" i="86"/>
  <c r="J143" i="86"/>
  <c r="K136" i="86"/>
  <c r="G136" i="86"/>
  <c r="B98" i="86"/>
  <c r="B140" i="86" s="1"/>
  <c r="B184" i="86" s="1"/>
  <c r="B97" i="86"/>
  <c r="B96" i="86"/>
  <c r="B95" i="86"/>
  <c r="B94" i="86"/>
  <c r="B136" i="86" s="1"/>
  <c r="B180" i="86" s="1"/>
  <c r="O248" i="85"/>
  <c r="E192" i="85"/>
  <c r="J158" i="85"/>
  <c r="B108" i="85"/>
  <c r="B155" i="85" s="1"/>
  <c r="B107" i="85"/>
  <c r="B106" i="85"/>
  <c r="B153" i="85" s="1"/>
  <c r="B105" i="85"/>
  <c r="B152" i="85" s="1"/>
  <c r="B104" i="85"/>
  <c r="B151" i="85" s="1"/>
  <c r="B103" i="85"/>
  <c r="B102" i="85"/>
  <c r="B149" i="85" s="1"/>
  <c r="B101" i="85"/>
  <c r="B148" i="85" s="1"/>
  <c r="B100" i="85"/>
  <c r="B99" i="85"/>
  <c r="N34" i="84"/>
  <c r="N35" i="84" s="1"/>
  <c r="E36" i="117" l="1"/>
  <c r="K32" i="117"/>
  <c r="L32" i="117"/>
  <c r="F36" i="117"/>
  <c r="E153" i="85"/>
  <c r="F153" i="85" s="1"/>
  <c r="G153" i="85" s="1"/>
  <c r="F99" i="88"/>
  <c r="E97" i="86"/>
  <c r="F97" i="86" s="1"/>
  <c r="E100" i="85"/>
  <c r="F100" i="85" s="1"/>
  <c r="F8" i="91"/>
  <c r="G11" i="91"/>
  <c r="I8" i="91"/>
  <c r="H11" i="91"/>
  <c r="I11" i="91"/>
  <c r="E103" i="85"/>
  <c r="F103" i="85" s="1"/>
  <c r="E107" i="85"/>
  <c r="F107" i="85" s="1"/>
  <c r="E136" i="86"/>
  <c r="H8" i="91"/>
  <c r="G8" i="91"/>
  <c r="F11" i="91"/>
  <c r="E183" i="88"/>
  <c r="G141" i="88"/>
  <c r="E184" i="88"/>
  <c r="E182" i="88"/>
  <c r="E180" i="88"/>
  <c r="E181" i="88"/>
  <c r="F141" i="88"/>
  <c r="B196" i="87"/>
  <c r="E147" i="87"/>
  <c r="F147" i="87" s="1"/>
  <c r="G147" i="87" s="1"/>
  <c r="B201" i="87"/>
  <c r="E152" i="87"/>
  <c r="F152" i="87" s="1"/>
  <c r="G152" i="87" s="1"/>
  <c r="F109" i="87"/>
  <c r="B197" i="87"/>
  <c r="B204" i="87"/>
  <c r="B200" i="87"/>
  <c r="G155" i="87"/>
  <c r="E94" i="86"/>
  <c r="F94" i="86" s="1"/>
  <c r="E95" i="86"/>
  <c r="F95" i="86" s="1"/>
  <c r="E98" i="86"/>
  <c r="F98" i="86" s="1"/>
  <c r="E140" i="86"/>
  <c r="F140" i="86" s="1"/>
  <c r="B137" i="86"/>
  <c r="B138" i="86"/>
  <c r="E138" i="86" s="1"/>
  <c r="F138" i="86" s="1"/>
  <c r="G138" i="86" s="1"/>
  <c r="E96" i="86"/>
  <c r="F96" i="86" s="1"/>
  <c r="B139" i="86"/>
  <c r="E139" i="86" s="1"/>
  <c r="F139" i="86" s="1"/>
  <c r="G139" i="86" s="1"/>
  <c r="B198" i="85"/>
  <c r="B202" i="85"/>
  <c r="B200" i="85"/>
  <c r="E104" i="85"/>
  <c r="F104" i="85" s="1"/>
  <c r="E101" i="85"/>
  <c r="F101" i="85" s="1"/>
  <c r="E105" i="85"/>
  <c r="F105" i="85" s="1"/>
  <c r="B146" i="85"/>
  <c r="E146" i="85" s="1"/>
  <c r="F146" i="85" s="1"/>
  <c r="G146" i="85" s="1"/>
  <c r="B197" i="85"/>
  <c r="B150" i="85"/>
  <c r="B201" i="85"/>
  <c r="B154" i="85"/>
  <c r="E154" i="85" s="1"/>
  <c r="F154" i="85" s="1"/>
  <c r="G154" i="85" s="1"/>
  <c r="E102" i="85"/>
  <c r="F102" i="85" s="1"/>
  <c r="B204" i="85"/>
  <c r="E148" i="85"/>
  <c r="F148" i="85" s="1"/>
  <c r="G148" i="85" s="1"/>
  <c r="E152" i="85"/>
  <c r="F152" i="85" s="1"/>
  <c r="G152" i="85" s="1"/>
  <c r="E155" i="85"/>
  <c r="F155" i="85" s="1"/>
  <c r="E106" i="85"/>
  <c r="F106" i="85" s="1"/>
  <c r="E99" i="85"/>
  <c r="F99" i="85" s="1"/>
  <c r="B147" i="85"/>
  <c r="E147" i="85" s="1"/>
  <c r="F147" i="85" s="1"/>
  <c r="G147" i="85" s="1"/>
  <c r="E108" i="85"/>
  <c r="F108" i="85" s="1"/>
  <c r="E149" i="85"/>
  <c r="F149" i="85" s="1"/>
  <c r="G149" i="85" s="1"/>
  <c r="E151" i="85"/>
  <c r="F151" i="85" s="1"/>
  <c r="G151" i="85" s="1"/>
  <c r="E177" i="83"/>
  <c r="J143" i="83"/>
  <c r="K136" i="83"/>
  <c r="G136" i="83"/>
  <c r="B98" i="83"/>
  <c r="B140" i="83" s="1"/>
  <c r="B97" i="83"/>
  <c r="B96" i="83"/>
  <c r="B95" i="83"/>
  <c r="B137" i="83" s="1"/>
  <c r="B181" i="83" s="1"/>
  <c r="B94" i="83"/>
  <c r="E192" i="82"/>
  <c r="J158" i="82"/>
  <c r="B108" i="82"/>
  <c r="B107" i="82"/>
  <c r="B154" i="82" s="1"/>
  <c r="B106" i="82"/>
  <c r="B153" i="82" s="1"/>
  <c r="B202" i="82" s="1"/>
  <c r="B105" i="82"/>
  <c r="B152" i="82" s="1"/>
  <c r="B201" i="82" s="1"/>
  <c r="B104" i="82"/>
  <c r="B151" i="82" s="1"/>
  <c r="B103" i="82"/>
  <c r="B150" i="82" s="1"/>
  <c r="B199" i="82" s="1"/>
  <c r="B102" i="82"/>
  <c r="B149" i="82" s="1"/>
  <c r="B198" i="82" s="1"/>
  <c r="B101" i="82"/>
  <c r="B100" i="82"/>
  <c r="E100" i="82" s="1"/>
  <c r="F100" i="82" s="1"/>
  <c r="B99" i="82"/>
  <c r="B146" i="82" s="1"/>
  <c r="B195" i="82" s="1"/>
  <c r="E177" i="81"/>
  <c r="J143" i="81"/>
  <c r="K136" i="81"/>
  <c r="G136" i="81"/>
  <c r="B98" i="81"/>
  <c r="B97" i="81"/>
  <c r="B139" i="81" s="1"/>
  <c r="B183" i="81" s="1"/>
  <c r="B96" i="81"/>
  <c r="B138" i="81" s="1"/>
  <c r="B182" i="81" s="1"/>
  <c r="B95" i="81"/>
  <c r="B94" i="81"/>
  <c r="E192" i="79"/>
  <c r="J158" i="79"/>
  <c r="B108" i="79"/>
  <c r="B107" i="79"/>
  <c r="B154" i="79" s="1"/>
  <c r="B106" i="79"/>
  <c r="B153" i="79" s="1"/>
  <c r="B105" i="79"/>
  <c r="B152" i="79" s="1"/>
  <c r="B201" i="79" s="1"/>
  <c r="B104" i="79"/>
  <c r="B103" i="79"/>
  <c r="B150" i="79" s="1"/>
  <c r="B199" i="79" s="1"/>
  <c r="B102" i="79"/>
  <c r="B149" i="79" s="1"/>
  <c r="B101" i="79"/>
  <c r="B148" i="79" s="1"/>
  <c r="B197" i="79" s="1"/>
  <c r="B100" i="79"/>
  <c r="B99" i="79"/>
  <c r="B146" i="79" s="1"/>
  <c r="B195" i="79" s="1"/>
  <c r="E101" i="82" l="1"/>
  <c r="F101" i="82" s="1"/>
  <c r="B147" i="82"/>
  <c r="E97" i="83"/>
  <c r="F97" i="83" s="1"/>
  <c r="E104" i="82"/>
  <c r="F104" i="82" s="1"/>
  <c r="E108" i="82"/>
  <c r="F108" i="82" s="1"/>
  <c r="B155" i="82"/>
  <c r="B204" i="82" s="1"/>
  <c r="E98" i="83"/>
  <c r="F98" i="83" s="1"/>
  <c r="E94" i="83"/>
  <c r="F94" i="83" s="1"/>
  <c r="B136" i="83"/>
  <c r="B139" i="83"/>
  <c r="E139" i="83" s="1"/>
  <c r="F139" i="83" s="1"/>
  <c r="G139" i="83" s="1"/>
  <c r="E107" i="82"/>
  <c r="F107" i="82" s="1"/>
  <c r="E96" i="83"/>
  <c r="F96" i="83" s="1"/>
  <c r="E103" i="79"/>
  <c r="F103" i="79" s="1"/>
  <c r="E103" i="82"/>
  <c r="F103" i="82" s="1"/>
  <c r="E105" i="82"/>
  <c r="F105" i="82" s="1"/>
  <c r="B148" i="82"/>
  <c r="B197" i="82" s="1"/>
  <c r="E100" i="79"/>
  <c r="F100" i="79" s="1"/>
  <c r="E99" i="82"/>
  <c r="F99" i="82" s="1"/>
  <c r="E101" i="79"/>
  <c r="F101" i="79" s="1"/>
  <c r="E105" i="79"/>
  <c r="F105" i="79" s="1"/>
  <c r="F184" i="88"/>
  <c r="F181" i="88"/>
  <c r="E185" i="88"/>
  <c r="F180" i="88"/>
  <c r="F182" i="88"/>
  <c r="F183" i="88"/>
  <c r="E197" i="87"/>
  <c r="G156" i="87"/>
  <c r="E198" i="87"/>
  <c r="E200" i="87"/>
  <c r="F156" i="87"/>
  <c r="E204" i="87"/>
  <c r="E202" i="87"/>
  <c r="E201" i="87"/>
  <c r="E203" i="87"/>
  <c r="E196" i="87"/>
  <c r="E195" i="87"/>
  <c r="E199" i="87"/>
  <c r="B182" i="86"/>
  <c r="B181" i="86"/>
  <c r="E137" i="86"/>
  <c r="F137" i="86" s="1"/>
  <c r="G137" i="86" s="1"/>
  <c r="B183" i="86"/>
  <c r="G140" i="86"/>
  <c r="F99" i="86"/>
  <c r="B199" i="85"/>
  <c r="B196" i="85"/>
  <c r="F109" i="85"/>
  <c r="G155" i="85"/>
  <c r="B203" i="85"/>
  <c r="E150" i="85"/>
  <c r="F150" i="85" s="1"/>
  <c r="G150" i="85" s="1"/>
  <c r="B195" i="85"/>
  <c r="B184" i="83"/>
  <c r="E140" i="83"/>
  <c r="F140" i="83" s="1"/>
  <c r="E136" i="83"/>
  <c r="B180" i="83"/>
  <c r="B183" i="83"/>
  <c r="E95" i="83"/>
  <c r="F95" i="83" s="1"/>
  <c r="E137" i="83"/>
  <c r="F137" i="83" s="1"/>
  <c r="G137" i="83" s="1"/>
  <c r="B138" i="83"/>
  <c r="B203" i="82"/>
  <c r="B196" i="82"/>
  <c r="B200" i="82"/>
  <c r="E155" i="82"/>
  <c r="F155" i="82" s="1"/>
  <c r="E154" i="82"/>
  <c r="F154" i="82" s="1"/>
  <c r="G154" i="82" s="1"/>
  <c r="E153" i="82"/>
  <c r="F153" i="82" s="1"/>
  <c r="G153" i="82" s="1"/>
  <c r="E152" i="82"/>
  <c r="F152" i="82" s="1"/>
  <c r="G152" i="82" s="1"/>
  <c r="E151" i="82"/>
  <c r="F151" i="82" s="1"/>
  <c r="G151" i="82" s="1"/>
  <c r="E150" i="82"/>
  <c r="F150" i="82" s="1"/>
  <c r="G150" i="82" s="1"/>
  <c r="E149" i="82"/>
  <c r="F149" i="82" s="1"/>
  <c r="G149" i="82" s="1"/>
  <c r="E147" i="82"/>
  <c r="F147" i="82" s="1"/>
  <c r="G147" i="82" s="1"/>
  <c r="E146" i="82"/>
  <c r="F146" i="82" s="1"/>
  <c r="G146" i="82" s="1"/>
  <c r="E102" i="82"/>
  <c r="F102" i="82" s="1"/>
  <c r="E106" i="82"/>
  <c r="F106" i="82" s="1"/>
  <c r="E95" i="81"/>
  <c r="F95" i="81" s="1"/>
  <c r="B136" i="81"/>
  <c r="E136" i="81" s="1"/>
  <c r="E94" i="81"/>
  <c r="F94" i="81" s="1"/>
  <c r="E98" i="81"/>
  <c r="F98" i="81" s="1"/>
  <c r="E138" i="81"/>
  <c r="F138" i="81" s="1"/>
  <c r="G138" i="81" s="1"/>
  <c r="B137" i="81"/>
  <c r="E137" i="81" s="1"/>
  <c r="F137" i="81" s="1"/>
  <c r="G137" i="81" s="1"/>
  <c r="B140" i="81"/>
  <c r="E140" i="81" s="1"/>
  <c r="F140" i="81" s="1"/>
  <c r="E96" i="81"/>
  <c r="F96" i="81" s="1"/>
  <c r="E97" i="81"/>
  <c r="F97" i="81" s="1"/>
  <c r="E139" i="81"/>
  <c r="F139" i="81" s="1"/>
  <c r="G139" i="81" s="1"/>
  <c r="B198" i="79"/>
  <c r="B203" i="79"/>
  <c r="B202" i="79"/>
  <c r="E149" i="79"/>
  <c r="F149" i="79" s="1"/>
  <c r="G149" i="79" s="1"/>
  <c r="E153" i="79"/>
  <c r="F153" i="79" s="1"/>
  <c r="G153" i="79" s="1"/>
  <c r="E104" i="79"/>
  <c r="F104" i="79" s="1"/>
  <c r="E107" i="79"/>
  <c r="F107" i="79" s="1"/>
  <c r="E108" i="79"/>
  <c r="F108" i="79" s="1"/>
  <c r="E102" i="79"/>
  <c r="F102" i="79" s="1"/>
  <c r="E154" i="79"/>
  <c r="F154" i="79" s="1"/>
  <c r="G154" i="79" s="1"/>
  <c r="B155" i="79"/>
  <c r="E106" i="79"/>
  <c r="F106" i="79" s="1"/>
  <c r="E146" i="79"/>
  <c r="F146" i="79" s="1"/>
  <c r="G146" i="79" s="1"/>
  <c r="B147" i="79"/>
  <c r="E147" i="79" s="1"/>
  <c r="F147" i="79" s="1"/>
  <c r="G147" i="79" s="1"/>
  <c r="E148" i="79"/>
  <c r="F148" i="79" s="1"/>
  <c r="G148" i="79" s="1"/>
  <c r="E150" i="79"/>
  <c r="F150" i="79" s="1"/>
  <c r="G150" i="79" s="1"/>
  <c r="B151" i="79"/>
  <c r="E152" i="79"/>
  <c r="F152" i="79" s="1"/>
  <c r="G152" i="79" s="1"/>
  <c r="E99" i="79"/>
  <c r="F99" i="79" s="1"/>
  <c r="E197" i="85" l="1"/>
  <c r="F197" i="85" s="1"/>
  <c r="F185" i="88"/>
  <c r="E201" i="85"/>
  <c r="F201" i="85" s="1"/>
  <c r="E202" i="85"/>
  <c r="F202" i="85" s="1"/>
  <c r="F141" i="86"/>
  <c r="F99" i="83"/>
  <c r="F109" i="79"/>
  <c r="F109" i="82"/>
  <c r="E148" i="82"/>
  <c r="F148" i="82" s="1"/>
  <c r="G148" i="82" s="1"/>
  <c r="E200" i="85"/>
  <c r="F200" i="85" s="1"/>
  <c r="G186" i="88"/>
  <c r="F198" i="87"/>
  <c r="E205" i="87"/>
  <c r="F195" i="87"/>
  <c r="F203" i="87"/>
  <c r="F204" i="87"/>
  <c r="F200" i="87"/>
  <c r="F197" i="87"/>
  <c r="F201" i="87"/>
  <c r="F199" i="87"/>
  <c r="F196" i="87"/>
  <c r="F202" i="87"/>
  <c r="E182" i="86"/>
  <c r="E183" i="86"/>
  <c r="G141" i="86"/>
  <c r="E181" i="86"/>
  <c r="E184" i="86"/>
  <c r="E180" i="86"/>
  <c r="G156" i="85"/>
  <c r="E195" i="85"/>
  <c r="F156" i="85"/>
  <c r="E204" i="85"/>
  <c r="E198" i="85"/>
  <c r="E203" i="85"/>
  <c r="E196" i="85"/>
  <c r="E199" i="85"/>
  <c r="B182" i="83"/>
  <c r="E138" i="83"/>
  <c r="F138" i="83" s="1"/>
  <c r="G138" i="83" s="1"/>
  <c r="G140" i="83"/>
  <c r="E184" i="83"/>
  <c r="E200" i="82"/>
  <c r="E203" i="82"/>
  <c r="E199" i="82"/>
  <c r="G155" i="82"/>
  <c r="F156" i="82"/>
  <c r="E196" i="82"/>
  <c r="E202" i="82"/>
  <c r="E201" i="82"/>
  <c r="E198" i="82"/>
  <c r="E195" i="82"/>
  <c r="E204" i="82"/>
  <c r="E197" i="82"/>
  <c r="G140" i="81"/>
  <c r="F141" i="81"/>
  <c r="B180" i="81"/>
  <c r="B184" i="81"/>
  <c r="B181" i="81"/>
  <c r="F99" i="81"/>
  <c r="B196" i="79"/>
  <c r="B204" i="79"/>
  <c r="B200" i="79"/>
  <c r="E155" i="79"/>
  <c r="F155" i="79" s="1"/>
  <c r="E151" i="79"/>
  <c r="F151" i="79" s="1"/>
  <c r="G151" i="79" s="1"/>
  <c r="F141" i="83" l="1"/>
  <c r="E198" i="79"/>
  <c r="E202" i="79"/>
  <c r="F202" i="79" s="1"/>
  <c r="F205" i="87"/>
  <c r="G206" i="87"/>
  <c r="F184" i="86"/>
  <c r="F183" i="86"/>
  <c r="F181" i="86"/>
  <c r="E185" i="86"/>
  <c r="F180" i="86"/>
  <c r="F182" i="86"/>
  <c r="F199" i="85"/>
  <c r="F203" i="85"/>
  <c r="E205" i="85"/>
  <c r="F195" i="85"/>
  <c r="F204" i="85"/>
  <c r="F196" i="85"/>
  <c r="F198" i="85"/>
  <c r="F184" i="83"/>
  <c r="E182" i="83"/>
  <c r="E181" i="83"/>
  <c r="G141" i="83"/>
  <c r="E183" i="83"/>
  <c r="E180" i="83"/>
  <c r="F204" i="82"/>
  <c r="E205" i="82"/>
  <c r="F195" i="82"/>
  <c r="F202" i="82"/>
  <c r="G156" i="82"/>
  <c r="F203" i="82"/>
  <c r="F200" i="82"/>
  <c r="F199" i="82"/>
  <c r="F196" i="82"/>
  <c r="F197" i="82"/>
  <c r="F198" i="82"/>
  <c r="F201" i="82"/>
  <c r="E180" i="81"/>
  <c r="E183" i="81"/>
  <c r="E182" i="81"/>
  <c r="G141" i="81"/>
  <c r="E181" i="81"/>
  <c r="E184" i="81"/>
  <c r="F198" i="79"/>
  <c r="G155" i="79"/>
  <c r="F156" i="79"/>
  <c r="E204" i="79"/>
  <c r="E200" i="79"/>
  <c r="E196" i="79"/>
  <c r="E195" i="79"/>
  <c r="E201" i="79"/>
  <c r="E197" i="79"/>
  <c r="E199" i="79"/>
  <c r="E203" i="79"/>
  <c r="F185" i="86" l="1"/>
  <c r="G186" i="86"/>
  <c r="F205" i="85"/>
  <c r="G206" i="85"/>
  <c r="F182" i="83"/>
  <c r="F180" i="83"/>
  <c r="E185" i="83"/>
  <c r="F183" i="83"/>
  <c r="F181" i="83"/>
  <c r="F205" i="82"/>
  <c r="G206" i="82"/>
  <c r="E185" i="81"/>
  <c r="F180" i="81"/>
  <c r="F184" i="81"/>
  <c r="F183" i="81"/>
  <c r="F181" i="81"/>
  <c r="F182" i="81"/>
  <c r="F199" i="79"/>
  <c r="F201" i="79"/>
  <c r="F204" i="79"/>
  <c r="E205" i="79"/>
  <c r="F195" i="79"/>
  <c r="F200" i="79"/>
  <c r="G156" i="79"/>
  <c r="F196" i="79"/>
  <c r="F203" i="79"/>
  <c r="F197" i="79"/>
  <c r="E83" i="27"/>
  <c r="E125" i="27" s="1"/>
  <c r="D125" i="27" s="1"/>
  <c r="E82" i="27"/>
  <c r="E124" i="27" s="1"/>
  <c r="D124" i="27" s="1"/>
  <c r="C82" i="27"/>
  <c r="C124" i="27" s="1"/>
  <c r="E81" i="27"/>
  <c r="E123" i="27" s="1"/>
  <c r="D123" i="27" s="1"/>
  <c r="I103" i="20" s="1"/>
  <c r="J103" i="20" s="1"/>
  <c r="C81" i="27"/>
  <c r="C123" i="27" s="1"/>
  <c r="E80" i="27"/>
  <c r="E122" i="27" s="1"/>
  <c r="D122" i="27" s="1"/>
  <c r="I102" i="20" s="1"/>
  <c r="J102" i="20" s="1"/>
  <c r="C80" i="27"/>
  <c r="C122" i="27" s="1"/>
  <c r="E79" i="27"/>
  <c r="E121" i="27" s="1"/>
  <c r="D121" i="27" s="1"/>
  <c r="I101" i="20" s="1"/>
  <c r="J101" i="20" s="1"/>
  <c r="C79" i="27"/>
  <c r="C121" i="27" s="1"/>
  <c r="E78" i="27"/>
  <c r="E120" i="27" s="1"/>
  <c r="D120" i="27" s="1"/>
  <c r="I100" i="20" s="1"/>
  <c r="J100" i="20" s="1"/>
  <c r="C78" i="27"/>
  <c r="C120" i="27" s="1"/>
  <c r="E77" i="27"/>
  <c r="E119" i="27" s="1"/>
  <c r="D119" i="27" s="1"/>
  <c r="I99" i="20" s="1"/>
  <c r="J99" i="20" s="1"/>
  <c r="C77" i="27"/>
  <c r="C119" i="27" s="1"/>
  <c r="E76" i="27"/>
  <c r="E118" i="27" s="1"/>
  <c r="D118" i="27" s="1"/>
  <c r="I98" i="20" s="1"/>
  <c r="J98" i="20" s="1"/>
  <c r="C76" i="27"/>
  <c r="C118" i="27" s="1"/>
  <c r="E75" i="27"/>
  <c r="E117" i="27" s="1"/>
  <c r="D117" i="27" s="1"/>
  <c r="I97" i="20" s="1"/>
  <c r="J97" i="20" s="1"/>
  <c r="C75" i="27"/>
  <c r="C117" i="27" s="1"/>
  <c r="E74" i="27"/>
  <c r="E116" i="27" s="1"/>
  <c r="D116" i="27" s="1"/>
  <c r="I96" i="20" s="1"/>
  <c r="J96" i="20" s="1"/>
  <c r="C74" i="27"/>
  <c r="C116" i="27" s="1"/>
  <c r="E73" i="27"/>
  <c r="C73" i="27"/>
  <c r="E72" i="27"/>
  <c r="C72" i="27"/>
  <c r="E71" i="27"/>
  <c r="C71" i="27"/>
  <c r="E70" i="27"/>
  <c r="C70" i="27"/>
  <c r="E69" i="27"/>
  <c r="C69" i="27"/>
  <c r="E68" i="27"/>
  <c r="C68" i="27"/>
  <c r="E67" i="27"/>
  <c r="C67" i="27"/>
  <c r="E66" i="27"/>
  <c r="C66" i="27"/>
  <c r="E65" i="27"/>
  <c r="C65" i="27"/>
  <c r="E64" i="27"/>
  <c r="C64" i="27"/>
  <c r="E63" i="27"/>
  <c r="C63" i="27"/>
  <c r="E62" i="27"/>
  <c r="C62" i="27"/>
  <c r="E61" i="27"/>
  <c r="C61" i="27"/>
  <c r="E60" i="27"/>
  <c r="C60" i="27"/>
  <c r="E59" i="27"/>
  <c r="C59" i="27"/>
  <c r="E58" i="27"/>
  <c r="C58" i="27"/>
  <c r="E57" i="27"/>
  <c r="C57" i="27"/>
  <c r="E56" i="27"/>
  <c r="C56" i="27"/>
  <c r="E55" i="27"/>
  <c r="C55" i="27"/>
  <c r="E54" i="27"/>
  <c r="C54" i="27"/>
  <c r="E53" i="27"/>
  <c r="C53" i="27"/>
  <c r="E52" i="27"/>
  <c r="C52" i="27"/>
  <c r="E51" i="27"/>
  <c r="C51" i="27"/>
  <c r="E50" i="27"/>
  <c r="C50" i="27"/>
  <c r="E49" i="27"/>
  <c r="C49" i="27"/>
  <c r="E48" i="27"/>
  <c r="C48" i="27"/>
  <c r="E47" i="27"/>
  <c r="C47" i="27"/>
  <c r="E46" i="27"/>
  <c r="C46" i="27"/>
  <c r="E45" i="27"/>
  <c r="C45" i="27"/>
  <c r="E44" i="27"/>
  <c r="C44" i="27"/>
  <c r="E43" i="27"/>
  <c r="C43" i="27"/>
  <c r="E42" i="27"/>
  <c r="C42" i="27"/>
  <c r="E41" i="27"/>
  <c r="C41" i="27"/>
  <c r="E40" i="27"/>
  <c r="C40" i="27"/>
  <c r="E39" i="27"/>
  <c r="C39" i="27"/>
  <c r="E38" i="27"/>
  <c r="C38" i="27"/>
  <c r="E37" i="27"/>
  <c r="C37" i="27"/>
  <c r="E36" i="27"/>
  <c r="C36" i="27"/>
  <c r="E35" i="27"/>
  <c r="C35" i="27"/>
  <c r="E34" i="27"/>
  <c r="C34" i="27"/>
  <c r="E33" i="27"/>
  <c r="C33" i="27"/>
  <c r="E32" i="27"/>
  <c r="C32" i="27"/>
  <c r="E31" i="27"/>
  <c r="C31" i="27"/>
  <c r="E30" i="27"/>
  <c r="C30" i="27"/>
  <c r="E29" i="27"/>
  <c r="C29" i="27"/>
  <c r="E28" i="27"/>
  <c r="C28" i="27"/>
  <c r="E27" i="27"/>
  <c r="C27" i="27"/>
  <c r="E26" i="27"/>
  <c r="C26" i="27"/>
  <c r="E25" i="27"/>
  <c r="C25" i="27"/>
  <c r="E24" i="27"/>
  <c r="C24" i="27"/>
  <c r="E23" i="27"/>
  <c r="C23" i="27"/>
  <c r="E22" i="27"/>
  <c r="C22" i="27"/>
  <c r="E21" i="27"/>
  <c r="C21" i="27"/>
  <c r="E20" i="27"/>
  <c r="C20" i="27"/>
  <c r="E19" i="27"/>
  <c r="C19" i="27"/>
  <c r="E18" i="27"/>
  <c r="C18" i="27"/>
  <c r="E17" i="27"/>
  <c r="C17" i="27"/>
  <c r="E16" i="27"/>
  <c r="C16" i="27"/>
  <c r="E15" i="27"/>
  <c r="C15" i="27"/>
  <c r="E14" i="27"/>
  <c r="C14" i="27"/>
  <c r="F88" i="89"/>
  <c r="E13" i="27"/>
  <c r="E88" i="89" s="1"/>
  <c r="C13" i="27"/>
  <c r="C88" i="89" s="1"/>
  <c r="F87" i="89"/>
  <c r="E12" i="27"/>
  <c r="E87" i="89" s="1"/>
  <c r="C12" i="27"/>
  <c r="C87" i="89" s="1"/>
  <c r="F86" i="89"/>
  <c r="E11" i="27"/>
  <c r="C11" i="27"/>
  <c r="C86" i="89" s="1"/>
  <c r="F85" i="89"/>
  <c r="E10" i="27"/>
  <c r="E85" i="89" s="1"/>
  <c r="C10" i="27"/>
  <c r="C85" i="89" s="1"/>
  <c r="F84" i="89"/>
  <c r="E9" i="27"/>
  <c r="E84" i="89" s="1"/>
  <c r="C9" i="27"/>
  <c r="C84" i="89" s="1"/>
  <c r="F83" i="89"/>
  <c r="E8" i="27"/>
  <c r="C8" i="27"/>
  <c r="C83" i="89" s="1"/>
  <c r="E7" i="27"/>
  <c r="E82" i="89" s="1"/>
  <c r="C7" i="27"/>
  <c r="C82" i="89" s="1"/>
  <c r="F81" i="89"/>
  <c r="E6" i="27"/>
  <c r="E81" i="89" s="1"/>
  <c r="C6" i="27"/>
  <c r="C81" i="89" s="1"/>
  <c r="F80" i="89"/>
  <c r="E5" i="27"/>
  <c r="E80" i="89" s="1"/>
  <c r="C5" i="27"/>
  <c r="C80" i="89" s="1"/>
  <c r="F79" i="89"/>
  <c r="E4" i="27"/>
  <c r="E79" i="89" s="1"/>
  <c r="C4" i="27"/>
  <c r="C79" i="89" s="1"/>
  <c r="E177" i="73"/>
  <c r="J143" i="73"/>
  <c r="K136" i="73"/>
  <c r="G136" i="73"/>
  <c r="B98" i="73"/>
  <c r="B140" i="73" s="1"/>
  <c r="B184" i="73" s="1"/>
  <c r="B97" i="73"/>
  <c r="B96" i="73"/>
  <c r="B138" i="73" s="1"/>
  <c r="B182" i="73" s="1"/>
  <c r="B95" i="73"/>
  <c r="B94" i="73"/>
  <c r="E192" i="72"/>
  <c r="J158" i="72"/>
  <c r="B108" i="72"/>
  <c r="B107" i="72"/>
  <c r="B106" i="72"/>
  <c r="B153" i="72" s="1"/>
  <c r="B202" i="72" s="1"/>
  <c r="B105" i="72"/>
  <c r="B104" i="72"/>
  <c r="B151" i="72" s="1"/>
  <c r="B200" i="72" s="1"/>
  <c r="B103" i="72"/>
  <c r="B102" i="72"/>
  <c r="B149" i="72" s="1"/>
  <c r="B198" i="72" s="1"/>
  <c r="B101" i="72"/>
  <c r="B100" i="72"/>
  <c r="B147" i="72" s="1"/>
  <c r="B196" i="72" s="1"/>
  <c r="B99" i="72"/>
  <c r="E177" i="71"/>
  <c r="J143" i="71"/>
  <c r="K136" i="71"/>
  <c r="G136" i="71"/>
  <c r="B98" i="71"/>
  <c r="B97" i="71"/>
  <c r="B139" i="71" s="1"/>
  <c r="B96" i="71"/>
  <c r="B95" i="71"/>
  <c r="B137" i="71" s="1"/>
  <c r="B94" i="71"/>
  <c r="E192" i="69"/>
  <c r="J158" i="69"/>
  <c r="B108" i="69"/>
  <c r="B155" i="69" s="1"/>
  <c r="B107" i="69"/>
  <c r="B106" i="69"/>
  <c r="B153" i="69" s="1"/>
  <c r="B202" i="69" s="1"/>
  <c r="B105" i="69"/>
  <c r="B104" i="69"/>
  <c r="B103" i="69"/>
  <c r="B102" i="69"/>
  <c r="B149" i="69" s="1"/>
  <c r="B198" i="69" s="1"/>
  <c r="B101" i="69"/>
  <c r="B100" i="69"/>
  <c r="B147" i="69" s="1"/>
  <c r="B99" i="69"/>
  <c r="K29" i="70"/>
  <c r="K31" i="70" s="1"/>
  <c r="P23" i="68"/>
  <c r="O23" i="68"/>
  <c r="N23" i="68"/>
  <c r="M23" i="68"/>
  <c r="L23" i="68"/>
  <c r="K23" i="68"/>
  <c r="J23" i="68"/>
  <c r="I23" i="68"/>
  <c r="H23" i="68"/>
  <c r="G23" i="68"/>
  <c r="F23" i="68"/>
  <c r="E23" i="68"/>
  <c r="D23" i="68"/>
  <c r="C23" i="68"/>
  <c r="B23" i="68"/>
  <c r="P22" i="68"/>
  <c r="O22" i="68"/>
  <c r="N22" i="68"/>
  <c r="M22" i="68"/>
  <c r="L22" i="68"/>
  <c r="K22" i="68"/>
  <c r="J22" i="68"/>
  <c r="I22" i="68"/>
  <c r="H22" i="68"/>
  <c r="G22" i="68"/>
  <c r="F22" i="68"/>
  <c r="E22" i="68"/>
  <c r="D22" i="68"/>
  <c r="C22" i="68"/>
  <c r="B22" i="68"/>
  <c r="P21" i="68"/>
  <c r="O21" i="68"/>
  <c r="N21" i="68"/>
  <c r="M21" i="68"/>
  <c r="L21" i="68"/>
  <c r="K21" i="68"/>
  <c r="J21" i="68"/>
  <c r="I21" i="68"/>
  <c r="H21" i="68"/>
  <c r="G21" i="68"/>
  <c r="F21" i="68"/>
  <c r="E21" i="68"/>
  <c r="D21" i="68"/>
  <c r="C21" i="68"/>
  <c r="B21" i="68"/>
  <c r="P20" i="68"/>
  <c r="O20" i="68"/>
  <c r="N20" i="68"/>
  <c r="M20" i="68"/>
  <c r="L20" i="68"/>
  <c r="K20" i="68"/>
  <c r="J20" i="68"/>
  <c r="I20" i="68"/>
  <c r="H20" i="68"/>
  <c r="G20" i="68"/>
  <c r="F20" i="68"/>
  <c r="E20" i="68"/>
  <c r="D20" i="68"/>
  <c r="C20" i="68"/>
  <c r="B20" i="68"/>
  <c r="J15" i="68"/>
  <c r="D12" i="68"/>
  <c r="P11" i="68"/>
  <c r="O11" i="68"/>
  <c r="M11" i="68"/>
  <c r="L11" i="68"/>
  <c r="K11" i="68"/>
  <c r="J11" i="68"/>
  <c r="D11" i="68"/>
  <c r="B24" i="22"/>
  <c r="B34" i="22" s="1"/>
  <c r="B44" i="22" s="1"/>
  <c r="B54" i="22" s="1"/>
  <c r="B64" i="22" s="1"/>
  <c r="B74" i="22" s="1"/>
  <c r="B84" i="22" s="1"/>
  <c r="B23" i="22"/>
  <c r="B33" i="22" s="1"/>
  <c r="B43" i="22" s="1"/>
  <c r="B53" i="22" s="1"/>
  <c r="B63" i="22" s="1"/>
  <c r="B73" i="22" s="1"/>
  <c r="B83" i="22" s="1"/>
  <c r="B22" i="22"/>
  <c r="B32" i="22" s="1"/>
  <c r="B42" i="22" s="1"/>
  <c r="B52" i="22" s="1"/>
  <c r="B62" i="22" s="1"/>
  <c r="B72" i="22" s="1"/>
  <c r="B82" i="22" s="1"/>
  <c r="B21" i="22"/>
  <c r="B31" i="22" s="1"/>
  <c r="B41" i="22" s="1"/>
  <c r="B51" i="22" s="1"/>
  <c r="B61" i="22" s="1"/>
  <c r="B71" i="22" s="1"/>
  <c r="B81" i="22" s="1"/>
  <c r="B20" i="22"/>
  <c r="B30" i="22" s="1"/>
  <c r="B40" i="22" s="1"/>
  <c r="B50" i="22" s="1"/>
  <c r="B60" i="22" s="1"/>
  <c r="B70" i="22" s="1"/>
  <c r="B80" i="22" s="1"/>
  <c r="B19" i="22"/>
  <c r="B29" i="22" s="1"/>
  <c r="B39" i="22" s="1"/>
  <c r="B49" i="22" s="1"/>
  <c r="B59" i="22" s="1"/>
  <c r="B69" i="22" s="1"/>
  <c r="B79" i="22" s="1"/>
  <c r="B18" i="22"/>
  <c r="B28" i="22" s="1"/>
  <c r="B38" i="22" s="1"/>
  <c r="B48" i="22" s="1"/>
  <c r="B58" i="22" s="1"/>
  <c r="B68" i="22" s="1"/>
  <c r="B78" i="22" s="1"/>
  <c r="B17" i="22"/>
  <c r="B27" i="22" s="1"/>
  <c r="B37" i="22" s="1"/>
  <c r="B47" i="22" s="1"/>
  <c r="B57" i="22" s="1"/>
  <c r="B67" i="22" s="1"/>
  <c r="B77" i="22" s="1"/>
  <c r="B16" i="22"/>
  <c r="B26" i="22" s="1"/>
  <c r="B36" i="22" s="1"/>
  <c r="B46" i="22" s="1"/>
  <c r="B56" i="22" s="1"/>
  <c r="B66" i="22" s="1"/>
  <c r="B76" i="22" s="1"/>
  <c r="B15" i="22"/>
  <c r="B25" i="22" s="1"/>
  <c r="B35" i="22" s="1"/>
  <c r="B45" i="22" s="1"/>
  <c r="B55" i="22" s="1"/>
  <c r="B65" i="22" s="1"/>
  <c r="B75" i="22" s="1"/>
  <c r="G127" i="20"/>
  <c r="G126" i="20"/>
  <c r="G125" i="20"/>
  <c r="G124" i="20"/>
  <c r="G123" i="20"/>
  <c r="G122" i="20"/>
  <c r="G121" i="20"/>
  <c r="G120" i="20"/>
  <c r="G119" i="20"/>
  <c r="G118" i="20"/>
  <c r="F127" i="20"/>
  <c r="F145" i="20" s="1"/>
  <c r="F126" i="20"/>
  <c r="F125" i="20"/>
  <c r="F124" i="20"/>
  <c r="F123" i="20"/>
  <c r="F122" i="20"/>
  <c r="F121" i="20"/>
  <c r="F120" i="20"/>
  <c r="F119" i="20"/>
  <c r="F118" i="20"/>
  <c r="D100" i="72"/>
  <c r="B23" i="20"/>
  <c r="B33" i="20" s="1"/>
  <c r="B43" i="20" s="1"/>
  <c r="B53" i="20" s="1"/>
  <c r="B63" i="20" s="1"/>
  <c r="B73" i="20" s="1"/>
  <c r="B83" i="20" s="1"/>
  <c r="D10" i="71"/>
  <c r="B22" i="20"/>
  <c r="B32" i="20" s="1"/>
  <c r="B42" i="20" s="1"/>
  <c r="B52" i="20" s="1"/>
  <c r="B62" i="20" s="1"/>
  <c r="B72" i="20" s="1"/>
  <c r="B82" i="20" s="1"/>
  <c r="B21" i="20"/>
  <c r="B31" i="20" s="1"/>
  <c r="B41" i="20" s="1"/>
  <c r="B51" i="20" s="1"/>
  <c r="B61" i="20" s="1"/>
  <c r="B71" i="20" s="1"/>
  <c r="B81" i="20" s="1"/>
  <c r="B20" i="20"/>
  <c r="B30" i="20" s="1"/>
  <c r="B40" i="20" s="1"/>
  <c r="B50" i="20" s="1"/>
  <c r="B60" i="20" s="1"/>
  <c r="B70" i="20" s="1"/>
  <c r="B80" i="20" s="1"/>
  <c r="B19" i="20"/>
  <c r="B29" i="20" s="1"/>
  <c r="B39" i="20" s="1"/>
  <c r="B49" i="20" s="1"/>
  <c r="B59" i="20" s="1"/>
  <c r="B69" i="20" s="1"/>
  <c r="B79" i="20" s="1"/>
  <c r="B18" i="20"/>
  <c r="B28" i="20" s="1"/>
  <c r="B38" i="20" s="1"/>
  <c r="B48" i="20" s="1"/>
  <c r="B58" i="20" s="1"/>
  <c r="B68" i="20" s="1"/>
  <c r="B78" i="20" s="1"/>
  <c r="B17" i="20"/>
  <c r="B27" i="20" s="1"/>
  <c r="B37" i="20" s="1"/>
  <c r="B47" i="20" s="1"/>
  <c r="B57" i="20" s="1"/>
  <c r="B67" i="20" s="1"/>
  <c r="B77" i="20" s="1"/>
  <c r="B16" i="20"/>
  <c r="B26" i="20" s="1"/>
  <c r="B36" i="20" s="1"/>
  <c r="B46" i="20" s="1"/>
  <c r="B56" i="20" s="1"/>
  <c r="B66" i="20" s="1"/>
  <c r="B76" i="20" s="1"/>
  <c r="B15" i="20"/>
  <c r="B25" i="20" s="1"/>
  <c r="B35" i="20" s="1"/>
  <c r="B45" i="20" s="1"/>
  <c r="B55" i="20" s="1"/>
  <c r="B65" i="20" s="1"/>
  <c r="B75" i="20" s="1"/>
  <c r="B14" i="20"/>
  <c r="B24" i="20" s="1"/>
  <c r="B34" i="20" s="1"/>
  <c r="B44" i="20" s="1"/>
  <c r="B54" i="20" s="1"/>
  <c r="B64" i="20" s="1"/>
  <c r="B74" i="20" s="1"/>
  <c r="G19" i="66"/>
  <c r="D19" i="66"/>
  <c r="C19" i="66"/>
  <c r="G18" i="66"/>
  <c r="D18" i="66"/>
  <c r="C18" i="66"/>
  <c r="G17" i="66"/>
  <c r="D17" i="66"/>
  <c r="C17" i="66"/>
  <c r="F16" i="89"/>
  <c r="D16" i="89"/>
  <c r="F15" i="89"/>
  <c r="D15" i="89"/>
  <c r="F14" i="89"/>
  <c r="D14" i="89"/>
  <c r="F13" i="89"/>
  <c r="D13" i="89"/>
  <c r="F12" i="89"/>
  <c r="D12" i="89"/>
  <c r="F11" i="89"/>
  <c r="D11" i="89"/>
  <c r="F10" i="89"/>
  <c r="D10" i="89"/>
  <c r="F9" i="89"/>
  <c r="D9" i="89"/>
  <c r="F8" i="89"/>
  <c r="D8" i="89"/>
  <c r="F7" i="89"/>
  <c r="D7" i="89"/>
  <c r="R21" i="68" l="1"/>
  <c r="B106" i="20"/>
  <c r="B86" i="20"/>
  <c r="B96" i="20" s="1"/>
  <c r="B110" i="20"/>
  <c r="B90" i="20"/>
  <c r="B100" i="20" s="1"/>
  <c r="B113" i="20"/>
  <c r="B93" i="20"/>
  <c r="B103" i="20" s="1"/>
  <c r="B104" i="20"/>
  <c r="B84" i="20"/>
  <c r="B94" i="20" s="1"/>
  <c r="B107" i="20"/>
  <c r="B87" i="20"/>
  <c r="B97" i="20" s="1"/>
  <c r="B111" i="20"/>
  <c r="B91" i="20"/>
  <c r="B101" i="20" s="1"/>
  <c r="B108" i="20"/>
  <c r="B88" i="20"/>
  <c r="B98" i="20" s="1"/>
  <c r="B112" i="20"/>
  <c r="B92" i="20"/>
  <c r="B102" i="20" s="1"/>
  <c r="B105" i="20"/>
  <c r="B85" i="20"/>
  <c r="B95" i="20" s="1"/>
  <c r="B109" i="20"/>
  <c r="B89" i="20"/>
  <c r="B99" i="20" s="1"/>
  <c r="R23" i="68"/>
  <c r="R22" i="68"/>
  <c r="G117" i="27"/>
  <c r="H117" i="27"/>
  <c r="H121" i="27"/>
  <c r="G121" i="27"/>
  <c r="G116" i="27"/>
  <c r="H116" i="27"/>
  <c r="G118" i="27"/>
  <c r="H118" i="27"/>
  <c r="G120" i="27"/>
  <c r="H120" i="27"/>
  <c r="G122" i="27"/>
  <c r="H122" i="27"/>
  <c r="G124" i="27"/>
  <c r="H124" i="27"/>
  <c r="G119" i="27"/>
  <c r="H119" i="27"/>
  <c r="G123" i="27"/>
  <c r="H123" i="27"/>
  <c r="G125" i="27"/>
  <c r="H125" i="27"/>
  <c r="C27" i="70"/>
  <c r="C33" i="70" s="1"/>
  <c r="D10" i="73"/>
  <c r="D97" i="73" s="1"/>
  <c r="D121" i="20"/>
  <c r="D17" i="72"/>
  <c r="H121" i="20"/>
  <c r="H123" i="20"/>
  <c r="D7" i="88"/>
  <c r="H125" i="20"/>
  <c r="D9" i="88"/>
  <c r="H127" i="20"/>
  <c r="H145" i="20" s="1"/>
  <c r="D11" i="88"/>
  <c r="H118" i="20"/>
  <c r="I148" i="20"/>
  <c r="H119" i="20"/>
  <c r="D100" i="87"/>
  <c r="H100" i="87" s="1"/>
  <c r="H122" i="20"/>
  <c r="H124" i="20"/>
  <c r="D8" i="88"/>
  <c r="H126" i="20"/>
  <c r="D10" i="88"/>
  <c r="I118" i="20"/>
  <c r="H120" i="20"/>
  <c r="D15" i="27"/>
  <c r="I15" i="20" s="1"/>
  <c r="J15" i="20" s="1"/>
  <c r="D38" i="27"/>
  <c r="I38" i="20" s="1"/>
  <c r="J38" i="20" s="1"/>
  <c r="D54" i="27"/>
  <c r="I54" i="20" s="1"/>
  <c r="D16" i="27"/>
  <c r="D24" i="27"/>
  <c r="I24" i="20" s="1"/>
  <c r="J24" i="20" s="1"/>
  <c r="D28" i="27"/>
  <c r="I28" i="20" s="1"/>
  <c r="J28" i="20" s="1"/>
  <c r="B93" i="22"/>
  <c r="B85" i="22"/>
  <c r="B90" i="22"/>
  <c r="B88" i="22"/>
  <c r="B91" i="22"/>
  <c r="B89" i="22"/>
  <c r="B87" i="22"/>
  <c r="B94" i="22"/>
  <c r="B86" i="22"/>
  <c r="B92" i="22"/>
  <c r="G144" i="20"/>
  <c r="G148" i="20"/>
  <c r="C124" i="20"/>
  <c r="D8" i="71"/>
  <c r="D95" i="71" s="1"/>
  <c r="C125" i="20"/>
  <c r="D9" i="71"/>
  <c r="C127" i="20"/>
  <c r="D138" i="20" s="1"/>
  <c r="D11" i="71"/>
  <c r="E77" i="71" s="1"/>
  <c r="E119" i="20"/>
  <c r="C118" i="20"/>
  <c r="F7" i="69"/>
  <c r="H7" i="69" s="1"/>
  <c r="F9" i="72"/>
  <c r="H9" i="72" s="1"/>
  <c r="C120" i="20"/>
  <c r="C126" i="20"/>
  <c r="C122" i="20"/>
  <c r="F11" i="69"/>
  <c r="H11" i="69" s="1"/>
  <c r="C123" i="20"/>
  <c r="D7" i="71"/>
  <c r="D94" i="71" s="1"/>
  <c r="C119" i="20"/>
  <c r="D97" i="71"/>
  <c r="E118" i="20"/>
  <c r="C121" i="20"/>
  <c r="E127" i="20"/>
  <c r="E146" i="20" s="1"/>
  <c r="D108" i="69"/>
  <c r="F15" i="72"/>
  <c r="H15" i="72" s="1"/>
  <c r="D106" i="72"/>
  <c r="E125" i="20"/>
  <c r="F144" i="20"/>
  <c r="F147" i="20"/>
  <c r="F146" i="20"/>
  <c r="F129" i="20"/>
  <c r="G128" i="20"/>
  <c r="B155" i="72"/>
  <c r="B204" i="72" s="1"/>
  <c r="D108" i="72"/>
  <c r="F128" i="20"/>
  <c r="E121" i="20"/>
  <c r="B196" i="69"/>
  <c r="B151" i="69"/>
  <c r="B200" i="69" s="1"/>
  <c r="B204" i="69"/>
  <c r="K80" i="27"/>
  <c r="D105" i="27"/>
  <c r="I85" i="20" s="1"/>
  <c r="L110" i="27"/>
  <c r="E123" i="20"/>
  <c r="D104" i="72"/>
  <c r="D27" i="27"/>
  <c r="I27" i="20" s="1"/>
  <c r="J27" i="20" s="1"/>
  <c r="D59" i="27"/>
  <c r="I59" i="20" s="1"/>
  <c r="J59" i="20" s="1"/>
  <c r="D63" i="27"/>
  <c r="I63" i="20" s="1"/>
  <c r="J63" i="20" s="1"/>
  <c r="L107" i="27"/>
  <c r="D118" i="20"/>
  <c r="N12" i="68"/>
  <c r="F10" i="69"/>
  <c r="H10" i="69" s="1"/>
  <c r="B148" i="69"/>
  <c r="D101" i="69"/>
  <c r="D122" i="20"/>
  <c r="D126" i="20"/>
  <c r="D7" i="73"/>
  <c r="F12" i="72"/>
  <c r="H12" i="72" s="1"/>
  <c r="E120" i="20"/>
  <c r="E101" i="69"/>
  <c r="F101" i="69" s="1"/>
  <c r="D198" i="69"/>
  <c r="H198" i="69" s="1"/>
  <c r="B181" i="71"/>
  <c r="B148" i="72"/>
  <c r="E148" i="72" s="1"/>
  <c r="F148" i="72" s="1"/>
  <c r="G148" i="72" s="1"/>
  <c r="D101" i="72"/>
  <c r="E101" i="72"/>
  <c r="F101" i="72" s="1"/>
  <c r="B152" i="72"/>
  <c r="D105" i="72"/>
  <c r="E105" i="72"/>
  <c r="F105" i="72" s="1"/>
  <c r="K11" i="27"/>
  <c r="E91" i="89"/>
  <c r="N11" i="68"/>
  <c r="E155" i="69"/>
  <c r="F155" i="69" s="1"/>
  <c r="E153" i="69"/>
  <c r="F153" i="69" s="1"/>
  <c r="G153" i="69" s="1"/>
  <c r="E149" i="69"/>
  <c r="F149" i="69" s="1"/>
  <c r="G149" i="69" s="1"/>
  <c r="E147" i="69"/>
  <c r="F147" i="69" s="1"/>
  <c r="G147" i="69" s="1"/>
  <c r="E106" i="69"/>
  <c r="F106" i="69" s="1"/>
  <c r="E102" i="69"/>
  <c r="F102" i="69" s="1"/>
  <c r="B146" i="69"/>
  <c r="D120" i="20"/>
  <c r="D102" i="69"/>
  <c r="B152" i="69"/>
  <c r="E152" i="69" s="1"/>
  <c r="F152" i="69" s="1"/>
  <c r="G152" i="69" s="1"/>
  <c r="D204" i="72"/>
  <c r="D124" i="20"/>
  <c r="F8" i="72"/>
  <c r="H8" i="72" s="1"/>
  <c r="D8" i="73"/>
  <c r="F13" i="72"/>
  <c r="H13" i="72" s="1"/>
  <c r="D11" i="73"/>
  <c r="F16" i="72"/>
  <c r="H16" i="72" s="1"/>
  <c r="E82" i="72"/>
  <c r="G129" i="20"/>
  <c r="E105" i="69"/>
  <c r="F105" i="69" s="1"/>
  <c r="D149" i="69"/>
  <c r="B183" i="71"/>
  <c r="D139" i="71"/>
  <c r="E48" i="72"/>
  <c r="E155" i="72"/>
  <c r="F155" i="72" s="1"/>
  <c r="E153" i="72"/>
  <c r="F153" i="72" s="1"/>
  <c r="G153" i="72" s="1"/>
  <c r="E151" i="72"/>
  <c r="F151" i="72" s="1"/>
  <c r="G151" i="72" s="1"/>
  <c r="E149" i="72"/>
  <c r="F149" i="72" s="1"/>
  <c r="G149" i="72" s="1"/>
  <c r="E147" i="72"/>
  <c r="F147" i="72" s="1"/>
  <c r="G147" i="72" s="1"/>
  <c r="E106" i="72"/>
  <c r="F106" i="72" s="1"/>
  <c r="E102" i="72"/>
  <c r="F102" i="72" s="1"/>
  <c r="D99" i="72"/>
  <c r="B146" i="72"/>
  <c r="E146" i="72" s="1"/>
  <c r="F146" i="72" s="1"/>
  <c r="G146" i="72" s="1"/>
  <c r="E99" i="72"/>
  <c r="F99" i="72" s="1"/>
  <c r="D103" i="72"/>
  <c r="B150" i="72"/>
  <c r="E150" i="72" s="1"/>
  <c r="F150" i="72" s="1"/>
  <c r="G150" i="72" s="1"/>
  <c r="E103" i="72"/>
  <c r="F103" i="72" s="1"/>
  <c r="D107" i="72"/>
  <c r="B154" i="72"/>
  <c r="E154" i="72" s="1"/>
  <c r="F154" i="72" s="1"/>
  <c r="G154" i="72" s="1"/>
  <c r="E107" i="72"/>
  <c r="F107" i="72" s="1"/>
  <c r="E122" i="20"/>
  <c r="G147" i="20"/>
  <c r="G146" i="20"/>
  <c r="G145" i="20"/>
  <c r="I11" i="68"/>
  <c r="J28" i="68"/>
  <c r="B150" i="69"/>
  <c r="B154" i="69"/>
  <c r="F7" i="72"/>
  <c r="H7" i="72" s="1"/>
  <c r="D196" i="72"/>
  <c r="D123" i="20"/>
  <c r="E124" i="20"/>
  <c r="E126" i="20"/>
  <c r="I12" i="68"/>
  <c r="E99" i="69"/>
  <c r="F99" i="69" s="1"/>
  <c r="E103" i="69"/>
  <c r="F103" i="69" s="1"/>
  <c r="E107" i="69"/>
  <c r="F107" i="69" s="1"/>
  <c r="B136" i="71"/>
  <c r="E139" i="71"/>
  <c r="F139" i="71" s="1"/>
  <c r="G139" i="71" s="1"/>
  <c r="E137" i="71"/>
  <c r="F137" i="71" s="1"/>
  <c r="G137" i="71" s="1"/>
  <c r="E94" i="71"/>
  <c r="F94" i="71" s="1"/>
  <c r="E96" i="71"/>
  <c r="F96" i="71" s="1"/>
  <c r="E98" i="71"/>
  <c r="F98" i="71" s="1"/>
  <c r="B138" i="71"/>
  <c r="E138" i="71" s="1"/>
  <c r="F138" i="71" s="1"/>
  <c r="G138" i="71" s="1"/>
  <c r="B140" i="71"/>
  <c r="D9" i="73"/>
  <c r="F14" i="72"/>
  <c r="H14" i="72" s="1"/>
  <c r="D147" i="72"/>
  <c r="D151" i="72"/>
  <c r="D202" i="72"/>
  <c r="H202" i="72" s="1"/>
  <c r="D155" i="72"/>
  <c r="D200" i="72"/>
  <c r="B137" i="73"/>
  <c r="E95" i="73"/>
  <c r="F95" i="73" s="1"/>
  <c r="B139" i="73"/>
  <c r="E139" i="73" s="1"/>
  <c r="F139" i="73" s="1"/>
  <c r="G139" i="73" s="1"/>
  <c r="E97" i="73"/>
  <c r="F97" i="73" s="1"/>
  <c r="C89" i="89"/>
  <c r="H17" i="66"/>
  <c r="H18" i="66"/>
  <c r="H19" i="66"/>
  <c r="D127" i="20"/>
  <c r="F148" i="20"/>
  <c r="E100" i="69"/>
  <c r="F100" i="69" s="1"/>
  <c r="E104" i="69"/>
  <c r="F104" i="69" s="1"/>
  <c r="E108" i="69"/>
  <c r="F108" i="69" s="1"/>
  <c r="E97" i="71"/>
  <c r="F97" i="71" s="1"/>
  <c r="D153" i="72"/>
  <c r="L67" i="27"/>
  <c r="D119" i="20"/>
  <c r="D125" i="20"/>
  <c r="E95" i="71"/>
  <c r="F95" i="71" s="1"/>
  <c r="K48" i="27"/>
  <c r="E100" i="72"/>
  <c r="F100" i="72" s="1"/>
  <c r="E104" i="72"/>
  <c r="F104" i="72" s="1"/>
  <c r="E108" i="72"/>
  <c r="F108" i="72" s="1"/>
  <c r="E94" i="73"/>
  <c r="F94" i="73" s="1"/>
  <c r="E98" i="73"/>
  <c r="F98" i="73" s="1"/>
  <c r="B136" i="73"/>
  <c r="E136" i="73" s="1"/>
  <c r="E137" i="73"/>
  <c r="F137" i="73" s="1"/>
  <c r="G137" i="73" s="1"/>
  <c r="E138" i="73"/>
  <c r="F138" i="73" s="1"/>
  <c r="G138" i="73" s="1"/>
  <c r="E140" i="73"/>
  <c r="F140" i="73" s="1"/>
  <c r="D8" i="27"/>
  <c r="I8" i="20" s="1"/>
  <c r="J8" i="20" s="1"/>
  <c r="E83" i="89"/>
  <c r="F90" i="89"/>
  <c r="C91" i="89"/>
  <c r="D22" i="27"/>
  <c r="I22" i="20" s="1"/>
  <c r="J22" i="20" s="1"/>
  <c r="L39" i="27"/>
  <c r="D43" i="27"/>
  <c r="I43" i="20" s="1"/>
  <c r="J43" i="20" s="1"/>
  <c r="D47" i="27"/>
  <c r="I47" i="20" s="1"/>
  <c r="J47" i="20" s="1"/>
  <c r="D51" i="27"/>
  <c r="I51" i="20" s="1"/>
  <c r="J51" i="20" s="1"/>
  <c r="K56" i="27"/>
  <c r="D113" i="27"/>
  <c r="I93" i="20" s="1"/>
  <c r="J93" i="20" s="1"/>
  <c r="E96" i="73"/>
  <c r="F96" i="73" s="1"/>
  <c r="L7" i="27"/>
  <c r="F82" i="89"/>
  <c r="F89" i="89" s="1"/>
  <c r="C90" i="89"/>
  <c r="F91" i="89"/>
  <c r="D19" i="27"/>
  <c r="I19" i="20" s="1"/>
  <c r="J19" i="20" s="1"/>
  <c r="D31" i="27"/>
  <c r="I31" i="20" s="1"/>
  <c r="J31" i="20" s="1"/>
  <c r="D35" i="27"/>
  <c r="I35" i="20" s="1"/>
  <c r="D40" i="27"/>
  <c r="I40" i="20" s="1"/>
  <c r="J40" i="20" s="1"/>
  <c r="D44" i="27"/>
  <c r="I44" i="20" s="1"/>
  <c r="D75" i="27"/>
  <c r="I75" i="20" s="1"/>
  <c r="D79" i="27"/>
  <c r="I79" i="20" s="1"/>
  <c r="J79" i="20" s="1"/>
  <c r="D83" i="27"/>
  <c r="I83" i="20" s="1"/>
  <c r="J83" i="20" s="1"/>
  <c r="F185" i="81"/>
  <c r="G186" i="83"/>
  <c r="F185" i="83"/>
  <c r="G186" i="81"/>
  <c r="F205" i="79"/>
  <c r="G206" i="79"/>
  <c r="K60" i="27"/>
  <c r="K68" i="27"/>
  <c r="K72" i="27"/>
  <c r="K106" i="27"/>
  <c r="K24" i="27"/>
  <c r="K27" i="27"/>
  <c r="K36" i="27"/>
  <c r="K43" i="27"/>
  <c r="K52" i="27"/>
  <c r="K59" i="27"/>
  <c r="D67" i="27"/>
  <c r="I67" i="20" s="1"/>
  <c r="J67" i="20" s="1"/>
  <c r="K76" i="27"/>
  <c r="L111" i="27"/>
  <c r="K4" i="27"/>
  <c r="K8" i="27"/>
  <c r="D11" i="27"/>
  <c r="I11" i="20" s="1"/>
  <c r="J11" i="20" s="1"/>
  <c r="D12" i="27"/>
  <c r="I12" i="20" s="1"/>
  <c r="J12" i="20" s="1"/>
  <c r="K20" i="27"/>
  <c r="K28" i="27"/>
  <c r="D32" i="27"/>
  <c r="I32" i="20" s="1"/>
  <c r="J32" i="20" s="1"/>
  <c r="L51" i="27"/>
  <c r="D109" i="27"/>
  <c r="I89" i="20" s="1"/>
  <c r="J89" i="20" s="1"/>
  <c r="K112" i="27"/>
  <c r="L6" i="27"/>
  <c r="K14" i="27"/>
  <c r="D14" i="27"/>
  <c r="I14" i="20" s="1"/>
  <c r="J14" i="20" s="1"/>
  <c r="D34" i="27"/>
  <c r="I34" i="20" s="1"/>
  <c r="K39" i="27"/>
  <c r="D39" i="27"/>
  <c r="I39" i="20" s="1"/>
  <c r="J39" i="20" s="1"/>
  <c r="K71" i="27"/>
  <c r="D71" i="27"/>
  <c r="I71" i="20" s="1"/>
  <c r="J71" i="20" s="1"/>
  <c r="D110" i="27"/>
  <c r="I90" i="20" s="1"/>
  <c r="J90" i="20" s="1"/>
  <c r="K110" i="27"/>
  <c r="D6" i="27"/>
  <c r="I6" i="20" s="1"/>
  <c r="J6" i="20" s="1"/>
  <c r="K7" i="27"/>
  <c r="D7" i="27"/>
  <c r="I7" i="20" s="1"/>
  <c r="J7" i="20" s="1"/>
  <c r="K16" i="27"/>
  <c r="K26" i="27"/>
  <c r="D26" i="27"/>
  <c r="I26" i="20" s="1"/>
  <c r="J26" i="20" s="1"/>
  <c r="L38" i="27"/>
  <c r="K40" i="27"/>
  <c r="K46" i="27"/>
  <c r="D46" i="27"/>
  <c r="I46" i="20" s="1"/>
  <c r="J46" i="20" s="1"/>
  <c r="L70" i="27"/>
  <c r="D70" i="27"/>
  <c r="I70" i="20" s="1"/>
  <c r="J70" i="20" s="1"/>
  <c r="K78" i="27"/>
  <c r="D78" i="27"/>
  <c r="I78" i="20" s="1"/>
  <c r="J78" i="20" s="1"/>
  <c r="K12" i="27"/>
  <c r="K18" i="27"/>
  <c r="D18" i="27"/>
  <c r="I18" i="20" s="1"/>
  <c r="J18" i="20" s="1"/>
  <c r="K23" i="27"/>
  <c r="D23" i="27"/>
  <c r="I23" i="20" s="1"/>
  <c r="J23" i="20" s="1"/>
  <c r="K32" i="27"/>
  <c r="K42" i="27"/>
  <c r="D42" i="27"/>
  <c r="I42" i="20" s="1"/>
  <c r="J42" i="20" s="1"/>
  <c r="K62" i="27"/>
  <c r="D62" i="27"/>
  <c r="I62" i="20" s="1"/>
  <c r="J62" i="20" s="1"/>
  <c r="K82" i="27"/>
  <c r="D82" i="27"/>
  <c r="I82" i="20" s="1"/>
  <c r="J82" i="20" s="1"/>
  <c r="K58" i="27"/>
  <c r="D58" i="27"/>
  <c r="I58" i="20" s="1"/>
  <c r="J58" i="20" s="1"/>
  <c r="L106" i="27"/>
  <c r="D106" i="27"/>
  <c r="I86" i="20" s="1"/>
  <c r="J86" i="20" s="1"/>
  <c r="K10" i="27"/>
  <c r="D10" i="27"/>
  <c r="I10" i="20" s="1"/>
  <c r="J10" i="20" s="1"/>
  <c r="K19" i="27"/>
  <c r="L22" i="27"/>
  <c r="L23" i="27"/>
  <c r="K30" i="27"/>
  <c r="D30" i="27"/>
  <c r="I30" i="20" s="1"/>
  <c r="J30" i="20" s="1"/>
  <c r="K50" i="27"/>
  <c r="D50" i="27"/>
  <c r="I50" i="20" s="1"/>
  <c r="J50" i="20" s="1"/>
  <c r="D55" i="27"/>
  <c r="I55" i="20" s="1"/>
  <c r="K66" i="27"/>
  <c r="D66" i="27"/>
  <c r="I66" i="20" s="1"/>
  <c r="J66" i="20" s="1"/>
  <c r="D74" i="27"/>
  <c r="I74" i="20" s="1"/>
  <c r="L71" i="27"/>
  <c r="K6" i="27"/>
  <c r="L11" i="27"/>
  <c r="G15" i="27"/>
  <c r="C5" i="26" s="1"/>
  <c r="K22" i="27"/>
  <c r="L27" i="27"/>
  <c r="K38" i="27"/>
  <c r="L43" i="27"/>
  <c r="L47" i="27"/>
  <c r="L59" i="27"/>
  <c r="L63" i="27"/>
  <c r="K70" i="27"/>
  <c r="K108" i="27"/>
  <c r="L10" i="27"/>
  <c r="L14" i="27"/>
  <c r="L18" i="27"/>
  <c r="L26" i="27"/>
  <c r="L30" i="27"/>
  <c r="L42" i="27"/>
  <c r="L46" i="27"/>
  <c r="L50" i="27"/>
  <c r="L58" i="27"/>
  <c r="L62" i="27"/>
  <c r="L66" i="27"/>
  <c r="L78" i="27"/>
  <c r="L82" i="27"/>
  <c r="L4" i="27"/>
  <c r="L20" i="27"/>
  <c r="D33" i="27"/>
  <c r="I33" i="20" s="1"/>
  <c r="J33" i="20" s="1"/>
  <c r="K33" i="27"/>
  <c r="L36" i="27"/>
  <c r="D104" i="27"/>
  <c r="I84" i="20" s="1"/>
  <c r="D13" i="27"/>
  <c r="I13" i="20" s="1"/>
  <c r="J13" i="20" s="1"/>
  <c r="K13" i="27"/>
  <c r="L16" i="27"/>
  <c r="L19" i="27"/>
  <c r="L32" i="27"/>
  <c r="L80" i="27"/>
  <c r="D80" i="27"/>
  <c r="I80" i="20" s="1"/>
  <c r="J80" i="20" s="1"/>
  <c r="L83" i="27"/>
  <c r="K107" i="27"/>
  <c r="D107" i="27"/>
  <c r="I87" i="20" s="1"/>
  <c r="J87" i="20" s="1"/>
  <c r="L113" i="27"/>
  <c r="K113" i="27"/>
  <c r="D9" i="27"/>
  <c r="I9" i="20" s="1"/>
  <c r="J9" i="20" s="1"/>
  <c r="K9" i="27"/>
  <c r="L12" i="27"/>
  <c r="L15" i="27"/>
  <c r="D25" i="27"/>
  <c r="I25" i="20" s="1"/>
  <c r="J25" i="20" s="1"/>
  <c r="K25" i="27"/>
  <c r="L28" i="27"/>
  <c r="L31" i="27"/>
  <c r="D41" i="27"/>
  <c r="I41" i="20" s="1"/>
  <c r="J41" i="20" s="1"/>
  <c r="K41" i="27"/>
  <c r="K51" i="27"/>
  <c r="D57" i="27"/>
  <c r="I57" i="20" s="1"/>
  <c r="J57" i="20" s="1"/>
  <c r="K57" i="27"/>
  <c r="D60" i="27"/>
  <c r="I60" i="20" s="1"/>
  <c r="J60" i="20" s="1"/>
  <c r="L60" i="27"/>
  <c r="K67" i="27"/>
  <c r="D73" i="27"/>
  <c r="I73" i="20" s="1"/>
  <c r="J73" i="20" s="1"/>
  <c r="K73" i="27"/>
  <c r="L76" i="27"/>
  <c r="D76" i="27"/>
  <c r="I76" i="20" s="1"/>
  <c r="J76" i="20" s="1"/>
  <c r="L79" i="27"/>
  <c r="K83" i="27"/>
  <c r="L108" i="27"/>
  <c r="D108" i="27"/>
  <c r="I88" i="20" s="1"/>
  <c r="J88" i="20" s="1"/>
  <c r="D4" i="27"/>
  <c r="I4" i="20" s="1"/>
  <c r="J4" i="20" s="1"/>
  <c r="D5" i="27"/>
  <c r="I5" i="20" s="1"/>
  <c r="J5" i="20" s="1"/>
  <c r="K5" i="27"/>
  <c r="L8" i="27"/>
  <c r="K15" i="27"/>
  <c r="D20" i="27"/>
  <c r="I20" i="20" s="1"/>
  <c r="J20" i="20" s="1"/>
  <c r="D21" i="27"/>
  <c r="I21" i="20" s="1"/>
  <c r="J21" i="20" s="1"/>
  <c r="K21" i="27"/>
  <c r="L24" i="27"/>
  <c r="K31" i="27"/>
  <c r="D36" i="27"/>
  <c r="I36" i="20" s="1"/>
  <c r="D37" i="27"/>
  <c r="I37" i="20" s="1"/>
  <c r="J37" i="20" s="1"/>
  <c r="K37" i="27"/>
  <c r="L40" i="27"/>
  <c r="K47" i="27"/>
  <c r="D53" i="27"/>
  <c r="I53" i="20" s="1"/>
  <c r="J53" i="20" s="1"/>
  <c r="K53" i="27"/>
  <c r="L56" i="27"/>
  <c r="D56" i="27"/>
  <c r="I56" i="20" s="1"/>
  <c r="J56" i="20" s="1"/>
  <c r="K63" i="27"/>
  <c r="D69" i="27"/>
  <c r="I69" i="20" s="1"/>
  <c r="J69" i="20" s="1"/>
  <c r="K69" i="27"/>
  <c r="L72" i="27"/>
  <c r="D72" i="27"/>
  <c r="I72" i="20" s="1"/>
  <c r="J72" i="20" s="1"/>
  <c r="K79" i="27"/>
  <c r="L109" i="27"/>
  <c r="K109" i="27"/>
  <c r="K111" i="27"/>
  <c r="D111" i="27"/>
  <c r="I91" i="20" s="1"/>
  <c r="J91" i="20" s="1"/>
  <c r="D17" i="27"/>
  <c r="I17" i="20" s="1"/>
  <c r="J17" i="20" s="1"/>
  <c r="K17" i="27"/>
  <c r="D49" i="27"/>
  <c r="I49" i="20" s="1"/>
  <c r="J49" i="20" s="1"/>
  <c r="K49" i="27"/>
  <c r="D52" i="27"/>
  <c r="I52" i="20" s="1"/>
  <c r="J52" i="20" s="1"/>
  <c r="L52" i="27"/>
  <c r="D65" i="27"/>
  <c r="I65" i="20" s="1"/>
  <c r="L68" i="27"/>
  <c r="D68" i="27"/>
  <c r="I68" i="20" s="1"/>
  <c r="J68" i="20" s="1"/>
  <c r="D81" i="27"/>
  <c r="I81" i="20" s="1"/>
  <c r="J81" i="20" s="1"/>
  <c r="K81" i="27"/>
  <c r="L112" i="27"/>
  <c r="D112" i="27"/>
  <c r="I92" i="20" s="1"/>
  <c r="J92" i="20" s="1"/>
  <c r="D29" i="27"/>
  <c r="I29" i="20" s="1"/>
  <c r="J29" i="20" s="1"/>
  <c r="K29" i="27"/>
  <c r="D45" i="27"/>
  <c r="I45" i="20" s="1"/>
  <c r="D48" i="27"/>
  <c r="I48" i="20" s="1"/>
  <c r="J48" i="20" s="1"/>
  <c r="L48" i="27"/>
  <c r="D61" i="27"/>
  <c r="I61" i="20" s="1"/>
  <c r="J61" i="20" s="1"/>
  <c r="K61" i="27"/>
  <c r="D64" i="27"/>
  <c r="I64" i="20" s="1"/>
  <c r="D77" i="27"/>
  <c r="I77" i="20" s="1"/>
  <c r="J77" i="20" s="1"/>
  <c r="K77" i="27"/>
  <c r="L5" i="27"/>
  <c r="L9" i="27"/>
  <c r="L13" i="27"/>
  <c r="L17" i="27"/>
  <c r="L21" i="27"/>
  <c r="L25" i="27"/>
  <c r="L29" i="27"/>
  <c r="L33" i="27"/>
  <c r="L37" i="27"/>
  <c r="L41" i="27"/>
  <c r="L49" i="27"/>
  <c r="L53" i="27"/>
  <c r="L57" i="27"/>
  <c r="L61" i="27"/>
  <c r="L69" i="27"/>
  <c r="L73" i="27"/>
  <c r="L77" i="27"/>
  <c r="L81" i="27"/>
  <c r="L115" i="89" l="1"/>
  <c r="L124" i="89"/>
  <c r="L125" i="89" s="1"/>
  <c r="L126" i="89" s="1"/>
  <c r="B116" i="89"/>
  <c r="K124" i="89"/>
  <c r="K115" i="89"/>
  <c r="C34" i="70"/>
  <c r="H105" i="72"/>
  <c r="H106" i="72"/>
  <c r="H95" i="71"/>
  <c r="C116" i="89"/>
  <c r="H16" i="27"/>
  <c r="I16" i="20"/>
  <c r="J16" i="20" s="1"/>
  <c r="E151" i="69"/>
  <c r="F151" i="69" s="1"/>
  <c r="G151" i="69" s="1"/>
  <c r="H102" i="69"/>
  <c r="B117" i="89"/>
  <c r="H144" i="20"/>
  <c r="D106" i="69"/>
  <c r="H106" i="69" s="1"/>
  <c r="H129" i="20"/>
  <c r="D98" i="71"/>
  <c r="H98" i="71" s="1"/>
  <c r="H128" i="20"/>
  <c r="J139" i="20"/>
  <c r="C148" i="20"/>
  <c r="I145" i="20"/>
  <c r="D151" i="69"/>
  <c r="H147" i="20"/>
  <c r="G16" i="27"/>
  <c r="C6" i="26" s="1"/>
  <c r="D9" i="79" s="1"/>
  <c r="D197" i="79" s="1"/>
  <c r="I144" i="20"/>
  <c r="V83" i="27"/>
  <c r="W83" i="27" s="1"/>
  <c r="W104" i="27" s="1"/>
  <c r="W105" i="27" s="1"/>
  <c r="N5" i="27"/>
  <c r="N106" i="27"/>
  <c r="I106" i="20"/>
  <c r="J106" i="20" s="1"/>
  <c r="H106" i="27"/>
  <c r="G106" i="27"/>
  <c r="N14" i="27"/>
  <c r="N109" i="27"/>
  <c r="I109" i="20"/>
  <c r="J109" i="20" s="1"/>
  <c r="G109" i="27"/>
  <c r="H109" i="27"/>
  <c r="N113" i="27"/>
  <c r="I113" i="20"/>
  <c r="J113" i="20" s="1"/>
  <c r="G113" i="27"/>
  <c r="H113" i="27"/>
  <c r="N105" i="27"/>
  <c r="I105" i="20"/>
  <c r="N54" i="27"/>
  <c r="N111" i="27"/>
  <c r="I111" i="20"/>
  <c r="J111" i="20" s="1"/>
  <c r="G111" i="27"/>
  <c r="H111" i="27"/>
  <c r="N4" i="27"/>
  <c r="N13" i="27"/>
  <c r="N74" i="27"/>
  <c r="N30" i="27"/>
  <c r="N42" i="27"/>
  <c r="N110" i="27"/>
  <c r="I110" i="20"/>
  <c r="J110" i="20" s="1"/>
  <c r="H110" i="27"/>
  <c r="G110" i="27"/>
  <c r="N108" i="27"/>
  <c r="I108" i="20"/>
  <c r="J108" i="20" s="1"/>
  <c r="H108" i="27"/>
  <c r="G108" i="27"/>
  <c r="N107" i="27"/>
  <c r="I107" i="20"/>
  <c r="J107" i="20" s="1"/>
  <c r="H107" i="27"/>
  <c r="G107" i="27"/>
  <c r="N104" i="27"/>
  <c r="I104" i="20"/>
  <c r="N58" i="27"/>
  <c r="N62" i="27"/>
  <c r="N78" i="27"/>
  <c r="N46" i="27"/>
  <c r="N26" i="27"/>
  <c r="N12" i="27"/>
  <c r="N112" i="27"/>
  <c r="I112" i="20"/>
  <c r="J112" i="20" s="1"/>
  <c r="H112" i="27"/>
  <c r="G112" i="27"/>
  <c r="N6" i="27"/>
  <c r="N11" i="27"/>
  <c r="N16" i="27"/>
  <c r="D139" i="20"/>
  <c r="I139" i="20" s="1"/>
  <c r="I146" i="20"/>
  <c r="H146" i="20"/>
  <c r="H148" i="20"/>
  <c r="F10" i="72"/>
  <c r="H10" i="72" s="1"/>
  <c r="I147" i="20"/>
  <c r="D102" i="72"/>
  <c r="D109" i="72" s="1"/>
  <c r="D8" i="108"/>
  <c r="F13" i="107"/>
  <c r="H13" i="107" s="1"/>
  <c r="D152" i="107"/>
  <c r="D105" i="107"/>
  <c r="H105" i="107" s="1"/>
  <c r="D201" i="107"/>
  <c r="D100" i="107"/>
  <c r="H100" i="107" s="1"/>
  <c r="D147" i="107"/>
  <c r="D196" i="107"/>
  <c r="F8" i="107"/>
  <c r="F7" i="107"/>
  <c r="H7" i="107" s="1"/>
  <c r="D146" i="107"/>
  <c r="H146" i="107" s="1"/>
  <c r="J146" i="107" s="1"/>
  <c r="K146" i="107" s="1"/>
  <c r="D99" i="107"/>
  <c r="D17" i="107"/>
  <c r="D195" i="107"/>
  <c r="D106" i="107"/>
  <c r="H106" i="107" s="1"/>
  <c r="D9" i="108"/>
  <c r="D153" i="107"/>
  <c r="F14" i="107"/>
  <c r="H14" i="107" s="1"/>
  <c r="D202" i="107"/>
  <c r="D102" i="107"/>
  <c r="H102" i="107" s="1"/>
  <c r="D149" i="107"/>
  <c r="D198" i="107"/>
  <c r="F10" i="107"/>
  <c r="H10" i="107" s="1"/>
  <c r="D101" i="107"/>
  <c r="H101" i="107" s="1"/>
  <c r="F9" i="107"/>
  <c r="D148" i="107"/>
  <c r="D197" i="107"/>
  <c r="D149" i="72"/>
  <c r="D198" i="72"/>
  <c r="H198" i="72" s="1"/>
  <c r="F138" i="20"/>
  <c r="F139" i="20"/>
  <c r="F11" i="72"/>
  <c r="H11" i="72" s="1"/>
  <c r="F15" i="107"/>
  <c r="H15" i="107" s="1"/>
  <c r="D154" i="107"/>
  <c r="D107" i="107"/>
  <c r="H107" i="107" s="1"/>
  <c r="D10" i="108"/>
  <c r="D203" i="107"/>
  <c r="F11" i="107"/>
  <c r="H11" i="107" s="1"/>
  <c r="D150" i="107"/>
  <c r="H150" i="107" s="1"/>
  <c r="J150" i="107" s="1"/>
  <c r="K150" i="107" s="1"/>
  <c r="D103" i="107"/>
  <c r="H103" i="107" s="1"/>
  <c r="D199" i="107"/>
  <c r="C60" i="70"/>
  <c r="C66" i="70" s="1"/>
  <c r="E82" i="107"/>
  <c r="D108" i="107"/>
  <c r="H108" i="107" s="1"/>
  <c r="D11" i="108"/>
  <c r="H48" i="107"/>
  <c r="E48" i="107"/>
  <c r="D155" i="107"/>
  <c r="F16" i="107"/>
  <c r="H16" i="107" s="1"/>
  <c r="D204" i="107"/>
  <c r="D7" i="108"/>
  <c r="D151" i="107"/>
  <c r="D104" i="107"/>
  <c r="H104" i="107" s="1"/>
  <c r="F12" i="107"/>
  <c r="H12" i="107" s="1"/>
  <c r="D200" i="107"/>
  <c r="C147" i="20"/>
  <c r="H48" i="72"/>
  <c r="D45" i="72" s="1"/>
  <c r="H45" i="72" s="1"/>
  <c r="D260" i="72" s="1" a="1"/>
  <c r="D260" i="72" s="1"/>
  <c r="F8" i="69"/>
  <c r="H8" i="69" s="1"/>
  <c r="D99" i="69"/>
  <c r="H99" i="69" s="1"/>
  <c r="F8" i="73"/>
  <c r="H8" i="73" s="1"/>
  <c r="G4" i="26"/>
  <c r="G61" i="27"/>
  <c r="G11" i="26" s="1"/>
  <c r="N61" i="27"/>
  <c r="F5" i="26"/>
  <c r="N45" i="27"/>
  <c r="G68" i="27"/>
  <c r="N68" i="27"/>
  <c r="G69" i="27"/>
  <c r="D7" i="86" s="1"/>
  <c r="N69" i="27"/>
  <c r="G76" i="27"/>
  <c r="D9" i="105" s="1"/>
  <c r="N76" i="27"/>
  <c r="G57" i="27"/>
  <c r="G7" i="26" s="1"/>
  <c r="N57" i="27"/>
  <c r="G82" i="27"/>
  <c r="D15" i="105" s="1"/>
  <c r="N82" i="27"/>
  <c r="G32" i="27"/>
  <c r="D12" i="26" s="1"/>
  <c r="D15" i="82" s="1"/>
  <c r="C26" i="84" s="1"/>
  <c r="N32" i="27"/>
  <c r="H43" i="27"/>
  <c r="N43" i="27"/>
  <c r="G52" i="27"/>
  <c r="F12" i="26" s="1"/>
  <c r="N52" i="27"/>
  <c r="G72" i="27"/>
  <c r="D10" i="86" s="1"/>
  <c r="N72" i="27"/>
  <c r="G53" i="27"/>
  <c r="F13" i="26" s="1"/>
  <c r="N53" i="27"/>
  <c r="E7" i="26"/>
  <c r="N37" i="27"/>
  <c r="G25" i="27"/>
  <c r="D5" i="26" s="1"/>
  <c r="D8" i="82" s="1"/>
  <c r="N25" i="27"/>
  <c r="H23" i="27"/>
  <c r="N23" i="27"/>
  <c r="G70" i="27"/>
  <c r="D8" i="86" s="1"/>
  <c r="N70" i="27"/>
  <c r="F4" i="26"/>
  <c r="N44" i="27"/>
  <c r="H19" i="27"/>
  <c r="N19" i="27"/>
  <c r="N64" i="27"/>
  <c r="G48" i="27"/>
  <c r="F8" i="26" s="1"/>
  <c r="N48" i="27"/>
  <c r="G29" i="27"/>
  <c r="D9" i="26" s="1"/>
  <c r="D12" i="82" s="1"/>
  <c r="N29" i="27"/>
  <c r="G56" i="27"/>
  <c r="G6" i="26" s="1"/>
  <c r="N56" i="27"/>
  <c r="E6" i="26"/>
  <c r="N36" i="27"/>
  <c r="G21" i="27"/>
  <c r="C11" i="26" s="1"/>
  <c r="D14" i="79" s="1"/>
  <c r="D9" i="81" s="1"/>
  <c r="N21" i="27"/>
  <c r="G60" i="27"/>
  <c r="G10" i="26" s="1"/>
  <c r="N60" i="27"/>
  <c r="G80" i="27"/>
  <c r="D13" i="105" s="1"/>
  <c r="N80" i="27"/>
  <c r="H83" i="27"/>
  <c r="N83" i="27"/>
  <c r="H40" i="27"/>
  <c r="N40" i="27"/>
  <c r="H51" i="27"/>
  <c r="N51" i="27"/>
  <c r="H22" i="27"/>
  <c r="N22" i="27"/>
  <c r="H63" i="27"/>
  <c r="N63" i="27"/>
  <c r="G77" i="27"/>
  <c r="D10" i="105" s="1"/>
  <c r="N77" i="27"/>
  <c r="G41" i="27"/>
  <c r="E11" i="26" s="1"/>
  <c r="N41" i="27"/>
  <c r="N75" i="27"/>
  <c r="H31" i="27"/>
  <c r="N31" i="27"/>
  <c r="H27" i="27"/>
  <c r="N27" i="27"/>
  <c r="G24" i="27"/>
  <c r="D4" i="26" s="1"/>
  <c r="D7" i="82" s="1"/>
  <c r="N24" i="27"/>
  <c r="G17" i="27"/>
  <c r="C7" i="26" s="1"/>
  <c r="D10" i="79" s="1"/>
  <c r="D198" i="79" s="1"/>
  <c r="N17" i="27"/>
  <c r="N55" i="27"/>
  <c r="H39" i="27"/>
  <c r="N39" i="27"/>
  <c r="H67" i="27"/>
  <c r="N67" i="27"/>
  <c r="G81" i="27"/>
  <c r="D14" i="105" s="1"/>
  <c r="N81" i="27"/>
  <c r="N65" i="27"/>
  <c r="G49" i="27"/>
  <c r="F9" i="26" s="1"/>
  <c r="N49" i="27"/>
  <c r="G20" i="27"/>
  <c r="C10" i="26" s="1"/>
  <c r="D13" i="79" s="1"/>
  <c r="D105" i="79" s="1"/>
  <c r="H105" i="79" s="1"/>
  <c r="N20" i="27"/>
  <c r="G73" i="27"/>
  <c r="D11" i="86" s="1"/>
  <c r="N73" i="27"/>
  <c r="G33" i="27"/>
  <c r="D13" i="26" s="1"/>
  <c r="D16" i="82" s="1"/>
  <c r="N33" i="27"/>
  <c r="G66" i="27"/>
  <c r="N66" i="27"/>
  <c r="G50" i="27"/>
  <c r="F10" i="26" s="1"/>
  <c r="N50" i="27"/>
  <c r="G18" i="27"/>
  <c r="C8" i="26" s="1"/>
  <c r="N18" i="27"/>
  <c r="H71" i="27"/>
  <c r="N71" i="27"/>
  <c r="E4" i="26"/>
  <c r="N34" i="27"/>
  <c r="H79" i="27"/>
  <c r="N79" i="27"/>
  <c r="N35" i="27"/>
  <c r="H47" i="27"/>
  <c r="N47" i="27"/>
  <c r="H59" i="27"/>
  <c r="N59" i="27"/>
  <c r="H28" i="27"/>
  <c r="N28" i="27"/>
  <c r="G38" i="27"/>
  <c r="E8" i="26" s="1"/>
  <c r="N38" i="27"/>
  <c r="N15" i="27"/>
  <c r="H9" i="27"/>
  <c r="H84" i="89" s="1"/>
  <c r="N9" i="27"/>
  <c r="D85" i="89"/>
  <c r="N10" i="27"/>
  <c r="G7" i="27"/>
  <c r="G82" i="89" s="1"/>
  <c r="N7" i="27"/>
  <c r="D83" i="89"/>
  <c r="N8" i="27"/>
  <c r="G28" i="27"/>
  <c r="D8" i="26" s="1"/>
  <c r="D11" i="82" s="1"/>
  <c r="G59" i="27"/>
  <c r="G9" i="26" s="1"/>
  <c r="H38" i="27"/>
  <c r="H18" i="27"/>
  <c r="G51" i="27"/>
  <c r="F11" i="26" s="1"/>
  <c r="G63" i="27"/>
  <c r="G13" i="26" s="1"/>
  <c r="E90" i="89"/>
  <c r="E89" i="89"/>
  <c r="C145" i="20"/>
  <c r="C128" i="20"/>
  <c r="H43" i="71"/>
  <c r="E147" i="20"/>
  <c r="J140" i="20"/>
  <c r="E144" i="20"/>
  <c r="D147" i="87"/>
  <c r="F10" i="71"/>
  <c r="H10" i="71" s="1"/>
  <c r="D100" i="69"/>
  <c r="H100" i="69" s="1"/>
  <c r="G27" i="27"/>
  <c r="D7" i="26" s="1"/>
  <c r="D10" i="82" s="1"/>
  <c r="G19" i="27"/>
  <c r="C9" i="26" s="1"/>
  <c r="D12" i="79" s="1"/>
  <c r="D151" i="79" s="1"/>
  <c r="G83" i="27"/>
  <c r="H53" i="27"/>
  <c r="J70" i="27"/>
  <c r="J106" i="27"/>
  <c r="J7" i="27"/>
  <c r="J43" i="27"/>
  <c r="G40" i="27"/>
  <c r="E10" i="26" s="1"/>
  <c r="H8" i="27"/>
  <c r="H83" i="89" s="1"/>
  <c r="H32" i="27"/>
  <c r="G71" i="27"/>
  <c r="D9" i="86" s="1"/>
  <c r="J23" i="27"/>
  <c r="H21" i="27"/>
  <c r="J72" i="27"/>
  <c r="J24" i="27"/>
  <c r="J39" i="27"/>
  <c r="G22" i="27"/>
  <c r="C12" i="26" s="1"/>
  <c r="J67" i="27"/>
  <c r="J12" i="27"/>
  <c r="D96" i="71"/>
  <c r="H96" i="71" s="1"/>
  <c r="D153" i="69"/>
  <c r="J112" i="27"/>
  <c r="J63" i="27"/>
  <c r="J27" i="27"/>
  <c r="D95" i="73"/>
  <c r="H95" i="73" s="1"/>
  <c r="E148" i="20"/>
  <c r="E145" i="20"/>
  <c r="F9" i="69"/>
  <c r="H9" i="69" s="1"/>
  <c r="D196" i="69"/>
  <c r="H196" i="69" s="1"/>
  <c r="F9" i="71"/>
  <c r="H9" i="71" s="1"/>
  <c r="F14" i="69"/>
  <c r="H14" i="69" s="1"/>
  <c r="J20" i="27"/>
  <c r="J104" i="27"/>
  <c r="J55" i="27"/>
  <c r="D103" i="69"/>
  <c r="H103" i="69" s="1"/>
  <c r="D202" i="69"/>
  <c r="H202" i="69" s="1"/>
  <c r="D147" i="69"/>
  <c r="D12" i="71"/>
  <c r="C129" i="20"/>
  <c r="J52" i="27"/>
  <c r="J75" i="27"/>
  <c r="E43" i="71"/>
  <c r="D105" i="69"/>
  <c r="H105" i="69" s="1"/>
  <c r="D140" i="20"/>
  <c r="F140" i="20"/>
  <c r="J138" i="20"/>
  <c r="H138" i="20"/>
  <c r="C144" i="20"/>
  <c r="J19" i="27"/>
  <c r="J71" i="27"/>
  <c r="D137" i="71"/>
  <c r="F11" i="71"/>
  <c r="H11" i="71" s="1"/>
  <c r="J48" i="27"/>
  <c r="J76" i="27"/>
  <c r="J80" i="27"/>
  <c r="J4" i="27"/>
  <c r="J74" i="27"/>
  <c r="F8" i="71"/>
  <c r="H8" i="71" s="1"/>
  <c r="F12" i="69"/>
  <c r="H12" i="69" s="1"/>
  <c r="H140" i="20"/>
  <c r="C146" i="20"/>
  <c r="H139" i="20"/>
  <c r="F16" i="69"/>
  <c r="H16" i="69" s="1"/>
  <c r="J11" i="27"/>
  <c r="D200" i="69"/>
  <c r="H200" i="69" s="1"/>
  <c r="F13" i="69"/>
  <c r="H13" i="69" s="1"/>
  <c r="D104" i="69"/>
  <c r="J38" i="27"/>
  <c r="H101" i="69"/>
  <c r="D155" i="69"/>
  <c r="H73" i="27"/>
  <c r="J56" i="27"/>
  <c r="G31" i="27"/>
  <c r="D11" i="26" s="1"/>
  <c r="D14" i="82" s="1"/>
  <c r="J110" i="27"/>
  <c r="J28" i="27"/>
  <c r="J36" i="27"/>
  <c r="D196" i="87"/>
  <c r="G196" i="87" s="1"/>
  <c r="I196" i="87" s="1"/>
  <c r="H97" i="73"/>
  <c r="E128" i="20"/>
  <c r="C11" i="70"/>
  <c r="C17" i="70" s="1"/>
  <c r="C18" i="70" s="1"/>
  <c r="C56" i="89" s="1"/>
  <c r="E82" i="69"/>
  <c r="H82" i="69" s="1"/>
  <c r="D76" i="69" s="1"/>
  <c r="H76" i="69" s="1"/>
  <c r="E257" i="69" s="1" a="1"/>
  <c r="E257" i="69" s="1"/>
  <c r="G7" i="70" s="1"/>
  <c r="D204" i="69"/>
  <c r="J59" i="27"/>
  <c r="E129" i="20"/>
  <c r="H57" i="27"/>
  <c r="J108" i="27"/>
  <c r="J107" i="27"/>
  <c r="G8" i="27"/>
  <c r="G83" i="89" s="1"/>
  <c r="F15" i="69"/>
  <c r="H15" i="69" s="1"/>
  <c r="E48" i="69"/>
  <c r="D17" i="69"/>
  <c r="H101" i="72"/>
  <c r="G4" i="27"/>
  <c r="G79" i="89" s="1"/>
  <c r="D79" i="89"/>
  <c r="H11" i="27"/>
  <c r="H86" i="89" s="1"/>
  <c r="D86" i="89"/>
  <c r="F10" i="87"/>
  <c r="H10" i="87" s="1"/>
  <c r="D102" i="87"/>
  <c r="H102" i="87" s="1"/>
  <c r="D149" i="87"/>
  <c r="D198" i="87"/>
  <c r="D140" i="71"/>
  <c r="B184" i="71"/>
  <c r="H94" i="71"/>
  <c r="B199" i="69"/>
  <c r="D150" i="69"/>
  <c r="E43" i="73"/>
  <c r="E77" i="73"/>
  <c r="H43" i="73"/>
  <c r="D184" i="73"/>
  <c r="D98" i="73"/>
  <c r="H98" i="73" s="1"/>
  <c r="F11" i="73"/>
  <c r="H11" i="73" s="1"/>
  <c r="H204" i="72"/>
  <c r="G204" i="72"/>
  <c r="I204" i="72" s="1"/>
  <c r="G11" i="27"/>
  <c r="G86" i="89" s="1"/>
  <c r="G13" i="27"/>
  <c r="G88" i="89" s="1"/>
  <c r="D88" i="89"/>
  <c r="J6" i="27"/>
  <c r="J44" i="27"/>
  <c r="J8" i="27"/>
  <c r="F141" i="73"/>
  <c r="G140" i="73"/>
  <c r="B180" i="73"/>
  <c r="D136" i="73"/>
  <c r="H136" i="73" s="1"/>
  <c r="D148" i="20"/>
  <c r="D144" i="20"/>
  <c r="D147" i="20"/>
  <c r="D146" i="20"/>
  <c r="D145" i="20"/>
  <c r="H200" i="72"/>
  <c r="G200" i="72"/>
  <c r="I200" i="72" s="1"/>
  <c r="D138" i="71"/>
  <c r="B182" i="71"/>
  <c r="F109" i="69"/>
  <c r="B203" i="69"/>
  <c r="D154" i="69"/>
  <c r="B199" i="72"/>
  <c r="D150" i="72"/>
  <c r="H99" i="72"/>
  <c r="B195" i="69"/>
  <c r="D146" i="69"/>
  <c r="H149" i="69" s="1"/>
  <c r="J149" i="69" s="1"/>
  <c r="K149" i="69" s="1"/>
  <c r="E146" i="69"/>
  <c r="F146" i="69" s="1"/>
  <c r="G146" i="69" s="1"/>
  <c r="E154" i="69"/>
  <c r="F154" i="69" s="1"/>
  <c r="G154" i="69" s="1"/>
  <c r="B201" i="72"/>
  <c r="D152" i="72"/>
  <c r="F11" i="88"/>
  <c r="H11" i="88" s="1"/>
  <c r="F16" i="87"/>
  <c r="H16" i="87" s="1"/>
  <c r="B197" i="69"/>
  <c r="D148" i="69"/>
  <c r="F7" i="87"/>
  <c r="H7" i="87" s="1"/>
  <c r="D99" i="87"/>
  <c r="D146" i="87"/>
  <c r="H146" i="87" s="1"/>
  <c r="J146" i="87" s="1"/>
  <c r="K146" i="87" s="1"/>
  <c r="D195" i="87"/>
  <c r="H108" i="69"/>
  <c r="D8" i="105"/>
  <c r="G43" i="27"/>
  <c r="E13" i="26" s="1"/>
  <c r="J16" i="27"/>
  <c r="J32" i="27"/>
  <c r="H7" i="27"/>
  <c r="H82" i="89" s="1"/>
  <c r="D82" i="89"/>
  <c r="E5" i="26"/>
  <c r="D153" i="87"/>
  <c r="D106" i="87"/>
  <c r="H106" i="87" s="1"/>
  <c r="D202" i="87"/>
  <c r="D140" i="73"/>
  <c r="E48" i="87"/>
  <c r="C43" i="70"/>
  <c r="C49" i="70" s="1"/>
  <c r="C50" i="70" s="1"/>
  <c r="E82" i="87"/>
  <c r="D108" i="87"/>
  <c r="H108" i="87" s="1"/>
  <c r="D155" i="87"/>
  <c r="D204" i="87"/>
  <c r="D138" i="73"/>
  <c r="F9" i="73"/>
  <c r="H9" i="73" s="1"/>
  <c r="D96" i="73"/>
  <c r="H96" i="73" s="1"/>
  <c r="F99" i="71"/>
  <c r="E140" i="71"/>
  <c r="F140" i="71" s="1"/>
  <c r="H196" i="72"/>
  <c r="G196" i="72"/>
  <c r="I196" i="72" s="1"/>
  <c r="D107" i="69"/>
  <c r="H107" i="69" s="1"/>
  <c r="B203" i="72"/>
  <c r="D154" i="72"/>
  <c r="H103" i="72"/>
  <c r="E152" i="72"/>
  <c r="F152" i="72" s="1"/>
  <c r="G152" i="72" s="1"/>
  <c r="H48" i="69"/>
  <c r="H82" i="72"/>
  <c r="D80" i="72" s="1"/>
  <c r="H80" i="72" s="1"/>
  <c r="E261" i="72" s="1" a="1"/>
  <c r="E261" i="72" s="1"/>
  <c r="H104" i="72"/>
  <c r="B201" i="69"/>
  <c r="D152" i="69"/>
  <c r="G155" i="69"/>
  <c r="D181" i="71"/>
  <c r="D182" i="73"/>
  <c r="H97" i="71"/>
  <c r="G6" i="27"/>
  <c r="G81" i="89" s="1"/>
  <c r="D81" i="89"/>
  <c r="B183" i="73"/>
  <c r="D139" i="73"/>
  <c r="C12" i="68"/>
  <c r="B12" i="68" s="1"/>
  <c r="B195" i="72"/>
  <c r="D146" i="72"/>
  <c r="D183" i="71"/>
  <c r="F9" i="87"/>
  <c r="D101" i="87"/>
  <c r="H101" i="87" s="1"/>
  <c r="D148" i="87"/>
  <c r="D197" i="87"/>
  <c r="B197" i="72"/>
  <c r="D148" i="72"/>
  <c r="H77" i="71"/>
  <c r="D73" i="71" s="1"/>
  <c r="H73" i="71" s="1"/>
  <c r="E239" i="71" s="1" a="1"/>
  <c r="E239" i="71" s="1"/>
  <c r="D129" i="20"/>
  <c r="H41" i="27"/>
  <c r="J10" i="27"/>
  <c r="G155" i="72"/>
  <c r="H108" i="72"/>
  <c r="E150" i="69"/>
  <c r="F150" i="69" s="1"/>
  <c r="G150" i="69" s="1"/>
  <c r="J64" i="27"/>
  <c r="G5" i="27"/>
  <c r="G80" i="89" s="1"/>
  <c r="D80" i="89"/>
  <c r="J51" i="27"/>
  <c r="H13" i="27"/>
  <c r="H88" i="89" s="1"/>
  <c r="G9" i="27"/>
  <c r="G84" i="89" s="1"/>
  <c r="D84" i="89"/>
  <c r="G47" i="27"/>
  <c r="F7" i="26" s="1"/>
  <c r="G67" i="27"/>
  <c r="J42" i="27"/>
  <c r="G79" i="27"/>
  <c r="D12" i="105" s="1"/>
  <c r="J58" i="27"/>
  <c r="H6" i="27"/>
  <c r="H81" i="89" s="1"/>
  <c r="G12" i="27"/>
  <c r="G87" i="89" s="1"/>
  <c r="D87" i="89"/>
  <c r="F99" i="73"/>
  <c r="D96" i="88"/>
  <c r="H96" i="88" s="1"/>
  <c r="D138" i="88"/>
  <c r="D182" i="88"/>
  <c r="F8" i="87"/>
  <c r="D98" i="88"/>
  <c r="H98" i="88" s="1"/>
  <c r="E43" i="88"/>
  <c r="E77" i="88"/>
  <c r="D140" i="88"/>
  <c r="D184" i="88"/>
  <c r="B181" i="73"/>
  <c r="D137" i="73"/>
  <c r="G202" i="72"/>
  <c r="I202" i="72" s="1"/>
  <c r="J202" i="72" s="1"/>
  <c r="D136" i="71"/>
  <c r="H136" i="71" s="1"/>
  <c r="B180" i="71"/>
  <c r="E181" i="71" s="1"/>
  <c r="E136" i="71"/>
  <c r="G198" i="69"/>
  <c r="I198" i="69" s="1"/>
  <c r="J198" i="69" s="1"/>
  <c r="D128" i="20"/>
  <c r="H107" i="72"/>
  <c r="F109" i="72"/>
  <c r="H100" i="72"/>
  <c r="E148" i="69"/>
  <c r="F148" i="69" s="1"/>
  <c r="G148" i="69" s="1"/>
  <c r="C11" i="68"/>
  <c r="D12" i="73"/>
  <c r="D94" i="73"/>
  <c r="F11" i="87"/>
  <c r="H11" i="87" s="1"/>
  <c r="D103" i="87"/>
  <c r="H103" i="87" s="1"/>
  <c r="D150" i="87"/>
  <c r="D199" i="87"/>
  <c r="F10" i="73"/>
  <c r="H10" i="73" s="1"/>
  <c r="D8" i="79"/>
  <c r="J60" i="27"/>
  <c r="H12" i="27"/>
  <c r="H87" i="89" s="1"/>
  <c r="H80" i="27"/>
  <c r="G39" i="27"/>
  <c r="E9" i="26" s="1"/>
  <c r="H70" i="27"/>
  <c r="J40" i="27"/>
  <c r="J26" i="27"/>
  <c r="J68" i="27"/>
  <c r="J111" i="27"/>
  <c r="H50" i="27"/>
  <c r="H60" i="27"/>
  <c r="J54" i="27"/>
  <c r="H81" i="27"/>
  <c r="J33" i="27"/>
  <c r="D7" i="105"/>
  <c r="G30" i="27"/>
  <c r="D10" i="26" s="1"/>
  <c r="D13" i="82" s="1"/>
  <c r="H30" i="27"/>
  <c r="G5" i="26"/>
  <c r="G62" i="27"/>
  <c r="G12" i="26" s="1"/>
  <c r="H62" i="27"/>
  <c r="G42" i="27"/>
  <c r="E12" i="26" s="1"/>
  <c r="H42" i="27"/>
  <c r="J78" i="27"/>
  <c r="G46" i="27"/>
  <c r="F6" i="26" s="1"/>
  <c r="H46" i="27"/>
  <c r="G14" i="27"/>
  <c r="C4" i="26" s="1"/>
  <c r="D7" i="79" s="1"/>
  <c r="H69" i="27"/>
  <c r="H5" i="27"/>
  <c r="H80" i="89" s="1"/>
  <c r="H66" i="27"/>
  <c r="J47" i="27"/>
  <c r="J5" i="27"/>
  <c r="H76" i="27"/>
  <c r="J22" i="27"/>
  <c r="J30" i="27"/>
  <c r="J62" i="27"/>
  <c r="J46" i="27"/>
  <c r="G26" i="27"/>
  <c r="D6" i="26" s="1"/>
  <c r="D9" i="82" s="1"/>
  <c r="H26" i="27"/>
  <c r="J14" i="27"/>
  <c r="G10" i="27"/>
  <c r="G85" i="89" s="1"/>
  <c r="H10" i="27"/>
  <c r="H85" i="89" s="1"/>
  <c r="G58" i="27"/>
  <c r="G8" i="26" s="1"/>
  <c r="H58" i="27"/>
  <c r="J81" i="27"/>
  <c r="H82" i="27"/>
  <c r="H77" i="27"/>
  <c r="J113" i="27"/>
  <c r="J66" i="27"/>
  <c r="J50" i="27"/>
  <c r="J82" i="27"/>
  <c r="J18" i="27"/>
  <c r="G78" i="27"/>
  <c r="D11" i="105" s="1"/>
  <c r="H78" i="27"/>
  <c r="G23" i="27"/>
  <c r="C13" i="26" s="1"/>
  <c r="D16" i="79" s="1"/>
  <c r="C16" i="84" s="1"/>
  <c r="C17" i="84" s="1"/>
  <c r="J34" i="27"/>
  <c r="J61" i="27"/>
  <c r="J29" i="27"/>
  <c r="J13" i="27"/>
  <c r="J105" i="27"/>
  <c r="J73" i="27"/>
  <c r="H61" i="27"/>
  <c r="J57" i="27"/>
  <c r="J9" i="27"/>
  <c r="H17" i="27"/>
  <c r="H20" i="27"/>
  <c r="J77" i="27"/>
  <c r="H48" i="27"/>
  <c r="H52" i="27"/>
  <c r="J109" i="27"/>
  <c r="H72" i="27"/>
  <c r="J69" i="27"/>
  <c r="H56" i="27"/>
  <c r="J53" i="27"/>
  <c r="J83" i="27"/>
  <c r="H29" i="27"/>
  <c r="J25" i="27"/>
  <c r="H33" i="27"/>
  <c r="H4" i="27"/>
  <c r="H79" i="89" s="1"/>
  <c r="H68" i="27"/>
  <c r="J79" i="27"/>
  <c r="J41" i="27"/>
  <c r="H49" i="27"/>
  <c r="J45" i="27"/>
  <c r="J65" i="27"/>
  <c r="J49" i="27"/>
  <c r="J17" i="27"/>
  <c r="J37" i="27"/>
  <c r="J31" i="27"/>
  <c r="J21" i="27"/>
  <c r="J15" i="27"/>
  <c r="J35" i="27"/>
  <c r="C117" i="89" l="1"/>
  <c r="K125" i="89"/>
  <c r="K116" i="89"/>
  <c r="K130" i="89"/>
  <c r="L130" i="89"/>
  <c r="L116" i="89"/>
  <c r="D46" i="72"/>
  <c r="H46" i="72" s="1"/>
  <c r="D261" i="72" s="1" a="1"/>
  <c r="D261" i="72" s="1"/>
  <c r="E139" i="20"/>
  <c r="E138" i="20" s="1"/>
  <c r="H149" i="107"/>
  <c r="J149" i="107" s="1"/>
  <c r="K149" i="107" s="1"/>
  <c r="D101" i="79"/>
  <c r="H101" i="79" s="1"/>
  <c r="D148" i="79"/>
  <c r="H154" i="107"/>
  <c r="J154" i="107" s="1"/>
  <c r="K154" i="107" s="1"/>
  <c r="H148" i="107"/>
  <c r="J148" i="107" s="1"/>
  <c r="K148" i="107" s="1"/>
  <c r="H153" i="107"/>
  <c r="J153" i="107" s="1"/>
  <c r="K153" i="107" s="1"/>
  <c r="D37" i="72"/>
  <c r="H37" i="72" s="1"/>
  <c r="D252" i="72" s="1" a="1"/>
  <c r="D252" i="72" s="1"/>
  <c r="F22" i="70" s="1"/>
  <c r="H151" i="107"/>
  <c r="J151" i="107" s="1"/>
  <c r="K151" i="107" s="1"/>
  <c r="H155" i="107"/>
  <c r="J155" i="107" s="1"/>
  <c r="K155" i="107" s="1"/>
  <c r="H151" i="69"/>
  <c r="J151" i="69" s="1"/>
  <c r="K151" i="69" s="1"/>
  <c r="D27" i="72"/>
  <c r="H27" i="72" s="1"/>
  <c r="D242" i="72" s="1" a="1"/>
  <c r="D242" i="72" s="1"/>
  <c r="D22" i="70" s="1"/>
  <c r="H102" i="72"/>
  <c r="H109" i="72" s="1"/>
  <c r="G110" i="72" s="1"/>
  <c r="D34" i="72"/>
  <c r="H34" i="72" s="1"/>
  <c r="D249" i="72" s="1" a="1"/>
  <c r="D249" i="72" s="1"/>
  <c r="D39" i="72"/>
  <c r="H39" i="72" s="1"/>
  <c r="D254" i="72" s="1" a="1"/>
  <c r="D254" i="72" s="1"/>
  <c r="D42" i="72"/>
  <c r="H42" i="72" s="1"/>
  <c r="D257" i="72" s="1" a="1"/>
  <c r="D257" i="72" s="1"/>
  <c r="D43" i="72"/>
  <c r="H43" i="72" s="1"/>
  <c r="D258" i="72" s="1" a="1"/>
  <c r="D258" i="72" s="1"/>
  <c r="D40" i="72"/>
  <c r="H40" i="72" s="1"/>
  <c r="D255" i="72" s="1" a="1"/>
  <c r="D255" i="72" s="1"/>
  <c r="D44" i="72"/>
  <c r="H44" i="72" s="1"/>
  <c r="D259" i="72" s="1" a="1"/>
  <c r="D259" i="72" s="1"/>
  <c r="D33" i="72"/>
  <c r="H33" i="72" s="1"/>
  <c r="D248" i="72" s="1" a="1"/>
  <c r="D248" i="72" s="1"/>
  <c r="G198" i="72"/>
  <c r="I198" i="72" s="1"/>
  <c r="J198" i="72" s="1"/>
  <c r="G139" i="20"/>
  <c r="G138" i="20" s="1"/>
  <c r="D30" i="72"/>
  <c r="H30" i="72" s="1"/>
  <c r="D245" i="72" s="1" a="1"/>
  <c r="D245" i="72" s="1"/>
  <c r="D32" i="72"/>
  <c r="H32" i="72" s="1"/>
  <c r="D247" i="72" s="1" a="1"/>
  <c r="D247" i="72" s="1"/>
  <c r="E22" i="70" s="1"/>
  <c r="D28" i="72"/>
  <c r="H28" i="72" s="1"/>
  <c r="D243" i="72" s="1" a="1"/>
  <c r="D243" i="72" s="1"/>
  <c r="D31" i="72"/>
  <c r="H31" i="72" s="1"/>
  <c r="D246" i="72" s="1" a="1"/>
  <c r="D246" i="72" s="1"/>
  <c r="D47" i="72"/>
  <c r="H47" i="72" s="1"/>
  <c r="D262" i="72" s="1" a="1"/>
  <c r="D262" i="72" s="1"/>
  <c r="H22" i="70" s="1"/>
  <c r="D41" i="72"/>
  <c r="H41" i="72" s="1"/>
  <c r="D256" i="72" s="1" a="1"/>
  <c r="D256" i="72" s="1"/>
  <c r="J17" i="72"/>
  <c r="D38" i="72"/>
  <c r="H38" i="72" s="1"/>
  <c r="D253" i="72" s="1" a="1"/>
  <c r="D253" i="72" s="1"/>
  <c r="D26" i="72"/>
  <c r="H26" i="72" s="1"/>
  <c r="D241" i="72" s="1" a="1"/>
  <c r="D241" i="72" s="1"/>
  <c r="D36" i="72"/>
  <c r="H36" i="72" s="1"/>
  <c r="D251" i="72" s="1" a="1"/>
  <c r="D251" i="72" s="1"/>
  <c r="D35" i="72"/>
  <c r="H35" i="72" s="1"/>
  <c r="D250" i="72" s="1" a="1"/>
  <c r="D250" i="72" s="1"/>
  <c r="D29" i="72"/>
  <c r="H29" i="72" s="1"/>
  <c r="D244" i="72" s="1" a="1"/>
  <c r="D244" i="72" s="1"/>
  <c r="D139" i="108"/>
  <c r="F10" i="108"/>
  <c r="H10" i="108" s="1"/>
  <c r="D97" i="108"/>
  <c r="H97" i="108" s="1"/>
  <c r="D183" i="108"/>
  <c r="D96" i="108"/>
  <c r="H96" i="108" s="1"/>
  <c r="F9" i="108"/>
  <c r="H9" i="108" s="1"/>
  <c r="D138" i="108"/>
  <c r="D182" i="108"/>
  <c r="H99" i="107"/>
  <c r="H109" i="107" s="1"/>
  <c r="D109" i="107"/>
  <c r="G196" i="107"/>
  <c r="I196" i="107" s="1"/>
  <c r="H200" i="107"/>
  <c r="G200" i="107"/>
  <c r="I200" i="107" s="1"/>
  <c r="D94" i="108"/>
  <c r="D136" i="108"/>
  <c r="H136" i="108" s="1"/>
  <c r="D12" i="108"/>
  <c r="D180" i="108"/>
  <c r="D40" i="107"/>
  <c r="H40" i="107" s="1"/>
  <c r="D255" i="107" s="1" a="1"/>
  <c r="D255" i="107" s="1"/>
  <c r="D45" i="107"/>
  <c r="H45" i="107" s="1"/>
  <c r="D260" i="107" s="1" a="1"/>
  <c r="D260" i="107" s="1"/>
  <c r="D29" i="107"/>
  <c r="H29" i="107" s="1"/>
  <c r="D244" i="107" s="1" a="1"/>
  <c r="D244" i="107" s="1"/>
  <c r="D30" i="107"/>
  <c r="H30" i="107" s="1"/>
  <c r="D245" i="107" s="1" a="1"/>
  <c r="D245" i="107" s="1"/>
  <c r="D38" i="107"/>
  <c r="H38" i="107" s="1"/>
  <c r="D253" i="107" s="1" a="1"/>
  <c r="D253" i="107" s="1"/>
  <c r="D31" i="107"/>
  <c r="H31" i="107" s="1"/>
  <c r="D246" i="107" s="1" a="1"/>
  <c r="D246" i="107" s="1"/>
  <c r="D35" i="107"/>
  <c r="H35" i="107" s="1"/>
  <c r="D250" i="107" s="1" a="1"/>
  <c r="D250" i="107" s="1"/>
  <c r="D42" i="107"/>
  <c r="H42" i="107" s="1"/>
  <c r="D257" i="107" s="1" a="1"/>
  <c r="D257" i="107" s="1"/>
  <c r="D26" i="107"/>
  <c r="H26" i="107" s="1"/>
  <c r="D241" i="107" s="1" a="1"/>
  <c r="D241" i="107" s="1"/>
  <c r="D44" i="107"/>
  <c r="H44" i="107" s="1"/>
  <c r="D259" i="107" s="1" a="1"/>
  <c r="D259" i="107" s="1"/>
  <c r="D33" i="107"/>
  <c r="H33" i="107" s="1"/>
  <c r="D248" i="107" s="1" a="1"/>
  <c r="D248" i="107" s="1"/>
  <c r="D32" i="107"/>
  <c r="H32" i="107" s="1"/>
  <c r="D247" i="107" s="1" a="1"/>
  <c r="D247" i="107" s="1"/>
  <c r="D37" i="107"/>
  <c r="H37" i="107" s="1"/>
  <c r="D252" i="107" s="1" a="1"/>
  <c r="D252" i="107" s="1"/>
  <c r="D46" i="107"/>
  <c r="H46" i="107" s="1"/>
  <c r="D261" i="107" s="1" a="1"/>
  <c r="D261" i="107" s="1"/>
  <c r="D39" i="107"/>
  <c r="H39" i="107" s="1"/>
  <c r="D254" i="107" s="1" a="1"/>
  <c r="D254" i="107" s="1"/>
  <c r="D47" i="107"/>
  <c r="H47" i="107" s="1"/>
  <c r="D262" i="107" s="1" a="1"/>
  <c r="D262" i="107" s="1"/>
  <c r="D43" i="107"/>
  <c r="H43" i="107" s="1"/>
  <c r="D258" i="107" s="1" a="1"/>
  <c r="D258" i="107" s="1"/>
  <c r="D27" i="107"/>
  <c r="H27" i="107" s="1"/>
  <c r="D242" i="107" s="1" a="1"/>
  <c r="D242" i="107" s="1"/>
  <c r="D34" i="107"/>
  <c r="H34" i="107" s="1"/>
  <c r="D249" i="107" s="1" a="1"/>
  <c r="D249" i="107" s="1"/>
  <c r="D41" i="107"/>
  <c r="H41" i="107" s="1"/>
  <c r="D256" i="107" s="1" a="1"/>
  <c r="D256" i="107" s="1"/>
  <c r="D28" i="107"/>
  <c r="H28" i="107" s="1"/>
  <c r="D243" i="107" s="1" a="1"/>
  <c r="D243" i="107" s="1"/>
  <c r="D36" i="107"/>
  <c r="H36" i="107" s="1"/>
  <c r="D251" i="107" s="1" a="1"/>
  <c r="D251" i="107" s="1"/>
  <c r="D67" i="107"/>
  <c r="H67" i="107" s="1"/>
  <c r="E248" i="107" s="1" a="1"/>
  <c r="E248" i="107" s="1"/>
  <c r="H197" i="107"/>
  <c r="G197" i="107"/>
  <c r="I197" i="107" s="1"/>
  <c r="H202" i="107"/>
  <c r="G202" i="107"/>
  <c r="I202" i="107" s="1"/>
  <c r="H147" i="107"/>
  <c r="K147" i="107" s="1"/>
  <c r="H152" i="107"/>
  <c r="J152" i="107" s="1"/>
  <c r="K152" i="107" s="1"/>
  <c r="H204" i="107"/>
  <c r="G204" i="107"/>
  <c r="I204" i="107" s="1"/>
  <c r="H198" i="107"/>
  <c r="G198" i="107"/>
  <c r="I198" i="107" s="1"/>
  <c r="G195" i="107"/>
  <c r="I195" i="107" s="1"/>
  <c r="D205" i="107"/>
  <c r="H17" i="107"/>
  <c r="H17" i="72"/>
  <c r="E77" i="108"/>
  <c r="E43" i="108"/>
  <c r="D98" i="108"/>
  <c r="H98" i="108" s="1"/>
  <c r="H43" i="108"/>
  <c r="D140" i="108"/>
  <c r="F11" i="108"/>
  <c r="H11" i="108" s="1"/>
  <c r="D184" i="108"/>
  <c r="H199" i="107"/>
  <c r="G199" i="107"/>
  <c r="I199" i="107" s="1"/>
  <c r="G203" i="107"/>
  <c r="I203" i="107" s="1"/>
  <c r="H203" i="107"/>
  <c r="J17" i="107"/>
  <c r="H201" i="107"/>
  <c r="G201" i="107"/>
  <c r="I201" i="107" s="1"/>
  <c r="D137" i="108"/>
  <c r="F8" i="108"/>
  <c r="H8" i="108" s="1"/>
  <c r="D181" i="108"/>
  <c r="D95" i="108"/>
  <c r="H95" i="108" s="1"/>
  <c r="H17" i="69"/>
  <c r="D30" i="71"/>
  <c r="H30" i="71" s="1"/>
  <c r="D230" i="71" s="1" a="1"/>
  <c r="D230" i="71" s="1"/>
  <c r="F14" i="79"/>
  <c r="H14" i="79" s="1"/>
  <c r="D201" i="79"/>
  <c r="G201" i="79" s="1"/>
  <c r="I201" i="79" s="1"/>
  <c r="D99" i="71"/>
  <c r="D16" i="105"/>
  <c r="P83" i="27"/>
  <c r="Q83" i="27" s="1"/>
  <c r="D9" i="106"/>
  <c r="F14" i="105"/>
  <c r="H14" i="105" s="1"/>
  <c r="D106" i="105"/>
  <c r="H106" i="105" s="1"/>
  <c r="D153" i="105"/>
  <c r="D202" i="105"/>
  <c r="F8" i="105"/>
  <c r="D100" i="105"/>
  <c r="H100" i="105" s="1"/>
  <c r="D147" i="105"/>
  <c r="D196" i="105"/>
  <c r="F7" i="105"/>
  <c r="H7" i="105" s="1"/>
  <c r="D99" i="105"/>
  <c r="D146" i="105"/>
  <c r="D195" i="105"/>
  <c r="F13" i="105"/>
  <c r="H13" i="105" s="1"/>
  <c r="D7" i="106"/>
  <c r="D104" i="105"/>
  <c r="H104" i="105" s="1"/>
  <c r="D151" i="105"/>
  <c r="F12" i="105"/>
  <c r="H12" i="105" s="1"/>
  <c r="D200" i="105"/>
  <c r="F15" i="105"/>
  <c r="H15" i="105" s="1"/>
  <c r="D10" i="106"/>
  <c r="D107" i="105"/>
  <c r="H107" i="105" s="1"/>
  <c r="D154" i="105"/>
  <c r="D203" i="105"/>
  <c r="D101" i="105"/>
  <c r="H101" i="105" s="1"/>
  <c r="F9" i="105"/>
  <c r="D148" i="105"/>
  <c r="D197" i="105"/>
  <c r="F11" i="105"/>
  <c r="H11" i="105" s="1"/>
  <c r="D103" i="105"/>
  <c r="H103" i="105" s="1"/>
  <c r="D150" i="105"/>
  <c r="D199" i="105"/>
  <c r="F10" i="105"/>
  <c r="H10" i="105" s="1"/>
  <c r="D102" i="105"/>
  <c r="H102" i="105" s="1"/>
  <c r="D149" i="105"/>
  <c r="D198" i="105"/>
  <c r="D8" i="106"/>
  <c r="D152" i="105"/>
  <c r="D105" i="105"/>
  <c r="H105" i="105" s="1"/>
  <c r="D201" i="105"/>
  <c r="D8" i="81"/>
  <c r="F9" i="81" s="1"/>
  <c r="H9" i="81" s="1"/>
  <c r="D101" i="82"/>
  <c r="H101" i="82" s="1"/>
  <c r="D102" i="79"/>
  <c r="H102" i="79" s="1"/>
  <c r="D152" i="79"/>
  <c r="D153" i="79"/>
  <c r="D106" i="79"/>
  <c r="H106" i="79" s="1"/>
  <c r="D149" i="79"/>
  <c r="D136" i="86"/>
  <c r="H136" i="86" s="1"/>
  <c r="F10" i="79"/>
  <c r="H10" i="79" s="1"/>
  <c r="D202" i="79"/>
  <c r="G202" i="79" s="1"/>
  <c r="I202" i="79" s="1"/>
  <c r="D11" i="79"/>
  <c r="F11" i="79" s="1"/>
  <c r="H11" i="79" s="1"/>
  <c r="F14" i="26"/>
  <c r="J14" i="26"/>
  <c r="F15" i="26"/>
  <c r="J15" i="26"/>
  <c r="D109" i="69"/>
  <c r="D40" i="71"/>
  <c r="H40" i="71" s="1"/>
  <c r="D240" i="71" s="1" a="1"/>
  <c r="D240" i="71" s="1"/>
  <c r="D15" i="79"/>
  <c r="F15" i="79" s="1"/>
  <c r="H15" i="79" s="1"/>
  <c r="J196" i="87"/>
  <c r="K196" i="87" s="1"/>
  <c r="D33" i="71"/>
  <c r="H33" i="71" s="1"/>
  <c r="D233" i="71" s="1" a="1"/>
  <c r="D233" i="71" s="1"/>
  <c r="D33" i="69"/>
  <c r="H33" i="69" s="1"/>
  <c r="D248" i="69" s="1" a="1"/>
  <c r="D248" i="69" s="1"/>
  <c r="D39" i="71"/>
  <c r="H39" i="71" s="1"/>
  <c r="D239" i="71" s="1" a="1"/>
  <c r="D239" i="71" s="1"/>
  <c r="D34" i="71"/>
  <c r="H34" i="71" s="1"/>
  <c r="D234" i="71" s="1" a="1"/>
  <c r="D234" i="71" s="1"/>
  <c r="D24" i="71"/>
  <c r="H24" i="71" s="1"/>
  <c r="D224" i="71" s="1" a="1"/>
  <c r="D224" i="71" s="1"/>
  <c r="D104" i="79"/>
  <c r="H104" i="79" s="1"/>
  <c r="H154" i="72"/>
  <c r="J154" i="72" s="1"/>
  <c r="K154" i="72" s="1"/>
  <c r="G200" i="69"/>
  <c r="I200" i="69" s="1"/>
  <c r="J200" i="69" s="1"/>
  <c r="D46" i="69"/>
  <c r="H46" i="69" s="1"/>
  <c r="D261" i="69" s="1" a="1"/>
  <c r="D261" i="69" s="1"/>
  <c r="D7" i="81"/>
  <c r="F13" i="79"/>
  <c r="H13" i="79" s="1"/>
  <c r="J12" i="71"/>
  <c r="D200" i="79"/>
  <c r="H200" i="79" s="1"/>
  <c r="H90" i="89"/>
  <c r="G202" i="69"/>
  <c r="I202" i="69" s="1"/>
  <c r="J202" i="69" s="1"/>
  <c r="D21" i="71"/>
  <c r="H21" i="71" s="1"/>
  <c r="D221" i="71" s="1" a="1"/>
  <c r="D221" i="71" s="1"/>
  <c r="D22" i="71"/>
  <c r="H22" i="71" s="1"/>
  <c r="D222" i="71" s="1" a="1"/>
  <c r="D222" i="71" s="1"/>
  <c r="D12" i="70" s="1"/>
  <c r="H137" i="73"/>
  <c r="J137" i="73" s="1"/>
  <c r="K137" i="73" s="1"/>
  <c r="D23" i="71"/>
  <c r="H23" i="71" s="1"/>
  <c r="D223" i="71" s="1" a="1"/>
  <c r="D223" i="71" s="1"/>
  <c r="D37" i="71"/>
  <c r="H37" i="71" s="1"/>
  <c r="D237" i="71" s="1" a="1"/>
  <c r="D237" i="71" s="1"/>
  <c r="G12" i="70" s="1"/>
  <c r="D27" i="71"/>
  <c r="H27" i="71" s="1"/>
  <c r="D227" i="71" s="1" a="1"/>
  <c r="D227" i="71" s="1"/>
  <c r="E12" i="70" s="1"/>
  <c r="D32" i="71"/>
  <c r="H32" i="71" s="1"/>
  <c r="D232" i="71" s="1" a="1"/>
  <c r="D232" i="71" s="1"/>
  <c r="F12" i="70" s="1"/>
  <c r="D26" i="71"/>
  <c r="H26" i="71" s="1"/>
  <c r="D226" i="71" s="1" a="1"/>
  <c r="D226" i="71" s="1"/>
  <c r="D42" i="71"/>
  <c r="H42" i="71" s="1"/>
  <c r="D242" i="71" s="1" a="1"/>
  <c r="D242" i="71" s="1"/>
  <c r="H12" i="70" s="1"/>
  <c r="H12" i="71"/>
  <c r="D45" i="69"/>
  <c r="H45" i="69" s="1"/>
  <c r="D260" i="69" s="1" a="1"/>
  <c r="D260" i="69" s="1"/>
  <c r="D29" i="71"/>
  <c r="H29" i="71" s="1"/>
  <c r="D229" i="71" s="1" a="1"/>
  <c r="D229" i="71" s="1"/>
  <c r="D41" i="71"/>
  <c r="H41" i="71" s="1"/>
  <c r="D241" i="71" s="1" a="1"/>
  <c r="D241" i="71" s="1"/>
  <c r="D28" i="71"/>
  <c r="H28" i="71" s="1"/>
  <c r="D228" i="71" s="1" a="1"/>
  <c r="D228" i="71" s="1"/>
  <c r="D38" i="71"/>
  <c r="H38" i="71" s="1"/>
  <c r="D238" i="71" s="1" a="1"/>
  <c r="D238" i="71" s="1"/>
  <c r="H139" i="73"/>
  <c r="J139" i="73" s="1"/>
  <c r="K139" i="73" s="1"/>
  <c r="H138" i="73"/>
  <c r="J138" i="73" s="1"/>
  <c r="K138" i="73" s="1"/>
  <c r="D31" i="71"/>
  <c r="H31" i="71" s="1"/>
  <c r="D231" i="71" s="1" a="1"/>
  <c r="D231" i="71" s="1"/>
  <c r="D25" i="71"/>
  <c r="H25" i="71" s="1"/>
  <c r="D225" i="71" s="1" a="1"/>
  <c r="D225" i="71" s="1"/>
  <c r="D35" i="71"/>
  <c r="H35" i="71" s="1"/>
  <c r="D235" i="71" s="1" a="1"/>
  <c r="D235" i="71" s="1"/>
  <c r="D36" i="71"/>
  <c r="H36" i="71" s="1"/>
  <c r="D236" i="71" s="1" a="1"/>
  <c r="D236" i="71" s="1"/>
  <c r="G196" i="69"/>
  <c r="I196" i="69" s="1"/>
  <c r="J196" i="69" s="1"/>
  <c r="H12" i="73"/>
  <c r="H48" i="87"/>
  <c r="D28" i="87" s="1"/>
  <c r="H28" i="87" s="1"/>
  <c r="D243" i="87" s="1" a="1"/>
  <c r="D243" i="87" s="1"/>
  <c r="H104" i="69"/>
  <c r="H109" i="69" s="1"/>
  <c r="H148" i="72"/>
  <c r="J148" i="72" s="1"/>
  <c r="K148" i="72" s="1"/>
  <c r="D63" i="69"/>
  <c r="H63" i="69" s="1"/>
  <c r="E244" i="69" s="1" a="1"/>
  <c r="E244" i="69" s="1"/>
  <c r="I140" i="20"/>
  <c r="I141" i="20" s="1"/>
  <c r="E140" i="20"/>
  <c r="H149" i="72"/>
  <c r="J149" i="72" s="1"/>
  <c r="K149" i="72" s="1"/>
  <c r="D42" i="69"/>
  <c r="H42" i="69" s="1"/>
  <c r="D257" i="69" s="1" a="1"/>
  <c r="D257" i="69" s="1"/>
  <c r="G6" i="70" s="1"/>
  <c r="H150" i="69"/>
  <c r="J150" i="69" s="1"/>
  <c r="K150" i="69" s="1"/>
  <c r="H152" i="69"/>
  <c r="J152" i="69" s="1"/>
  <c r="K152" i="69" s="1"/>
  <c r="D28" i="69"/>
  <c r="H28" i="69" s="1"/>
  <c r="D243" i="69" s="1" a="1"/>
  <c r="D243" i="69" s="1"/>
  <c r="D66" i="69"/>
  <c r="H66" i="69" s="1"/>
  <c r="E247" i="69" s="1" a="1"/>
  <c r="E247" i="69" s="1"/>
  <c r="E7" i="70" s="1"/>
  <c r="G140" i="20"/>
  <c r="D32" i="69"/>
  <c r="H32" i="69" s="1"/>
  <c r="D247" i="69" s="1" a="1"/>
  <c r="D247" i="69" s="1"/>
  <c r="E6" i="70" s="1"/>
  <c r="D69" i="69"/>
  <c r="H69" i="69" s="1"/>
  <c r="E250" i="69" s="1" a="1"/>
  <c r="E250" i="69" s="1"/>
  <c r="D73" i="69"/>
  <c r="H73" i="69" s="1"/>
  <c r="E254" i="69" s="1" a="1"/>
  <c r="E254" i="69" s="1"/>
  <c r="D71" i="69"/>
  <c r="H71" i="69" s="1"/>
  <c r="E252" i="69" s="1" a="1"/>
  <c r="E252" i="69" s="1"/>
  <c r="F7" i="70" s="1"/>
  <c r="D78" i="69"/>
  <c r="H78" i="69" s="1"/>
  <c r="E259" i="69" s="1" a="1"/>
  <c r="E259" i="69" s="1"/>
  <c r="D68" i="69"/>
  <c r="H68" i="69" s="1"/>
  <c r="E249" i="69" s="1" a="1"/>
  <c r="E249" i="69" s="1"/>
  <c r="D81" i="69"/>
  <c r="H81" i="69" s="1"/>
  <c r="E262" i="69" s="1" a="1"/>
  <c r="E262" i="69" s="1"/>
  <c r="H7" i="70" s="1"/>
  <c r="D65" i="69"/>
  <c r="H65" i="69" s="1"/>
  <c r="E246" i="69" s="1" a="1"/>
  <c r="E246" i="69" s="1"/>
  <c r="D67" i="69"/>
  <c r="H67" i="69" s="1"/>
  <c r="E248" i="69" s="1" a="1"/>
  <c r="E248" i="69" s="1"/>
  <c r="D72" i="69"/>
  <c r="H72" i="69" s="1"/>
  <c r="E253" i="69" s="1" a="1"/>
  <c r="E253" i="69" s="1"/>
  <c r="D64" i="69"/>
  <c r="H64" i="69" s="1"/>
  <c r="E245" i="69" s="1" a="1"/>
  <c r="E245" i="69" s="1"/>
  <c r="H153" i="69"/>
  <c r="J153" i="69" s="1"/>
  <c r="K153" i="69" s="1"/>
  <c r="D74" i="69"/>
  <c r="H74" i="69" s="1"/>
  <c r="E255" i="69" s="1" a="1"/>
  <c r="E255" i="69" s="1"/>
  <c r="D77" i="69"/>
  <c r="H77" i="69" s="1"/>
  <c r="E258" i="69" s="1" a="1"/>
  <c r="E258" i="69" s="1"/>
  <c r="D75" i="69"/>
  <c r="H75" i="69" s="1"/>
  <c r="E256" i="69" s="1" a="1"/>
  <c r="E256" i="69" s="1"/>
  <c r="D80" i="69"/>
  <c r="H80" i="69" s="1"/>
  <c r="E261" i="69" s="1" a="1"/>
  <c r="E261" i="69" s="1"/>
  <c r="H154" i="69"/>
  <c r="J154" i="69" s="1"/>
  <c r="K154" i="69" s="1"/>
  <c r="J17" i="69"/>
  <c r="G90" i="89"/>
  <c r="H153" i="72"/>
  <c r="J153" i="72" s="1"/>
  <c r="K153" i="72" s="1"/>
  <c r="D44" i="69"/>
  <c r="H44" i="69" s="1"/>
  <c r="D259" i="69" s="1" a="1"/>
  <c r="D259" i="69" s="1"/>
  <c r="D36" i="69"/>
  <c r="H36" i="69" s="1"/>
  <c r="D251" i="69" s="1" a="1"/>
  <c r="D251" i="69" s="1"/>
  <c r="H137" i="71"/>
  <c r="J137" i="71" s="1"/>
  <c r="K137" i="71" s="1"/>
  <c r="H147" i="69"/>
  <c r="J147" i="69" s="1"/>
  <c r="K147" i="69" s="1"/>
  <c r="H152" i="72"/>
  <c r="J152" i="72" s="1"/>
  <c r="K152" i="72" s="1"/>
  <c r="C43" i="84"/>
  <c r="C50" i="84" s="1"/>
  <c r="H204" i="69"/>
  <c r="G204" i="69"/>
  <c r="I204" i="69" s="1"/>
  <c r="H138" i="71"/>
  <c r="J138" i="71" s="1"/>
  <c r="K138" i="71" s="1"/>
  <c r="D149" i="85"/>
  <c r="D105" i="85"/>
  <c r="H105" i="85" s="1"/>
  <c r="H148" i="69"/>
  <c r="J148" i="69" s="1"/>
  <c r="K148" i="69" s="1"/>
  <c r="D27" i="69"/>
  <c r="H27" i="69" s="1"/>
  <c r="D242" i="69" s="1" a="1"/>
  <c r="D242" i="69" s="1"/>
  <c r="D6" i="70" s="1"/>
  <c r="D31" i="69"/>
  <c r="H31" i="69" s="1"/>
  <c r="D246" i="69" s="1" a="1"/>
  <c r="D246" i="69" s="1"/>
  <c r="D37" i="69"/>
  <c r="H37" i="69" s="1"/>
  <c r="D252" i="69" s="1" a="1"/>
  <c r="D252" i="69" s="1"/>
  <c r="F6" i="70" s="1"/>
  <c r="H150" i="72"/>
  <c r="J150" i="72" s="1"/>
  <c r="K150" i="72" s="1"/>
  <c r="D61" i="69"/>
  <c r="H61" i="69" s="1"/>
  <c r="E242" i="69" s="1" a="1"/>
  <c r="E242" i="69" s="1"/>
  <c r="D7" i="70" s="1"/>
  <c r="D62" i="69"/>
  <c r="H62" i="69" s="1"/>
  <c r="E243" i="69" s="1" a="1"/>
  <c r="E243" i="69" s="1"/>
  <c r="D79" i="69"/>
  <c r="H79" i="69" s="1"/>
  <c r="E260" i="69" s="1" a="1"/>
  <c r="E260" i="69" s="1"/>
  <c r="D70" i="69"/>
  <c r="H70" i="69" s="1"/>
  <c r="E251" i="69" s="1" a="1"/>
  <c r="E251" i="69" s="1"/>
  <c r="D60" i="69"/>
  <c r="H60" i="69" s="1"/>
  <c r="E241" i="69" s="1" a="1"/>
  <c r="E241" i="69" s="1"/>
  <c r="F156" i="69"/>
  <c r="H94" i="73"/>
  <c r="H99" i="73" s="1"/>
  <c r="D99" i="73"/>
  <c r="D181" i="88"/>
  <c r="F8" i="88"/>
  <c r="H8" i="88" s="1"/>
  <c r="D137" i="88"/>
  <c r="D95" i="88"/>
  <c r="H95" i="88" s="1"/>
  <c r="H182" i="88"/>
  <c r="G182" i="88"/>
  <c r="I182" i="88" s="1"/>
  <c r="F181" i="71"/>
  <c r="D81" i="72"/>
  <c r="H81" i="72" s="1"/>
  <c r="E262" i="72" s="1" a="1"/>
  <c r="E262" i="72" s="1"/>
  <c r="H23" i="70" s="1"/>
  <c r="D69" i="72"/>
  <c r="H69" i="72" s="1"/>
  <c r="E250" i="72" s="1" a="1"/>
  <c r="E250" i="72" s="1"/>
  <c r="D79" i="72"/>
  <c r="H79" i="72" s="1"/>
  <c r="E260" i="72" s="1" a="1"/>
  <c r="E260" i="72" s="1"/>
  <c r="D74" i="72"/>
  <c r="H74" i="72" s="1"/>
  <c r="E255" i="72" s="1" a="1"/>
  <c r="E255" i="72" s="1"/>
  <c r="D68" i="72"/>
  <c r="H68" i="72" s="1"/>
  <c r="E249" i="72" s="1" a="1"/>
  <c r="E249" i="72" s="1"/>
  <c r="D41" i="73"/>
  <c r="H41" i="73" s="1"/>
  <c r="D241" i="73" s="1" a="1"/>
  <c r="D241" i="73" s="1"/>
  <c r="D39" i="73"/>
  <c r="H39" i="73" s="1"/>
  <c r="D239" i="73" s="1" a="1"/>
  <c r="D239" i="73" s="1"/>
  <c r="D37" i="73"/>
  <c r="H37" i="73" s="1"/>
  <c r="D237" i="73" s="1" a="1"/>
  <c r="D237" i="73" s="1"/>
  <c r="D35" i="73"/>
  <c r="H35" i="73" s="1"/>
  <c r="D235" i="73" s="1" a="1"/>
  <c r="D235" i="73" s="1"/>
  <c r="D33" i="73"/>
  <c r="H33" i="73" s="1"/>
  <c r="D233" i="73" s="1" a="1"/>
  <c r="D233" i="73" s="1"/>
  <c r="D31" i="73"/>
  <c r="H31" i="73" s="1"/>
  <c r="D231" i="73" s="1" a="1"/>
  <c r="D231" i="73" s="1"/>
  <c r="D29" i="73"/>
  <c r="H29" i="73" s="1"/>
  <c r="D229" i="73" s="1" a="1"/>
  <c r="D229" i="73" s="1"/>
  <c r="D27" i="73"/>
  <c r="H27" i="73" s="1"/>
  <c r="D227" i="73" s="1" a="1"/>
  <c r="D227" i="73" s="1"/>
  <c r="D25" i="73"/>
  <c r="H25" i="73" s="1"/>
  <c r="D225" i="73" s="1" a="1"/>
  <c r="D225" i="73" s="1"/>
  <c r="D23" i="73"/>
  <c r="H23" i="73" s="1"/>
  <c r="D223" i="73" s="1" a="1"/>
  <c r="D223" i="73" s="1"/>
  <c r="D21" i="73"/>
  <c r="H21" i="73" s="1"/>
  <c r="D221" i="73" s="1" a="1"/>
  <c r="D221" i="73" s="1"/>
  <c r="D42" i="73"/>
  <c r="H42" i="73" s="1"/>
  <c r="D242" i="73" s="1" a="1"/>
  <c r="D242" i="73" s="1"/>
  <c r="D40" i="73"/>
  <c r="H40" i="73" s="1"/>
  <c r="D240" i="73" s="1" a="1"/>
  <c r="D240" i="73" s="1"/>
  <c r="D38" i="73"/>
  <c r="H38" i="73" s="1"/>
  <c r="D238" i="73" s="1" a="1"/>
  <c r="D238" i="73" s="1"/>
  <c r="D36" i="73"/>
  <c r="H36" i="73" s="1"/>
  <c r="D236" i="73" s="1" a="1"/>
  <c r="D236" i="73" s="1"/>
  <c r="D34" i="73"/>
  <c r="H34" i="73" s="1"/>
  <c r="D234" i="73" s="1" a="1"/>
  <c r="D234" i="73" s="1"/>
  <c r="D32" i="73"/>
  <c r="H32" i="73" s="1"/>
  <c r="D232" i="73" s="1" a="1"/>
  <c r="D232" i="73" s="1"/>
  <c r="D30" i="73"/>
  <c r="H30" i="73" s="1"/>
  <c r="D230" i="73" s="1" a="1"/>
  <c r="D230" i="73" s="1"/>
  <c r="D28" i="73"/>
  <c r="H28" i="73" s="1"/>
  <c r="D228" i="73" s="1" a="1"/>
  <c r="D228" i="73" s="1"/>
  <c r="D26" i="73"/>
  <c r="H26" i="73" s="1"/>
  <c r="D226" i="73" s="1" a="1"/>
  <c r="D226" i="73" s="1"/>
  <c r="D24" i="73"/>
  <c r="H24" i="73" s="1"/>
  <c r="D224" i="73" s="1" a="1"/>
  <c r="D224" i="73" s="1"/>
  <c r="D22" i="73"/>
  <c r="H22" i="73" s="1"/>
  <c r="D222" i="73" s="1" a="1"/>
  <c r="D222" i="73" s="1"/>
  <c r="H150" i="87"/>
  <c r="J150" i="87" s="1"/>
  <c r="K150" i="87" s="1"/>
  <c r="J12" i="73"/>
  <c r="D180" i="71"/>
  <c r="E180" i="71"/>
  <c r="H77" i="88"/>
  <c r="D67" i="88" s="1"/>
  <c r="H67" i="88" s="1"/>
  <c r="E233" i="88" s="1" a="1"/>
  <c r="E233" i="88" s="1"/>
  <c r="D68" i="71"/>
  <c r="H68" i="71" s="1"/>
  <c r="E234" i="71" s="1" a="1"/>
  <c r="E234" i="71" s="1"/>
  <c r="D55" i="71"/>
  <c r="H55" i="71" s="1"/>
  <c r="E221" i="71" s="1" a="1"/>
  <c r="E221" i="71" s="1"/>
  <c r="D65" i="71"/>
  <c r="H65" i="71" s="1"/>
  <c r="E231" i="71" s="1" a="1"/>
  <c r="E231" i="71" s="1"/>
  <c r="D77" i="72"/>
  <c r="H77" i="72" s="1"/>
  <c r="E258" i="72" s="1" a="1"/>
  <c r="E258" i="72" s="1"/>
  <c r="J196" i="72"/>
  <c r="H184" i="73"/>
  <c r="G184" i="73"/>
  <c r="I184" i="73" s="1"/>
  <c r="H198" i="87"/>
  <c r="G198" i="87"/>
  <c r="I198" i="87" s="1"/>
  <c r="H89" i="89"/>
  <c r="D148" i="85"/>
  <c r="E15" i="26"/>
  <c r="B11" i="68"/>
  <c r="D30" i="69"/>
  <c r="H30" i="69" s="1"/>
  <c r="D245" i="69" s="1" a="1"/>
  <c r="D245" i="69" s="1"/>
  <c r="D35" i="69"/>
  <c r="H35" i="69" s="1"/>
  <c r="D250" i="69" s="1" a="1"/>
  <c r="D250" i="69" s="1"/>
  <c r="D26" i="69"/>
  <c r="H26" i="69" s="1"/>
  <c r="D241" i="69" s="1" a="1"/>
  <c r="D241" i="69" s="1"/>
  <c r="D39" i="69"/>
  <c r="H39" i="69" s="1"/>
  <c r="D254" i="69" s="1" a="1"/>
  <c r="D254" i="69" s="1"/>
  <c r="D40" i="69"/>
  <c r="H40" i="69" s="1"/>
  <c r="D255" i="69" s="1" a="1"/>
  <c r="D255" i="69" s="1"/>
  <c r="D41" i="69"/>
  <c r="H41" i="69" s="1"/>
  <c r="D256" i="69" s="1" a="1"/>
  <c r="D256" i="69" s="1"/>
  <c r="G184" i="88"/>
  <c r="I184" i="88" s="1"/>
  <c r="H184" i="88"/>
  <c r="H147" i="72"/>
  <c r="J147" i="72" s="1"/>
  <c r="K147" i="72" s="1"/>
  <c r="D56" i="71"/>
  <c r="H56" i="71" s="1"/>
  <c r="E222" i="71" s="1" a="1"/>
  <c r="E222" i="71" s="1"/>
  <c r="D13" i="70" s="1"/>
  <c r="D74" i="71"/>
  <c r="H74" i="71" s="1"/>
  <c r="E240" i="71" s="1" a="1"/>
  <c r="E240" i="71" s="1"/>
  <c r="D76" i="71"/>
  <c r="H76" i="71" s="1"/>
  <c r="E242" i="71" s="1" a="1"/>
  <c r="E242" i="71" s="1"/>
  <c r="H13" i="70" s="1"/>
  <c r="D59" i="71"/>
  <c r="H59" i="71" s="1"/>
  <c r="E225" i="71" s="1" a="1"/>
  <c r="E225" i="71" s="1"/>
  <c r="D75" i="71"/>
  <c r="H75" i="71" s="1"/>
  <c r="E241" i="71" s="1" a="1"/>
  <c r="E241" i="71" s="1"/>
  <c r="D69" i="71"/>
  <c r="H69" i="71" s="1"/>
  <c r="E235" i="71" s="1" a="1"/>
  <c r="E235" i="71" s="1"/>
  <c r="H148" i="87"/>
  <c r="K148" i="87" s="1"/>
  <c r="H183" i="71"/>
  <c r="G183" i="71"/>
  <c r="I183" i="71" s="1"/>
  <c r="E195" i="72"/>
  <c r="D195" i="72"/>
  <c r="E202" i="72"/>
  <c r="E204" i="72"/>
  <c r="E196" i="72"/>
  <c r="E198" i="72"/>
  <c r="E200" i="72"/>
  <c r="E201" i="69"/>
  <c r="D201" i="69"/>
  <c r="D65" i="72"/>
  <c r="H65" i="72" s="1"/>
  <c r="E246" i="72" s="1" a="1"/>
  <c r="E246" i="72" s="1"/>
  <c r="D67" i="72"/>
  <c r="H67" i="72" s="1"/>
  <c r="E248" i="72" s="1" a="1"/>
  <c r="E248" i="72" s="1"/>
  <c r="D63" i="72"/>
  <c r="H63" i="72" s="1"/>
  <c r="E244" i="72" s="1" a="1"/>
  <c r="E244" i="72" s="1"/>
  <c r="D66" i="72"/>
  <c r="H66" i="72" s="1"/>
  <c r="E247" i="72" s="1" a="1"/>
  <c r="E247" i="72" s="1"/>
  <c r="E23" i="70" s="1"/>
  <c r="D60" i="72"/>
  <c r="H60" i="72" s="1"/>
  <c r="E241" i="72" s="1" a="1"/>
  <c r="E241" i="72" s="1"/>
  <c r="D76" i="72"/>
  <c r="H76" i="72" s="1"/>
  <c r="E257" i="72" s="1" a="1"/>
  <c r="E257" i="72" s="1"/>
  <c r="G23" i="70" s="1"/>
  <c r="G204" i="87"/>
  <c r="I204" i="87" s="1"/>
  <c r="H204" i="87"/>
  <c r="D77" i="87"/>
  <c r="H77" i="87" s="1"/>
  <c r="E258" i="87" s="1" a="1"/>
  <c r="E258" i="87" s="1"/>
  <c r="G195" i="87"/>
  <c r="I195" i="87" s="1"/>
  <c r="F15" i="87"/>
  <c r="H15" i="87" s="1"/>
  <c r="D154" i="87"/>
  <c r="H154" i="87" s="1"/>
  <c r="J154" i="87" s="1"/>
  <c r="K154" i="87" s="1"/>
  <c r="D107" i="87"/>
  <c r="H107" i="87" s="1"/>
  <c r="D203" i="87"/>
  <c r="H146" i="69"/>
  <c r="J146" i="69" s="1"/>
  <c r="K146" i="69" s="1"/>
  <c r="H151" i="72"/>
  <c r="J151" i="72" s="1"/>
  <c r="K151" i="72" s="1"/>
  <c r="E199" i="72"/>
  <c r="D199" i="72"/>
  <c r="E203" i="69"/>
  <c r="D203" i="69"/>
  <c r="J200" i="72"/>
  <c r="E180" i="73"/>
  <c r="D180" i="73"/>
  <c r="E182" i="73"/>
  <c r="E184" i="73"/>
  <c r="J204" i="72"/>
  <c r="H146" i="72"/>
  <c r="J146" i="72" s="1"/>
  <c r="K146" i="72" s="1"/>
  <c r="D94" i="88"/>
  <c r="D12" i="88"/>
  <c r="D136" i="88"/>
  <c r="H136" i="88" s="1"/>
  <c r="D180" i="88"/>
  <c r="H149" i="87"/>
  <c r="J149" i="87" s="1"/>
  <c r="K149" i="87" s="1"/>
  <c r="D91" i="89"/>
  <c r="D89" i="89"/>
  <c r="G199" i="87"/>
  <c r="I199" i="87" s="1"/>
  <c r="H199" i="87"/>
  <c r="H155" i="72"/>
  <c r="J155" i="72" s="1"/>
  <c r="G156" i="72"/>
  <c r="D58" i="71"/>
  <c r="H58" i="71" s="1"/>
  <c r="E224" i="71" s="1" a="1"/>
  <c r="E224" i="71" s="1"/>
  <c r="D60" i="71"/>
  <c r="H60" i="71" s="1"/>
  <c r="E226" i="71" s="1" a="1"/>
  <c r="E226" i="71" s="1"/>
  <c r="D70" i="71"/>
  <c r="H70" i="71" s="1"/>
  <c r="E236" i="71" s="1" a="1"/>
  <c r="E236" i="71" s="1"/>
  <c r="D67" i="71"/>
  <c r="H67" i="71" s="1"/>
  <c r="E233" i="71" s="1" a="1"/>
  <c r="E233" i="71" s="1"/>
  <c r="D61" i="71"/>
  <c r="H61" i="71" s="1"/>
  <c r="E227" i="71" s="1" a="1"/>
  <c r="E227" i="71" s="1"/>
  <c r="E13" i="70" s="1"/>
  <c r="C25" i="68"/>
  <c r="D183" i="73"/>
  <c r="E183" i="73"/>
  <c r="G140" i="71"/>
  <c r="F141" i="71"/>
  <c r="E197" i="69"/>
  <c r="D197" i="69"/>
  <c r="E195" i="69"/>
  <c r="D195" i="69"/>
  <c r="E204" i="69"/>
  <c r="E198" i="69"/>
  <c r="E200" i="69"/>
  <c r="E196" i="69"/>
  <c r="E202" i="69"/>
  <c r="H147" i="87"/>
  <c r="K147" i="87" s="1"/>
  <c r="E199" i="69"/>
  <c r="D199" i="69"/>
  <c r="F156" i="72"/>
  <c r="D66" i="71"/>
  <c r="H66" i="71" s="1"/>
  <c r="E232" i="71" s="1" a="1"/>
  <c r="E232" i="71" s="1"/>
  <c r="F13" i="70" s="1"/>
  <c r="D71" i="71"/>
  <c r="H71" i="71" s="1"/>
  <c r="E237" i="71" s="1" a="1"/>
  <c r="E237" i="71" s="1"/>
  <c r="G13" i="70" s="1"/>
  <c r="E197" i="72"/>
  <c r="D197" i="72"/>
  <c r="G197" i="87"/>
  <c r="I197" i="87" s="1"/>
  <c r="H197" i="87"/>
  <c r="D75" i="72"/>
  <c r="H75" i="72" s="1"/>
  <c r="E256" i="72" s="1" a="1"/>
  <c r="E256" i="72" s="1"/>
  <c r="D62" i="72"/>
  <c r="H62" i="72" s="1"/>
  <c r="E243" i="72" s="1" a="1"/>
  <c r="E243" i="72" s="1"/>
  <c r="D78" i="72"/>
  <c r="H78" i="72" s="1"/>
  <c r="E259" i="72" s="1" a="1"/>
  <c r="E259" i="72" s="1"/>
  <c r="D72" i="72"/>
  <c r="H72" i="72" s="1"/>
  <c r="E253" i="72" s="1" a="1"/>
  <c r="E253" i="72" s="1"/>
  <c r="G22" i="70"/>
  <c r="H202" i="87"/>
  <c r="G202" i="87"/>
  <c r="I202" i="87" s="1"/>
  <c r="H99" i="87"/>
  <c r="E201" i="72"/>
  <c r="D201" i="72"/>
  <c r="F12" i="87"/>
  <c r="H12" i="87" s="1"/>
  <c r="D104" i="87"/>
  <c r="H104" i="87" s="1"/>
  <c r="D151" i="87"/>
  <c r="H151" i="87" s="1"/>
  <c r="J151" i="87" s="1"/>
  <c r="K151" i="87" s="1"/>
  <c r="D200" i="87"/>
  <c r="D184" i="71"/>
  <c r="E184" i="71"/>
  <c r="F8" i="82"/>
  <c r="H8" i="82" s="1"/>
  <c r="F14" i="87"/>
  <c r="H14" i="87" s="1"/>
  <c r="F13" i="87"/>
  <c r="H13" i="87" s="1"/>
  <c r="D105" i="87"/>
  <c r="H105" i="87" s="1"/>
  <c r="D152" i="87"/>
  <c r="H152" i="87" s="1"/>
  <c r="J152" i="87" s="1"/>
  <c r="K152" i="87" s="1"/>
  <c r="D201" i="87"/>
  <c r="D34" i="69"/>
  <c r="H34" i="69" s="1"/>
  <c r="D249" i="69" s="1" a="1"/>
  <c r="D249" i="69" s="1"/>
  <c r="D43" i="69"/>
  <c r="H43" i="69" s="1"/>
  <c r="D258" i="69" s="1" a="1"/>
  <c r="D258" i="69" s="1"/>
  <c r="D38" i="69"/>
  <c r="H38" i="69" s="1"/>
  <c r="D253" i="69" s="1" a="1"/>
  <c r="D253" i="69" s="1"/>
  <c r="D47" i="69"/>
  <c r="H47" i="69" s="1"/>
  <c r="D262" i="69" s="1" a="1"/>
  <c r="D262" i="69" s="1"/>
  <c r="D29" i="69"/>
  <c r="H29" i="69" s="1"/>
  <c r="D244" i="69" s="1" a="1"/>
  <c r="D244" i="69" s="1"/>
  <c r="D181" i="73"/>
  <c r="E181" i="73"/>
  <c r="H43" i="88"/>
  <c r="D38" i="88" s="1"/>
  <c r="H38" i="88" s="1"/>
  <c r="D238" i="88" s="1" a="1"/>
  <c r="D238" i="88" s="1"/>
  <c r="F9" i="88"/>
  <c r="H9" i="88" s="1"/>
  <c r="D90" i="89"/>
  <c r="H139" i="71"/>
  <c r="J139" i="71" s="1"/>
  <c r="K139" i="71" s="1"/>
  <c r="D72" i="71"/>
  <c r="H72" i="71" s="1"/>
  <c r="E238" i="71" s="1" a="1"/>
  <c r="E238" i="71" s="1"/>
  <c r="D64" i="71"/>
  <c r="H64" i="71" s="1"/>
  <c r="E230" i="71" s="1" a="1"/>
  <c r="E230" i="71" s="1"/>
  <c r="D62" i="71"/>
  <c r="H62" i="71" s="1"/>
  <c r="E228" i="71" s="1" a="1"/>
  <c r="E228" i="71" s="1"/>
  <c r="D63" i="71"/>
  <c r="H63" i="71" s="1"/>
  <c r="E229" i="71" s="1" a="1"/>
  <c r="E229" i="71" s="1"/>
  <c r="D57" i="71"/>
  <c r="H57" i="71" s="1"/>
  <c r="E223" i="71" s="1" a="1"/>
  <c r="E223" i="71" s="1"/>
  <c r="E183" i="71"/>
  <c r="H182" i="73"/>
  <c r="G182" i="73"/>
  <c r="I182" i="73" s="1"/>
  <c r="H181" i="71"/>
  <c r="G181" i="71"/>
  <c r="I181" i="71" s="1"/>
  <c r="H155" i="69"/>
  <c r="J155" i="69" s="1"/>
  <c r="G156" i="69"/>
  <c r="D73" i="72"/>
  <c r="H73" i="72" s="1"/>
  <c r="E254" i="72" s="1" a="1"/>
  <c r="E254" i="72" s="1"/>
  <c r="D61" i="72"/>
  <c r="H61" i="72" s="1"/>
  <c r="E242" i="72" s="1" a="1"/>
  <c r="E242" i="72" s="1"/>
  <c r="D23" i="70" s="1"/>
  <c r="D71" i="72"/>
  <c r="H71" i="72" s="1"/>
  <c r="E252" i="72" s="1" a="1"/>
  <c r="E252" i="72" s="1"/>
  <c r="F23" i="70" s="1"/>
  <c r="D70" i="72"/>
  <c r="H70" i="72" s="1"/>
  <c r="E251" i="72" s="1" a="1"/>
  <c r="E251" i="72" s="1"/>
  <c r="D64" i="72"/>
  <c r="H64" i="72" s="1"/>
  <c r="E245" i="72" s="1" a="1"/>
  <c r="E245" i="72" s="1"/>
  <c r="E203" i="72"/>
  <c r="D203" i="72"/>
  <c r="I138" i="20"/>
  <c r="H155" i="87"/>
  <c r="J155" i="87" s="1"/>
  <c r="H153" i="87"/>
  <c r="J153" i="87" s="1"/>
  <c r="K153" i="87" s="1"/>
  <c r="D17" i="87"/>
  <c r="F10" i="88"/>
  <c r="H10" i="88" s="1"/>
  <c r="D139" i="88"/>
  <c r="D97" i="88"/>
  <c r="H97" i="88" s="1"/>
  <c r="D183" i="88"/>
  <c r="D182" i="71"/>
  <c r="E182" i="71"/>
  <c r="H140" i="73"/>
  <c r="J140" i="73" s="1"/>
  <c r="G141" i="73"/>
  <c r="G91" i="89"/>
  <c r="H77" i="73"/>
  <c r="D72" i="73" s="1"/>
  <c r="H72" i="73" s="1"/>
  <c r="E238" i="73" s="1" a="1"/>
  <c r="E238" i="73" s="1"/>
  <c r="H99" i="71"/>
  <c r="H91" i="89"/>
  <c r="G89" i="89"/>
  <c r="D100" i="79"/>
  <c r="H100" i="79" s="1"/>
  <c r="F8" i="79"/>
  <c r="H8" i="79" s="1"/>
  <c r="D147" i="79"/>
  <c r="D196" i="79"/>
  <c r="F7" i="82"/>
  <c r="H7" i="82" s="1"/>
  <c r="D146" i="82"/>
  <c r="H146" i="82" s="1"/>
  <c r="J146" i="82" s="1"/>
  <c r="K146" i="82" s="1"/>
  <c r="D195" i="82"/>
  <c r="D99" i="82"/>
  <c r="F9" i="79"/>
  <c r="H9" i="79" s="1"/>
  <c r="E82" i="79"/>
  <c r="D11" i="81"/>
  <c r="E48" i="79"/>
  <c r="D108" i="79"/>
  <c r="H108" i="79" s="1"/>
  <c r="D155" i="79"/>
  <c r="D204" i="79"/>
  <c r="D105" i="82"/>
  <c r="H105" i="82" s="1"/>
  <c r="D8" i="83"/>
  <c r="D201" i="82"/>
  <c r="D152" i="82"/>
  <c r="D99" i="85"/>
  <c r="F7" i="85"/>
  <c r="H7" i="85" s="1"/>
  <c r="D146" i="85"/>
  <c r="D195" i="85"/>
  <c r="D96" i="81"/>
  <c r="H96" i="81" s="1"/>
  <c r="D182" i="81"/>
  <c r="D138" i="81"/>
  <c r="H197" i="79"/>
  <c r="G197" i="79"/>
  <c r="I197" i="79" s="1"/>
  <c r="D11" i="83"/>
  <c r="C32" i="84"/>
  <c r="C33" i="84" s="1"/>
  <c r="C183" i="89" s="1"/>
  <c r="D108" i="82"/>
  <c r="H108" i="82" s="1"/>
  <c r="E82" i="82"/>
  <c r="E48" i="82"/>
  <c r="D155" i="82"/>
  <c r="D204" i="82"/>
  <c r="D103" i="85"/>
  <c r="H103" i="85" s="1"/>
  <c r="D150" i="85"/>
  <c r="D199" i="85"/>
  <c r="F10" i="82"/>
  <c r="H10" i="82" s="1"/>
  <c r="D148" i="82"/>
  <c r="D99" i="79"/>
  <c r="D195" i="79"/>
  <c r="D146" i="79"/>
  <c r="H146" i="79" s="1"/>
  <c r="J146" i="79" s="1"/>
  <c r="K146" i="79" s="1"/>
  <c r="F7" i="79"/>
  <c r="H7" i="79" s="1"/>
  <c r="E14" i="26"/>
  <c r="F13" i="82"/>
  <c r="H13" i="82" s="1"/>
  <c r="F8" i="85"/>
  <c r="D100" i="85"/>
  <c r="H100" i="85" s="1"/>
  <c r="D147" i="85"/>
  <c r="D196" i="85"/>
  <c r="D106" i="82"/>
  <c r="H106" i="82" s="1"/>
  <c r="D9" i="83"/>
  <c r="F14" i="82"/>
  <c r="H14" i="82" s="1"/>
  <c r="D202" i="82"/>
  <c r="D153" i="82"/>
  <c r="G198" i="79"/>
  <c r="I198" i="79" s="1"/>
  <c r="H198" i="79"/>
  <c r="D198" i="82"/>
  <c r="D102" i="82"/>
  <c r="H102" i="82" s="1"/>
  <c r="D149" i="82"/>
  <c r="D103" i="82"/>
  <c r="H103" i="82" s="1"/>
  <c r="D199" i="82"/>
  <c r="F11" i="82"/>
  <c r="H11" i="82" s="1"/>
  <c r="D150" i="82"/>
  <c r="C15" i="26"/>
  <c r="G14" i="26"/>
  <c r="G15" i="26"/>
  <c r="D14" i="26"/>
  <c r="D15" i="26"/>
  <c r="C14" i="26"/>
  <c r="L131" i="89" l="1"/>
  <c r="L117" i="89"/>
  <c r="K131" i="89"/>
  <c r="K117" i="89"/>
  <c r="K126" i="89"/>
  <c r="D66" i="107"/>
  <c r="H66" i="107" s="1"/>
  <c r="E247" i="107" s="1" a="1"/>
  <c r="E247" i="107" s="1"/>
  <c r="D61" i="107"/>
  <c r="H61" i="107" s="1"/>
  <c r="E242" i="107" s="1" a="1"/>
  <c r="E242" i="107" s="1"/>
  <c r="D80" i="107"/>
  <c r="H80" i="107" s="1"/>
  <c r="E261" i="107" s="1" a="1"/>
  <c r="E261" i="107" s="1"/>
  <c r="D68" i="107"/>
  <c r="H68" i="107" s="1"/>
  <c r="E249" i="107" s="1" a="1"/>
  <c r="E249" i="107" s="1"/>
  <c r="D78" i="107"/>
  <c r="H78" i="107" s="1"/>
  <c r="E259" i="107" s="1" a="1"/>
  <c r="E259" i="107" s="1"/>
  <c r="D64" i="107"/>
  <c r="H64" i="107" s="1"/>
  <c r="E245" i="107" s="1" a="1"/>
  <c r="E245" i="107" s="1"/>
  <c r="D71" i="107"/>
  <c r="H71" i="107" s="1"/>
  <c r="E252" i="107" s="1" a="1"/>
  <c r="E252" i="107" s="1"/>
  <c r="D63" i="107"/>
  <c r="H63" i="107" s="1"/>
  <c r="E244" i="107" s="1" a="1"/>
  <c r="E244" i="107" s="1"/>
  <c r="D72" i="107"/>
  <c r="H72" i="107" s="1"/>
  <c r="E253" i="107" s="1" a="1"/>
  <c r="E253" i="107" s="1"/>
  <c r="E141" i="20"/>
  <c r="D79" i="107"/>
  <c r="H79" i="107" s="1"/>
  <c r="E260" i="107" s="1" a="1"/>
  <c r="E260" i="107" s="1"/>
  <c r="D74" i="107"/>
  <c r="H74" i="107" s="1"/>
  <c r="E255" i="107" s="1" a="1"/>
  <c r="E255" i="107" s="1"/>
  <c r="D60" i="107"/>
  <c r="H60" i="107" s="1"/>
  <c r="E241" i="107" s="1" a="1"/>
  <c r="E241" i="107" s="1"/>
  <c r="D77" i="107"/>
  <c r="H77" i="107" s="1"/>
  <c r="E258" i="107" s="1" a="1"/>
  <c r="E258" i="107" s="1"/>
  <c r="D76" i="107"/>
  <c r="H76" i="107" s="1"/>
  <c r="E257" i="107" s="1" a="1"/>
  <c r="E257" i="107" s="1"/>
  <c r="D62" i="107"/>
  <c r="H62" i="107" s="1"/>
  <c r="E243" i="107" s="1" a="1"/>
  <c r="E243" i="107" s="1"/>
  <c r="D65" i="107"/>
  <c r="H65" i="107" s="1"/>
  <c r="E246" i="107" s="1" a="1"/>
  <c r="E246" i="107" s="1"/>
  <c r="D75" i="107"/>
  <c r="H75" i="107" s="1"/>
  <c r="E256" i="107" s="1" a="1"/>
  <c r="E256" i="107" s="1"/>
  <c r="D73" i="107"/>
  <c r="H73" i="107" s="1"/>
  <c r="E254" i="107" s="1" a="1"/>
  <c r="E254" i="107" s="1"/>
  <c r="K110" i="107"/>
  <c r="H137" i="108"/>
  <c r="J137" i="108" s="1"/>
  <c r="K137" i="108" s="1"/>
  <c r="H140" i="108"/>
  <c r="J140" i="108" s="1"/>
  <c r="K140" i="108" s="1"/>
  <c r="H151" i="105"/>
  <c r="J151" i="105" s="1"/>
  <c r="K151" i="105" s="1"/>
  <c r="D70" i="107"/>
  <c r="H70" i="107" s="1"/>
  <c r="E251" i="107" s="1" a="1"/>
  <c r="E251" i="107" s="1"/>
  <c r="D69" i="107"/>
  <c r="H69" i="107" s="1"/>
  <c r="E250" i="107" s="1" a="1"/>
  <c r="E250" i="107" s="1"/>
  <c r="D81" i="107"/>
  <c r="H81" i="107" s="1"/>
  <c r="E262" i="107" s="1" a="1"/>
  <c r="E262" i="107" s="1"/>
  <c r="H149" i="105"/>
  <c r="J149" i="105" s="1"/>
  <c r="K149" i="105" s="1"/>
  <c r="H150" i="105"/>
  <c r="J150" i="105" s="1"/>
  <c r="K150" i="105" s="1"/>
  <c r="H148" i="105"/>
  <c r="J148" i="105" s="1"/>
  <c r="K148" i="105" s="1"/>
  <c r="H154" i="105"/>
  <c r="J154" i="105" s="1"/>
  <c r="K154" i="105" s="1"/>
  <c r="G141" i="20"/>
  <c r="H152" i="105"/>
  <c r="J152" i="105" s="1"/>
  <c r="K152" i="105" s="1"/>
  <c r="D181" i="81"/>
  <c r="H181" i="81" s="1"/>
  <c r="D137" i="81"/>
  <c r="F8" i="81"/>
  <c r="H8" i="81" s="1"/>
  <c r="D95" i="81"/>
  <c r="H95" i="81" s="1"/>
  <c r="H202" i="79"/>
  <c r="J202" i="79" s="1"/>
  <c r="K202" i="79" s="1"/>
  <c r="H201" i="79"/>
  <c r="J201" i="79" s="1"/>
  <c r="K201" i="79" s="1"/>
  <c r="D103" i="79"/>
  <c r="H103" i="79" s="1"/>
  <c r="C182" i="89"/>
  <c r="D50" i="90" s="1"/>
  <c r="J201" i="107"/>
  <c r="K201" i="107" s="1"/>
  <c r="H12" i="108"/>
  <c r="D41" i="108"/>
  <c r="H41" i="108" s="1"/>
  <c r="D241" i="108" s="1" a="1"/>
  <c r="D241" i="108" s="1"/>
  <c r="J203" i="107"/>
  <c r="K203" i="107" s="1"/>
  <c r="J198" i="107"/>
  <c r="K198" i="107" s="1"/>
  <c r="J196" i="107"/>
  <c r="K196" i="107" s="1"/>
  <c r="G181" i="108"/>
  <c r="I181" i="108" s="1"/>
  <c r="H181" i="108"/>
  <c r="H77" i="108"/>
  <c r="D76" i="108" s="1"/>
  <c r="H76" i="108" s="1"/>
  <c r="E242" i="108" s="1" a="1"/>
  <c r="E242" i="108" s="1"/>
  <c r="H180" i="108"/>
  <c r="D185" i="108"/>
  <c r="G180" i="108"/>
  <c r="I180" i="108" s="1"/>
  <c r="J12" i="108"/>
  <c r="J199" i="107"/>
  <c r="K199" i="107" s="1"/>
  <c r="J195" i="107"/>
  <c r="J204" i="107"/>
  <c r="K204" i="107" s="1"/>
  <c r="J202" i="107"/>
  <c r="K202" i="107" s="1"/>
  <c r="J200" i="107"/>
  <c r="K200" i="107" s="1"/>
  <c r="G110" i="107"/>
  <c r="H139" i="108"/>
  <c r="J139" i="108" s="1"/>
  <c r="K139" i="108" s="1"/>
  <c r="H184" i="108"/>
  <c r="G184" i="108"/>
  <c r="I184" i="108" s="1"/>
  <c r="H182" i="108"/>
  <c r="G182" i="108"/>
  <c r="I182" i="108" s="1"/>
  <c r="H183" i="108"/>
  <c r="G183" i="108"/>
  <c r="I183" i="108" s="1"/>
  <c r="K156" i="107"/>
  <c r="D38" i="108"/>
  <c r="H38" i="108" s="1"/>
  <c r="D238" i="108" s="1" a="1"/>
  <c r="D238" i="108" s="1"/>
  <c r="D39" i="108"/>
  <c r="H39" i="108" s="1"/>
  <c r="D239" i="108" s="1" a="1"/>
  <c r="D239" i="108" s="1"/>
  <c r="D37" i="108"/>
  <c r="H37" i="108" s="1"/>
  <c r="D237" i="108" s="1" a="1"/>
  <c r="D237" i="108" s="1"/>
  <c r="D29" i="108"/>
  <c r="H29" i="108" s="1"/>
  <c r="D229" i="108" s="1" a="1"/>
  <c r="D229" i="108" s="1"/>
  <c r="D28" i="108"/>
  <c r="H28" i="108" s="1"/>
  <c r="D228" i="108" s="1" a="1"/>
  <c r="D228" i="108" s="1"/>
  <c r="D42" i="108"/>
  <c r="H42" i="108" s="1"/>
  <c r="D242" i="108" s="1" a="1"/>
  <c r="D242" i="108" s="1"/>
  <c r="D22" i="108"/>
  <c r="H22" i="108" s="1"/>
  <c r="D222" i="108" s="1" a="1"/>
  <c r="D222" i="108" s="1"/>
  <c r="D23" i="108"/>
  <c r="H23" i="108" s="1"/>
  <c r="D223" i="108" s="1" a="1"/>
  <c r="D223" i="108" s="1"/>
  <c r="D33" i="108"/>
  <c r="H33" i="108" s="1"/>
  <c r="D233" i="108" s="1" a="1"/>
  <c r="D233" i="108" s="1"/>
  <c r="D26" i="108"/>
  <c r="H26" i="108" s="1"/>
  <c r="D226" i="108" s="1" a="1"/>
  <c r="D226" i="108" s="1"/>
  <c r="D36" i="108"/>
  <c r="H36" i="108" s="1"/>
  <c r="D236" i="108" s="1" a="1"/>
  <c r="D236" i="108" s="1"/>
  <c r="D24" i="108"/>
  <c r="H24" i="108" s="1"/>
  <c r="D224" i="108" s="1" a="1"/>
  <c r="D224" i="108" s="1"/>
  <c r="D32" i="108"/>
  <c r="H32" i="108" s="1"/>
  <c r="D232" i="108" s="1" a="1"/>
  <c r="D232" i="108" s="1"/>
  <c r="D21" i="108"/>
  <c r="H21" i="108" s="1"/>
  <c r="D221" i="108" s="1" a="1"/>
  <c r="D221" i="108" s="1"/>
  <c r="D40" i="108"/>
  <c r="H40" i="108" s="1"/>
  <c r="D240" i="108" s="1" a="1"/>
  <c r="D240" i="108" s="1"/>
  <c r="D27" i="108"/>
  <c r="H27" i="108" s="1"/>
  <c r="D227" i="108" s="1" a="1"/>
  <c r="D227" i="108" s="1"/>
  <c r="D34" i="108"/>
  <c r="H34" i="108" s="1"/>
  <c r="D234" i="108" s="1" a="1"/>
  <c r="D234" i="108" s="1"/>
  <c r="D30" i="108"/>
  <c r="H30" i="108" s="1"/>
  <c r="D230" i="108" s="1" a="1"/>
  <c r="D230" i="108" s="1"/>
  <c r="D35" i="108"/>
  <c r="H35" i="108" s="1"/>
  <c r="D235" i="108" s="1" a="1"/>
  <c r="D235" i="108" s="1"/>
  <c r="D31" i="108"/>
  <c r="H31" i="108" s="1"/>
  <c r="D231" i="108" s="1" a="1"/>
  <c r="D231" i="108" s="1"/>
  <c r="D25" i="108"/>
  <c r="H25" i="108" s="1"/>
  <c r="D225" i="108" s="1" a="1"/>
  <c r="D225" i="108" s="1"/>
  <c r="J197" i="107"/>
  <c r="K197" i="107" s="1"/>
  <c r="D99" i="108"/>
  <c r="H94" i="108"/>
  <c r="H99" i="108" s="1"/>
  <c r="H138" i="108"/>
  <c r="J138" i="108" s="1"/>
  <c r="K138" i="108" s="1"/>
  <c r="J156" i="107"/>
  <c r="K15" i="26"/>
  <c r="K14" i="26"/>
  <c r="G110" i="69"/>
  <c r="G100" i="71"/>
  <c r="H147" i="105"/>
  <c r="K147" i="105" s="1"/>
  <c r="F8" i="106"/>
  <c r="H8" i="106" s="1"/>
  <c r="D181" i="106"/>
  <c r="D95" i="106"/>
  <c r="H95" i="106" s="1"/>
  <c r="D137" i="106"/>
  <c r="H200" i="105"/>
  <c r="G200" i="105"/>
  <c r="I200" i="105" s="1"/>
  <c r="D94" i="106"/>
  <c r="D136" i="106"/>
  <c r="H136" i="106" s="1"/>
  <c r="D180" i="106"/>
  <c r="H99" i="105"/>
  <c r="H201" i="105"/>
  <c r="G201" i="105"/>
  <c r="I201" i="105" s="1"/>
  <c r="G198" i="105"/>
  <c r="I198" i="105" s="1"/>
  <c r="H198" i="105"/>
  <c r="D11" i="106"/>
  <c r="D12" i="106" s="1"/>
  <c r="D108" i="105"/>
  <c r="H108" i="105" s="1"/>
  <c r="E82" i="105"/>
  <c r="D155" i="105"/>
  <c r="H155" i="105" s="1"/>
  <c r="J155" i="105" s="1"/>
  <c r="H48" i="105"/>
  <c r="E48" i="105"/>
  <c r="F16" i="105"/>
  <c r="H16" i="105" s="1"/>
  <c r="H17" i="105" s="1"/>
  <c r="D204" i="105"/>
  <c r="D205" i="105" s="1"/>
  <c r="D17" i="105"/>
  <c r="D97" i="106"/>
  <c r="H97" i="106" s="1"/>
  <c r="D139" i="106"/>
  <c r="D183" i="106"/>
  <c r="G195" i="105"/>
  <c r="I195" i="105" s="1"/>
  <c r="G199" i="105"/>
  <c r="I199" i="105" s="1"/>
  <c r="H199" i="105"/>
  <c r="H197" i="105"/>
  <c r="G197" i="105"/>
  <c r="I197" i="105" s="1"/>
  <c r="G203" i="105"/>
  <c r="I203" i="105" s="1"/>
  <c r="H203" i="105"/>
  <c r="H153" i="105"/>
  <c r="J153" i="105" s="1"/>
  <c r="K153" i="105" s="1"/>
  <c r="H146" i="105"/>
  <c r="J146" i="105" s="1"/>
  <c r="K146" i="105" s="1"/>
  <c r="G196" i="105"/>
  <c r="I196" i="105" s="1"/>
  <c r="H202" i="105"/>
  <c r="G202" i="105"/>
  <c r="I202" i="105" s="1"/>
  <c r="F10" i="106"/>
  <c r="H10" i="106" s="1"/>
  <c r="D96" i="106"/>
  <c r="H96" i="106" s="1"/>
  <c r="F9" i="106"/>
  <c r="H9" i="106" s="1"/>
  <c r="D138" i="106"/>
  <c r="D182" i="106"/>
  <c r="D197" i="82"/>
  <c r="G197" i="82" s="1"/>
  <c r="I197" i="82" s="1"/>
  <c r="D150" i="79"/>
  <c r="H150" i="79" s="1"/>
  <c r="J150" i="79" s="1"/>
  <c r="K150" i="79" s="1"/>
  <c r="D94" i="86"/>
  <c r="H94" i="86" s="1"/>
  <c r="F12" i="79"/>
  <c r="H12" i="79" s="1"/>
  <c r="D199" i="79"/>
  <c r="H199" i="79" s="1"/>
  <c r="D180" i="86"/>
  <c r="H180" i="86" s="1"/>
  <c r="D104" i="85"/>
  <c r="H104" i="85" s="1"/>
  <c r="H48" i="79"/>
  <c r="D27" i="79" s="1"/>
  <c r="H27" i="79" s="1"/>
  <c r="D242" i="79" s="1" a="1"/>
  <c r="D242" i="79" s="1"/>
  <c r="D202" i="85"/>
  <c r="H202" i="85" s="1"/>
  <c r="D17" i="79"/>
  <c r="D34" i="87"/>
  <c r="H34" i="87" s="1"/>
  <c r="D249" i="87" s="1" a="1"/>
  <c r="D249" i="87" s="1"/>
  <c r="D154" i="79"/>
  <c r="H154" i="79" s="1"/>
  <c r="J154" i="79" s="1"/>
  <c r="K154" i="79" s="1"/>
  <c r="E48" i="85"/>
  <c r="D29" i="87"/>
  <c r="H29" i="87" s="1"/>
  <c r="D244" i="87" s="1" a="1"/>
  <c r="D244" i="87" s="1"/>
  <c r="D74" i="87"/>
  <c r="H74" i="87" s="1"/>
  <c r="E255" i="87" s="1" a="1"/>
  <c r="E255" i="87" s="1"/>
  <c r="D203" i="79"/>
  <c r="G203" i="79" s="1"/>
  <c r="I203" i="79" s="1"/>
  <c r="D10" i="81"/>
  <c r="D183" i="81" s="1"/>
  <c r="H138" i="88"/>
  <c r="J138" i="88" s="1"/>
  <c r="K138" i="88" s="1"/>
  <c r="D180" i="81"/>
  <c r="H180" i="81" s="1"/>
  <c r="D107" i="79"/>
  <c r="H107" i="79" s="1"/>
  <c r="F16" i="79"/>
  <c r="H16" i="79" s="1"/>
  <c r="D44" i="87"/>
  <c r="H44" i="87" s="1"/>
  <c r="D259" i="87" s="1" a="1"/>
  <c r="D259" i="87" s="1"/>
  <c r="D62" i="87"/>
  <c r="H62" i="87" s="1"/>
  <c r="E243" i="87" s="1" a="1"/>
  <c r="E243" i="87" s="1"/>
  <c r="D61" i="87"/>
  <c r="H61" i="87" s="1"/>
  <c r="E242" i="87" s="1" a="1"/>
  <c r="E242" i="87" s="1"/>
  <c r="D39" i="70" s="1"/>
  <c r="D32" i="87"/>
  <c r="H32" i="87" s="1"/>
  <c r="D247" i="87" s="1" a="1"/>
  <c r="D247" i="87" s="1"/>
  <c r="E38" i="70" s="1"/>
  <c r="D31" i="87"/>
  <c r="H31" i="87" s="1"/>
  <c r="D246" i="87" s="1" a="1"/>
  <c r="D246" i="87" s="1"/>
  <c r="D78" i="87"/>
  <c r="H78" i="87" s="1"/>
  <c r="E259" i="87" s="1" a="1"/>
  <c r="E259" i="87" s="1"/>
  <c r="G200" i="79"/>
  <c r="I200" i="79" s="1"/>
  <c r="J200" i="79" s="1"/>
  <c r="K200" i="79" s="1"/>
  <c r="D47" i="87"/>
  <c r="H47" i="87" s="1"/>
  <c r="D262" i="87" s="1" a="1"/>
  <c r="D262" i="87" s="1"/>
  <c r="H38" i="70" s="1"/>
  <c r="D70" i="87"/>
  <c r="H70" i="87" s="1"/>
  <c r="E251" i="87" s="1" a="1"/>
  <c r="E251" i="87" s="1"/>
  <c r="D68" i="87"/>
  <c r="H68" i="87" s="1"/>
  <c r="E249" i="87" s="1" a="1"/>
  <c r="E249" i="87" s="1"/>
  <c r="F11" i="85"/>
  <c r="H11" i="85" s="1"/>
  <c r="D198" i="85"/>
  <c r="G198" i="85" s="1"/>
  <c r="I198" i="85" s="1"/>
  <c r="D201" i="85"/>
  <c r="G201" i="85" s="1"/>
  <c r="I201" i="85" s="1"/>
  <c r="D106" i="85"/>
  <c r="H106" i="85" s="1"/>
  <c r="D71" i="87"/>
  <c r="H71" i="87" s="1"/>
  <c r="E252" i="87" s="1" a="1"/>
  <c r="E252" i="87" s="1"/>
  <c r="F39" i="70" s="1"/>
  <c r="D72" i="87"/>
  <c r="H72" i="87" s="1"/>
  <c r="E253" i="87" s="1" a="1"/>
  <c r="E253" i="87" s="1"/>
  <c r="J204" i="87"/>
  <c r="K204" i="87" s="1"/>
  <c r="D136" i="81"/>
  <c r="H136" i="81" s="1"/>
  <c r="D40" i="87"/>
  <c r="H40" i="87" s="1"/>
  <c r="D255" i="87" s="1" a="1"/>
  <c r="D255" i="87" s="1"/>
  <c r="D45" i="87"/>
  <c r="H45" i="87" s="1"/>
  <c r="D260" i="87" s="1" a="1"/>
  <c r="D260" i="87" s="1"/>
  <c r="D71" i="73"/>
  <c r="H71" i="73" s="1"/>
  <c r="E237" i="73" s="1" a="1"/>
  <c r="E237" i="73" s="1"/>
  <c r="G29" i="70" s="1"/>
  <c r="D94" i="81"/>
  <c r="H94" i="81" s="1"/>
  <c r="D196" i="82"/>
  <c r="G196" i="82" s="1"/>
  <c r="I196" i="82" s="1"/>
  <c r="D46" i="87"/>
  <c r="H46" i="87" s="1"/>
  <c r="D261" i="87" s="1" a="1"/>
  <c r="D261" i="87" s="1"/>
  <c r="D27" i="87"/>
  <c r="H27" i="87" s="1"/>
  <c r="D242" i="87" s="1" a="1"/>
  <c r="D242" i="87" s="1"/>
  <c r="D38" i="70" s="1"/>
  <c r="D30" i="87"/>
  <c r="H30" i="87" s="1"/>
  <c r="D245" i="87" s="1" a="1"/>
  <c r="D245" i="87" s="1"/>
  <c r="D108" i="85"/>
  <c r="H108" i="85" s="1"/>
  <c r="D152" i="85"/>
  <c r="H152" i="85" s="1"/>
  <c r="J152" i="85" s="1"/>
  <c r="K152" i="85" s="1"/>
  <c r="D147" i="82"/>
  <c r="H147" i="82" s="1"/>
  <c r="J147" i="82" s="1"/>
  <c r="K147" i="82" s="1"/>
  <c r="D41" i="87"/>
  <c r="H41" i="87" s="1"/>
  <c r="D256" i="87" s="1" a="1"/>
  <c r="D256" i="87" s="1"/>
  <c r="D36" i="87"/>
  <c r="H36" i="87" s="1"/>
  <c r="D251" i="87" s="1" a="1"/>
  <c r="D251" i="87" s="1"/>
  <c r="D26" i="87"/>
  <c r="H26" i="87" s="1"/>
  <c r="D241" i="87" s="1" a="1"/>
  <c r="D241" i="87" s="1"/>
  <c r="D35" i="87"/>
  <c r="H35" i="87" s="1"/>
  <c r="D250" i="87" s="1" a="1"/>
  <c r="D250" i="87" s="1"/>
  <c r="D37" i="87"/>
  <c r="H37" i="87" s="1"/>
  <c r="D252" i="87" s="1" a="1"/>
  <c r="D252" i="87" s="1"/>
  <c r="F38" i="70" s="1"/>
  <c r="K110" i="72"/>
  <c r="D130" i="72" s="1"/>
  <c r="H130" i="72" s="1"/>
  <c r="F256" i="72" s="1" a="1"/>
  <c r="F256" i="72" s="1"/>
  <c r="J182" i="88"/>
  <c r="K182" i="88" s="1"/>
  <c r="K100" i="73"/>
  <c r="F9" i="85"/>
  <c r="D42" i="88"/>
  <c r="H42" i="88" s="1"/>
  <c r="D242" i="88" s="1" a="1"/>
  <c r="D242" i="88" s="1"/>
  <c r="H44" i="70" s="1"/>
  <c r="H17" i="87"/>
  <c r="D38" i="87"/>
  <c r="H38" i="87" s="1"/>
  <c r="D253" i="87" s="1" a="1"/>
  <c r="D253" i="87" s="1"/>
  <c r="D33" i="87"/>
  <c r="H33" i="87" s="1"/>
  <c r="D248" i="87" s="1" a="1"/>
  <c r="D248" i="87" s="1"/>
  <c r="D43" i="87"/>
  <c r="H43" i="87" s="1"/>
  <c r="D258" i="87" s="1" a="1"/>
  <c r="D258" i="87" s="1"/>
  <c r="D39" i="87"/>
  <c r="H39" i="87" s="1"/>
  <c r="D254" i="87" s="1" a="1"/>
  <c r="D254" i="87" s="1"/>
  <c r="D42" i="87"/>
  <c r="H42" i="87" s="1"/>
  <c r="D257" i="87" s="1" a="1"/>
  <c r="D257" i="87" s="1"/>
  <c r="G38" i="70" s="1"/>
  <c r="D102" i="85"/>
  <c r="H102" i="85" s="1"/>
  <c r="D58" i="73"/>
  <c r="H58" i="73" s="1"/>
  <c r="E224" i="73" s="1" a="1"/>
  <c r="E224" i="73" s="1"/>
  <c r="D76" i="88"/>
  <c r="H76" i="88" s="1"/>
  <c r="E242" i="88" s="1" a="1"/>
  <c r="E242" i="88" s="1"/>
  <c r="H45" i="70" s="1"/>
  <c r="D61" i="88"/>
  <c r="H61" i="88" s="1"/>
  <c r="E227" i="88" s="1" a="1"/>
  <c r="E227" i="88" s="1"/>
  <c r="E45" i="70" s="1"/>
  <c r="F14" i="85"/>
  <c r="H14" i="85" s="1"/>
  <c r="D55" i="73"/>
  <c r="H55" i="73" s="1"/>
  <c r="E221" i="73" s="1" a="1"/>
  <c r="E221" i="73" s="1"/>
  <c r="D66" i="73"/>
  <c r="H66" i="73" s="1"/>
  <c r="E232" i="73" s="1" a="1"/>
  <c r="E232" i="73" s="1"/>
  <c r="F29" i="70" s="1"/>
  <c r="D66" i="87"/>
  <c r="H66" i="87" s="1"/>
  <c r="E247" i="87" s="1" a="1"/>
  <c r="E247" i="87" s="1"/>
  <c r="E39" i="70" s="1"/>
  <c r="D76" i="87"/>
  <c r="H76" i="87" s="1"/>
  <c r="E257" i="87" s="1" a="1"/>
  <c r="E257" i="87" s="1"/>
  <c r="G39" i="70" s="1"/>
  <c r="D69" i="87"/>
  <c r="H69" i="87" s="1"/>
  <c r="E250" i="87" s="1" a="1"/>
  <c r="E250" i="87" s="1"/>
  <c r="J184" i="88"/>
  <c r="K184" i="88" s="1"/>
  <c r="D71" i="88"/>
  <c r="H71" i="88" s="1"/>
  <c r="E237" i="88" s="1" a="1"/>
  <c r="E237" i="88" s="1"/>
  <c r="G45" i="70" s="1"/>
  <c r="D59" i="88"/>
  <c r="H59" i="88" s="1"/>
  <c r="E225" i="88" s="1" a="1"/>
  <c r="E225" i="88" s="1"/>
  <c r="D55" i="88"/>
  <c r="H55" i="88" s="1"/>
  <c r="E221" i="88" s="1" a="1"/>
  <c r="E221" i="88" s="1"/>
  <c r="D70" i="88"/>
  <c r="H70" i="88" s="1"/>
  <c r="E236" i="88" s="1" a="1"/>
  <c r="E236" i="88" s="1"/>
  <c r="D62" i="88"/>
  <c r="H62" i="88" s="1"/>
  <c r="E228" i="88" s="1" a="1"/>
  <c r="E228" i="88" s="1"/>
  <c r="D153" i="85"/>
  <c r="H153" i="85" s="1"/>
  <c r="J153" i="85" s="1"/>
  <c r="K153" i="85" s="1"/>
  <c r="D197" i="85"/>
  <c r="G197" i="85" s="1"/>
  <c r="I197" i="85" s="1"/>
  <c r="J197" i="79"/>
  <c r="K197" i="79" s="1"/>
  <c r="H152" i="82"/>
  <c r="J152" i="82" s="1"/>
  <c r="K152" i="82" s="1"/>
  <c r="D63" i="73"/>
  <c r="H63" i="73" s="1"/>
  <c r="E229" i="73" s="1" a="1"/>
  <c r="E229" i="73" s="1"/>
  <c r="D74" i="73"/>
  <c r="H74" i="73" s="1"/>
  <c r="E240" i="73" s="1" a="1"/>
  <c r="E240" i="73" s="1"/>
  <c r="D23" i="88"/>
  <c r="H23" i="88" s="1"/>
  <c r="D223" i="88" s="1" a="1"/>
  <c r="D223" i="88" s="1"/>
  <c r="D75" i="88"/>
  <c r="H75" i="88" s="1"/>
  <c r="E241" i="88" s="1" a="1"/>
  <c r="E241" i="88" s="1"/>
  <c r="D72" i="88"/>
  <c r="H72" i="88" s="1"/>
  <c r="E238" i="88" s="1" a="1"/>
  <c r="E238" i="88" s="1"/>
  <c r="D68" i="88"/>
  <c r="H68" i="88" s="1"/>
  <c r="E234" i="88" s="1" a="1"/>
  <c r="E234" i="88" s="1"/>
  <c r="D205" i="87"/>
  <c r="H137" i="88"/>
  <c r="J137" i="88" s="1"/>
  <c r="K137" i="88" s="1"/>
  <c r="F8" i="86"/>
  <c r="H8" i="86" s="1"/>
  <c r="D95" i="86"/>
  <c r="H95" i="86" s="1"/>
  <c r="D137" i="86"/>
  <c r="H137" i="86" s="1"/>
  <c r="J137" i="86" s="1"/>
  <c r="K137" i="86" s="1"/>
  <c r="D181" i="86"/>
  <c r="D101" i="85"/>
  <c r="H101" i="85" s="1"/>
  <c r="D155" i="85"/>
  <c r="H155" i="85" s="1"/>
  <c r="J155" i="85" s="1"/>
  <c r="F10" i="85"/>
  <c r="H10" i="85" s="1"/>
  <c r="D57" i="73"/>
  <c r="H57" i="73" s="1"/>
  <c r="E223" i="73" s="1" a="1"/>
  <c r="E223" i="73" s="1"/>
  <c r="D73" i="73"/>
  <c r="H73" i="73" s="1"/>
  <c r="E239" i="73" s="1" a="1"/>
  <c r="E239" i="73" s="1"/>
  <c r="D68" i="73"/>
  <c r="H68" i="73" s="1"/>
  <c r="E234" i="73" s="1" a="1"/>
  <c r="E234" i="73" s="1"/>
  <c r="D27" i="88"/>
  <c r="H27" i="88" s="1"/>
  <c r="D227" i="88" s="1" a="1"/>
  <c r="D227" i="88" s="1"/>
  <c r="E44" i="70" s="1"/>
  <c r="D60" i="87"/>
  <c r="H60" i="87" s="1"/>
  <c r="E241" i="87" s="1" a="1"/>
  <c r="E241" i="87" s="1"/>
  <c r="D79" i="87"/>
  <c r="H79" i="87" s="1"/>
  <c r="E260" i="87" s="1" a="1"/>
  <c r="E260" i="87" s="1"/>
  <c r="D81" i="87"/>
  <c r="H81" i="87" s="1"/>
  <c r="E262" i="87" s="1" a="1"/>
  <c r="E262" i="87" s="1"/>
  <c r="H39" i="70" s="1"/>
  <c r="D67" i="87"/>
  <c r="H67" i="87" s="1"/>
  <c r="E248" i="87" s="1" a="1"/>
  <c r="E248" i="87" s="1"/>
  <c r="J183" i="71"/>
  <c r="K183" i="71" s="1"/>
  <c r="J184" i="73"/>
  <c r="K184" i="73" s="1"/>
  <c r="D57" i="88"/>
  <c r="H57" i="88" s="1"/>
  <c r="E223" i="88" s="1" a="1"/>
  <c r="E223" i="88" s="1"/>
  <c r="D58" i="88"/>
  <c r="H58" i="88" s="1"/>
  <c r="E224" i="88" s="1" a="1"/>
  <c r="E224" i="88" s="1"/>
  <c r="D65" i="88"/>
  <c r="H65" i="88" s="1"/>
  <c r="E231" i="88" s="1" a="1"/>
  <c r="E231" i="88" s="1"/>
  <c r="D74" i="88"/>
  <c r="H74" i="88" s="1"/>
  <c r="E240" i="88" s="1" a="1"/>
  <c r="E240" i="88" s="1"/>
  <c r="D66" i="88"/>
  <c r="H66" i="88" s="1"/>
  <c r="E232" i="88" s="1" a="1"/>
  <c r="E232" i="88" s="1"/>
  <c r="F45" i="70" s="1"/>
  <c r="F10" i="86"/>
  <c r="H10" i="86" s="1"/>
  <c r="D97" i="86"/>
  <c r="H97" i="86" s="1"/>
  <c r="D139" i="86"/>
  <c r="H139" i="86" s="1"/>
  <c r="J139" i="86" s="1"/>
  <c r="K139" i="86" s="1"/>
  <c r="D183" i="86"/>
  <c r="D12" i="86"/>
  <c r="J204" i="69"/>
  <c r="K204" i="69" s="1"/>
  <c r="D96" i="86"/>
  <c r="H96" i="86" s="1"/>
  <c r="F9" i="86"/>
  <c r="H9" i="86" s="1"/>
  <c r="D138" i="86"/>
  <c r="H138" i="86" s="1"/>
  <c r="J138" i="86" s="1"/>
  <c r="K138" i="86" s="1"/>
  <c r="D182" i="86"/>
  <c r="F16" i="85"/>
  <c r="H16" i="85" s="1"/>
  <c r="D204" i="85"/>
  <c r="H204" i="85" s="1"/>
  <c r="E82" i="85"/>
  <c r="D65" i="73"/>
  <c r="H65" i="73" s="1"/>
  <c r="E231" i="73" s="1" a="1"/>
  <c r="E231" i="73" s="1"/>
  <c r="D60" i="73"/>
  <c r="H60" i="73" s="1"/>
  <c r="E226" i="73" s="1" a="1"/>
  <c r="E226" i="73" s="1"/>
  <c r="D76" i="73"/>
  <c r="H76" i="73" s="1"/>
  <c r="E242" i="73" s="1" a="1"/>
  <c r="E242" i="73" s="1"/>
  <c r="H29" i="70" s="1"/>
  <c r="H139" i="88"/>
  <c r="J139" i="88" s="1"/>
  <c r="K139" i="88" s="1"/>
  <c r="J182" i="73"/>
  <c r="K182" i="73" s="1"/>
  <c r="D33" i="88"/>
  <c r="H33" i="88" s="1"/>
  <c r="D233" i="88" s="1" a="1"/>
  <c r="D233" i="88" s="1"/>
  <c r="D31" i="88"/>
  <c r="H31" i="88" s="1"/>
  <c r="D231" i="88" s="1" a="1"/>
  <c r="D231" i="88" s="1"/>
  <c r="J199" i="87"/>
  <c r="K199" i="87" s="1"/>
  <c r="D56" i="88"/>
  <c r="H56" i="88" s="1"/>
  <c r="E222" i="88" s="1" a="1"/>
  <c r="E222" i="88" s="1"/>
  <c r="D45" i="70" s="1"/>
  <c r="D63" i="88"/>
  <c r="H63" i="88" s="1"/>
  <c r="E229" i="88" s="1" a="1"/>
  <c r="E229" i="88" s="1"/>
  <c r="D69" i="88"/>
  <c r="H69" i="88" s="1"/>
  <c r="E235" i="88" s="1" a="1"/>
  <c r="E235" i="88" s="1"/>
  <c r="D60" i="88"/>
  <c r="H60" i="88" s="1"/>
  <c r="E226" i="88" s="1" a="1"/>
  <c r="E226" i="88" s="1"/>
  <c r="D64" i="88"/>
  <c r="H64" i="88" s="1"/>
  <c r="E230" i="88" s="1" a="1"/>
  <c r="E230" i="88" s="1"/>
  <c r="D73" i="88"/>
  <c r="H73" i="88" s="1"/>
  <c r="E239" i="88" s="1" a="1"/>
  <c r="E239" i="88" s="1"/>
  <c r="E43" i="86"/>
  <c r="C49" i="84"/>
  <c r="D98" i="86"/>
  <c r="H98" i="86" s="1"/>
  <c r="D184" i="86"/>
  <c r="H43" i="86"/>
  <c r="F11" i="86"/>
  <c r="H11" i="86" s="1"/>
  <c r="E77" i="86"/>
  <c r="D140" i="86"/>
  <c r="H140" i="86" s="1"/>
  <c r="J140" i="86" s="1"/>
  <c r="H183" i="88"/>
  <c r="G183" i="88"/>
  <c r="I183" i="88" s="1"/>
  <c r="H203" i="72"/>
  <c r="G203" i="72"/>
  <c r="I203" i="72" s="1"/>
  <c r="F183" i="71"/>
  <c r="F199" i="69"/>
  <c r="F204" i="69"/>
  <c r="F184" i="73"/>
  <c r="H199" i="72"/>
  <c r="G199" i="72"/>
  <c r="I199" i="72" s="1"/>
  <c r="F200" i="72"/>
  <c r="K200" i="72"/>
  <c r="H182" i="71"/>
  <c r="G182" i="71"/>
  <c r="I182" i="71" s="1"/>
  <c r="F203" i="72"/>
  <c r="J181" i="71"/>
  <c r="K181" i="71" s="1"/>
  <c r="D36" i="88"/>
  <c r="H36" i="88" s="1"/>
  <c r="D236" i="88" s="1" a="1"/>
  <c r="D236" i="88" s="1"/>
  <c r="D21" i="88"/>
  <c r="H21" i="88" s="1"/>
  <c r="D221" i="88" s="1" a="1"/>
  <c r="D221" i="88" s="1"/>
  <c r="D32" i="88"/>
  <c r="H32" i="88" s="1"/>
  <c r="D232" i="88" s="1" a="1"/>
  <c r="D232" i="88" s="1"/>
  <c r="D22" i="88"/>
  <c r="H22" i="88" s="1"/>
  <c r="D222" i="88" s="1" a="1"/>
  <c r="D222" i="88" s="1"/>
  <c r="F181" i="73"/>
  <c r="F196" i="69"/>
  <c r="K196" i="69"/>
  <c r="D205" i="69"/>
  <c r="H195" i="69"/>
  <c r="G195" i="69"/>
  <c r="I195" i="69" s="1"/>
  <c r="F183" i="73"/>
  <c r="F182" i="73"/>
  <c r="F199" i="72"/>
  <c r="J17" i="87"/>
  <c r="F201" i="69"/>
  <c r="F198" i="72"/>
  <c r="K198" i="72"/>
  <c r="D205" i="72"/>
  <c r="H195" i="72"/>
  <c r="G195" i="72"/>
  <c r="I195" i="72" s="1"/>
  <c r="H24" i="68"/>
  <c r="F24" i="68"/>
  <c r="B24" i="68"/>
  <c r="K24" i="68"/>
  <c r="G24" i="68"/>
  <c r="E24" i="68"/>
  <c r="O24" i="68"/>
  <c r="M24" i="68"/>
  <c r="D24" i="68"/>
  <c r="J24" i="68"/>
  <c r="P24" i="68"/>
  <c r="L24" i="68"/>
  <c r="I24" i="68"/>
  <c r="N24" i="68"/>
  <c r="F28" i="70"/>
  <c r="G100" i="73"/>
  <c r="F9" i="82"/>
  <c r="H9" i="82" s="1"/>
  <c r="D100" i="82"/>
  <c r="H100" i="82" s="1"/>
  <c r="D59" i="73"/>
  <c r="H59" i="73" s="1"/>
  <c r="E225" i="73" s="1" a="1"/>
  <c r="E225" i="73" s="1"/>
  <c r="D67" i="73"/>
  <c r="H67" i="73" s="1"/>
  <c r="E233" i="73" s="1" a="1"/>
  <c r="E233" i="73" s="1"/>
  <c r="D75" i="73"/>
  <c r="H75" i="73" s="1"/>
  <c r="E241" i="73" s="1" a="1"/>
  <c r="E241" i="73" s="1"/>
  <c r="D62" i="73"/>
  <c r="H62" i="73" s="1"/>
  <c r="E228" i="73" s="1" a="1"/>
  <c r="E228" i="73" s="1"/>
  <c r="D70" i="73"/>
  <c r="H70" i="73" s="1"/>
  <c r="E236" i="73" s="1" a="1"/>
  <c r="E236" i="73" s="1"/>
  <c r="D26" i="88"/>
  <c r="H26" i="88" s="1"/>
  <c r="D226" i="88" s="1" a="1"/>
  <c r="D226" i="88" s="1"/>
  <c r="D37" i="88"/>
  <c r="H37" i="88" s="1"/>
  <c r="D237" i="88" s="1" a="1"/>
  <c r="D237" i="88" s="1"/>
  <c r="D41" i="88"/>
  <c r="H41" i="88" s="1"/>
  <c r="D241" i="88" s="1" a="1"/>
  <c r="D241" i="88" s="1"/>
  <c r="D35" i="88"/>
  <c r="H35" i="88" s="1"/>
  <c r="D235" i="88" s="1" a="1"/>
  <c r="D235" i="88" s="1"/>
  <c r="D34" i="88"/>
  <c r="H34" i="88" s="1"/>
  <c r="D234" i="88" s="1" a="1"/>
  <c r="D234" i="88" s="1"/>
  <c r="H181" i="73"/>
  <c r="G181" i="73"/>
  <c r="I181" i="73" s="1"/>
  <c r="H6" i="70"/>
  <c r="H201" i="87"/>
  <c r="G201" i="87"/>
  <c r="I201" i="87" s="1"/>
  <c r="F184" i="71"/>
  <c r="H201" i="72"/>
  <c r="G201" i="72"/>
  <c r="I201" i="72" s="1"/>
  <c r="D109" i="87"/>
  <c r="J202" i="87"/>
  <c r="K202" i="87" s="1"/>
  <c r="K100" i="71"/>
  <c r="F197" i="72"/>
  <c r="F200" i="69"/>
  <c r="K200" i="69"/>
  <c r="E205" i="69"/>
  <c r="F195" i="69"/>
  <c r="H183" i="73"/>
  <c r="G183" i="73"/>
  <c r="I183" i="73" s="1"/>
  <c r="H140" i="88"/>
  <c r="J140" i="88" s="1"/>
  <c r="H180" i="88"/>
  <c r="D185" i="88"/>
  <c r="G180" i="88"/>
  <c r="I180" i="88" s="1"/>
  <c r="H180" i="73"/>
  <c r="D185" i="73"/>
  <c r="G180" i="73"/>
  <c r="I180" i="73" s="1"/>
  <c r="H203" i="69"/>
  <c r="G203" i="69"/>
  <c r="I203" i="69" s="1"/>
  <c r="G203" i="87"/>
  <c r="I203" i="87" s="1"/>
  <c r="H203" i="87"/>
  <c r="J195" i="87"/>
  <c r="D64" i="87"/>
  <c r="H64" i="87" s="1"/>
  <c r="E245" i="87" s="1" a="1"/>
  <c r="E245" i="87" s="1"/>
  <c r="D75" i="87"/>
  <c r="H75" i="87" s="1"/>
  <c r="E256" i="87" s="1" a="1"/>
  <c r="E256" i="87" s="1"/>
  <c r="D80" i="87"/>
  <c r="H80" i="87" s="1"/>
  <c r="E261" i="87" s="1" a="1"/>
  <c r="E261" i="87" s="1"/>
  <c r="D63" i="87"/>
  <c r="H63" i="87" s="1"/>
  <c r="E244" i="87" s="1" a="1"/>
  <c r="E244" i="87" s="1"/>
  <c r="D65" i="87"/>
  <c r="H65" i="87" s="1"/>
  <c r="E246" i="87" s="1" a="1"/>
  <c r="E246" i="87" s="1"/>
  <c r="D73" i="87"/>
  <c r="H73" i="87" s="1"/>
  <c r="E254" i="87" s="1" a="1"/>
  <c r="E254" i="87" s="1"/>
  <c r="F196" i="72"/>
  <c r="K196" i="72"/>
  <c r="E205" i="72"/>
  <c r="F195" i="72"/>
  <c r="C24" i="68"/>
  <c r="J198" i="87"/>
  <c r="K198" i="87" s="1"/>
  <c r="H28" i="70"/>
  <c r="E28" i="70"/>
  <c r="J12" i="88"/>
  <c r="H12" i="88"/>
  <c r="F182" i="71"/>
  <c r="H200" i="87"/>
  <c r="G200" i="87"/>
  <c r="I200" i="87" s="1"/>
  <c r="F202" i="69"/>
  <c r="K202" i="69"/>
  <c r="F197" i="69"/>
  <c r="H201" i="69"/>
  <c r="G201" i="69"/>
  <c r="I201" i="69" s="1"/>
  <c r="F202" i="72"/>
  <c r="K202" i="72"/>
  <c r="D185" i="71"/>
  <c r="H180" i="71"/>
  <c r="G180" i="71"/>
  <c r="I180" i="71" s="1"/>
  <c r="D28" i="70"/>
  <c r="H153" i="82"/>
  <c r="J153" i="82" s="1"/>
  <c r="K153" i="82" s="1"/>
  <c r="H148" i="82"/>
  <c r="J148" i="82" s="1"/>
  <c r="K148" i="82" s="1"/>
  <c r="J156" i="87"/>
  <c r="K155" i="87"/>
  <c r="K156" i="87" s="1"/>
  <c r="D25" i="88"/>
  <c r="H25" i="88" s="1"/>
  <c r="D225" i="88" s="1" a="1"/>
  <c r="D225" i="88" s="1"/>
  <c r="H197" i="72"/>
  <c r="G197" i="72"/>
  <c r="I197" i="72" s="1"/>
  <c r="G141" i="71"/>
  <c r="H140" i="71"/>
  <c r="J140" i="71" s="1"/>
  <c r="J156" i="72"/>
  <c r="K155" i="72"/>
  <c r="K156" i="72" s="1"/>
  <c r="D99" i="88"/>
  <c r="H94" i="88"/>
  <c r="H99" i="88" s="1"/>
  <c r="J198" i="79"/>
  <c r="K198" i="79" s="1"/>
  <c r="H155" i="82"/>
  <c r="J155" i="82" s="1"/>
  <c r="K155" i="82" s="1"/>
  <c r="D61" i="73"/>
  <c r="H61" i="73" s="1"/>
  <c r="E227" i="73" s="1" a="1"/>
  <c r="E227" i="73" s="1"/>
  <c r="E29" i="70" s="1"/>
  <c r="D69" i="73"/>
  <c r="H69" i="73" s="1"/>
  <c r="E235" i="73" s="1" a="1"/>
  <c r="E235" i="73" s="1"/>
  <c r="D56" i="73"/>
  <c r="H56" i="73" s="1"/>
  <c r="E222" i="73" s="1" a="1"/>
  <c r="E222" i="73" s="1"/>
  <c r="D29" i="70" s="1"/>
  <c r="D64" i="73"/>
  <c r="H64" i="73" s="1"/>
  <c r="E230" i="73" s="1" a="1"/>
  <c r="E230" i="73" s="1"/>
  <c r="J141" i="73"/>
  <c r="K140" i="73"/>
  <c r="K141" i="73" s="1"/>
  <c r="K110" i="69"/>
  <c r="J156" i="69"/>
  <c r="K155" i="69"/>
  <c r="K156" i="69" s="1"/>
  <c r="D39" i="88"/>
  <c r="H39" i="88" s="1"/>
  <c r="D239" i="88" s="1" a="1"/>
  <c r="D239" i="88" s="1"/>
  <c r="D40" i="88"/>
  <c r="H40" i="88" s="1"/>
  <c r="D240" i="88" s="1" a="1"/>
  <c r="D240" i="88" s="1"/>
  <c r="D28" i="88"/>
  <c r="H28" i="88" s="1"/>
  <c r="D228" i="88" s="1" a="1"/>
  <c r="D228" i="88" s="1"/>
  <c r="D30" i="88"/>
  <c r="H30" i="88" s="1"/>
  <c r="D230" i="88" s="1" a="1"/>
  <c r="D230" i="88" s="1"/>
  <c r="D29" i="88"/>
  <c r="H29" i="88" s="1"/>
  <c r="D229" i="88" s="1" a="1"/>
  <c r="D229" i="88" s="1"/>
  <c r="D24" i="88"/>
  <c r="H24" i="88" s="1"/>
  <c r="D224" i="88" s="1" a="1"/>
  <c r="D224" i="88" s="1"/>
  <c r="H184" i="71"/>
  <c r="G184" i="71"/>
  <c r="I184" i="71" s="1"/>
  <c r="F201" i="72"/>
  <c r="H109" i="87"/>
  <c r="J197" i="87"/>
  <c r="K197" i="87" s="1"/>
  <c r="H199" i="69"/>
  <c r="G199" i="69"/>
  <c r="I199" i="69" s="1"/>
  <c r="F198" i="69"/>
  <c r="K198" i="69"/>
  <c r="H197" i="69"/>
  <c r="G197" i="69"/>
  <c r="I197" i="69" s="1"/>
  <c r="E25" i="68"/>
  <c r="G25" i="68"/>
  <c r="L25" i="68"/>
  <c r="D25" i="68"/>
  <c r="B25" i="68"/>
  <c r="H25" i="68"/>
  <c r="F25" i="68"/>
  <c r="J25" i="68"/>
  <c r="P25" i="68"/>
  <c r="M25" i="68"/>
  <c r="O25" i="68"/>
  <c r="K25" i="68"/>
  <c r="I25" i="68"/>
  <c r="N25" i="68"/>
  <c r="C40" i="89" s="1"/>
  <c r="E185" i="73"/>
  <c r="F180" i="73"/>
  <c r="F185" i="73" s="1"/>
  <c r="F203" i="69"/>
  <c r="F204" i="72"/>
  <c r="K204" i="72"/>
  <c r="F180" i="71"/>
  <c r="F185" i="71" s="1"/>
  <c r="E185" i="71"/>
  <c r="G28" i="70"/>
  <c r="G181" i="88"/>
  <c r="I181" i="88" s="1"/>
  <c r="H181" i="88"/>
  <c r="H147" i="85"/>
  <c r="K147" i="85" s="1"/>
  <c r="H148" i="79"/>
  <c r="J148" i="79" s="1"/>
  <c r="K148" i="79" s="1"/>
  <c r="H155" i="79"/>
  <c r="J155" i="79" s="1"/>
  <c r="K155" i="79" s="1"/>
  <c r="H150" i="82"/>
  <c r="J150" i="82" s="1"/>
  <c r="K150" i="82" s="1"/>
  <c r="H149" i="82"/>
  <c r="J149" i="82" s="1"/>
  <c r="K149" i="82" s="1"/>
  <c r="H149" i="79"/>
  <c r="J149" i="79" s="1"/>
  <c r="K149" i="79" s="1"/>
  <c r="G199" i="82"/>
  <c r="I199" i="82" s="1"/>
  <c r="H199" i="82"/>
  <c r="G195" i="85"/>
  <c r="I195" i="85" s="1"/>
  <c r="D7" i="83"/>
  <c r="D104" i="82"/>
  <c r="H104" i="82" s="1"/>
  <c r="D151" i="82"/>
  <c r="H151" i="82" s="1"/>
  <c r="J151" i="82" s="1"/>
  <c r="K151" i="82" s="1"/>
  <c r="D200" i="82"/>
  <c r="H99" i="79"/>
  <c r="H199" i="85"/>
  <c r="G199" i="85"/>
  <c r="I199" i="85" s="1"/>
  <c r="D107" i="85"/>
  <c r="H107" i="85" s="1"/>
  <c r="F15" i="85"/>
  <c r="H15" i="85" s="1"/>
  <c r="D154" i="85"/>
  <c r="H154" i="85" s="1"/>
  <c r="J154" i="85" s="1"/>
  <c r="K154" i="85" s="1"/>
  <c r="D203" i="85"/>
  <c r="H195" i="82"/>
  <c r="G195" i="82"/>
  <c r="I195" i="82" s="1"/>
  <c r="F12" i="82"/>
  <c r="H12" i="82" s="1"/>
  <c r="F12" i="85"/>
  <c r="H12" i="85" s="1"/>
  <c r="D151" i="85"/>
  <c r="H151" i="85" s="1"/>
  <c r="J151" i="85" s="1"/>
  <c r="K151" i="85" s="1"/>
  <c r="H150" i="85"/>
  <c r="J150" i="85" s="1"/>
  <c r="K150" i="85" s="1"/>
  <c r="H48" i="82"/>
  <c r="D29" i="82" s="1"/>
  <c r="H29" i="82" s="1"/>
  <c r="D244" i="82" s="1" a="1"/>
  <c r="D244" i="82" s="1"/>
  <c r="H82" i="82"/>
  <c r="D75" i="82" s="1"/>
  <c r="H75" i="82" s="1"/>
  <c r="E256" i="82" s="1" a="1"/>
  <c r="E256" i="82" s="1"/>
  <c r="H153" i="79"/>
  <c r="J153" i="79" s="1"/>
  <c r="K153" i="79" s="1"/>
  <c r="H152" i="79"/>
  <c r="J152" i="79" s="1"/>
  <c r="K152" i="79" s="1"/>
  <c r="D17" i="85"/>
  <c r="G201" i="82"/>
  <c r="I201" i="82" s="1"/>
  <c r="H201" i="82"/>
  <c r="G204" i="79"/>
  <c r="I204" i="79" s="1"/>
  <c r="H204" i="79"/>
  <c r="H151" i="79"/>
  <c r="J151" i="79" s="1"/>
  <c r="K151" i="79" s="1"/>
  <c r="G196" i="79"/>
  <c r="I196" i="79" s="1"/>
  <c r="H196" i="79"/>
  <c r="F15" i="82"/>
  <c r="H15" i="82" s="1"/>
  <c r="D10" i="83"/>
  <c r="F11" i="83" s="1"/>
  <c r="H11" i="83" s="1"/>
  <c r="D154" i="82"/>
  <c r="H154" i="82" s="1"/>
  <c r="J154" i="82" s="1"/>
  <c r="K154" i="82" s="1"/>
  <c r="D107" i="82"/>
  <c r="H107" i="82" s="1"/>
  <c r="D203" i="82"/>
  <c r="H99" i="85"/>
  <c r="H82" i="79"/>
  <c r="D76" i="79" s="1"/>
  <c r="H76" i="79" s="1"/>
  <c r="E257" i="79" s="1" a="1"/>
  <c r="E257" i="79" s="1"/>
  <c r="G6" i="84" s="1"/>
  <c r="D17" i="82"/>
  <c r="H198" i="82"/>
  <c r="G198" i="82"/>
  <c r="I198" i="82" s="1"/>
  <c r="F9" i="83"/>
  <c r="H9" i="83" s="1"/>
  <c r="D96" i="83"/>
  <c r="H96" i="83" s="1"/>
  <c r="D138" i="83"/>
  <c r="D182" i="83"/>
  <c r="F16" i="82"/>
  <c r="H16" i="82" s="1"/>
  <c r="D98" i="83"/>
  <c r="H98" i="83" s="1"/>
  <c r="D140" i="83"/>
  <c r="E77" i="83"/>
  <c r="E43" i="83"/>
  <c r="D184" i="83"/>
  <c r="H146" i="85"/>
  <c r="J146" i="85" s="1"/>
  <c r="K146" i="85" s="1"/>
  <c r="H149" i="85"/>
  <c r="J149" i="85" s="1"/>
  <c r="K149" i="85" s="1"/>
  <c r="H202" i="82"/>
  <c r="G202" i="82"/>
  <c r="I202" i="82" s="1"/>
  <c r="G196" i="85"/>
  <c r="I196" i="85" s="1"/>
  <c r="G195" i="79"/>
  <c r="I195" i="79" s="1"/>
  <c r="H195" i="79"/>
  <c r="G204" i="82"/>
  <c r="I204" i="82" s="1"/>
  <c r="H204" i="82"/>
  <c r="H148" i="85"/>
  <c r="J148" i="85" s="1"/>
  <c r="K148" i="85" s="1"/>
  <c r="H182" i="81"/>
  <c r="G182" i="81"/>
  <c r="I182" i="81" s="1"/>
  <c r="D95" i="83"/>
  <c r="H95" i="83" s="1"/>
  <c r="D137" i="83"/>
  <c r="D181" i="83"/>
  <c r="E77" i="81"/>
  <c r="D98" i="81"/>
  <c r="H98" i="81" s="1"/>
  <c r="E43" i="81"/>
  <c r="D140" i="81"/>
  <c r="D184" i="81"/>
  <c r="H48" i="85"/>
  <c r="H99" i="82"/>
  <c r="H147" i="79"/>
  <c r="J147" i="79" s="1"/>
  <c r="K147" i="79" s="1"/>
  <c r="C184" i="89" l="1"/>
  <c r="R25" i="68"/>
  <c r="E42" i="89"/>
  <c r="D42" i="89"/>
  <c r="R24" i="68"/>
  <c r="I161" i="89" s="1"/>
  <c r="D134" i="107"/>
  <c r="H134" i="107" s="1"/>
  <c r="F260" i="107" s="1" a="1"/>
  <c r="F260" i="107" s="1"/>
  <c r="G181" i="81"/>
  <c r="I181" i="81" s="1"/>
  <c r="J181" i="81" s="1"/>
  <c r="K181" i="81" s="1"/>
  <c r="D73" i="108"/>
  <c r="H73" i="108" s="1"/>
  <c r="E239" i="108" s="1" a="1"/>
  <c r="E239" i="108" s="1"/>
  <c r="D136" i="69"/>
  <c r="H136" i="69" s="1"/>
  <c r="F262" i="69" s="1" a="1"/>
  <c r="F262" i="69" s="1"/>
  <c r="H8" i="70" s="1"/>
  <c r="D57" i="108"/>
  <c r="H57" i="108" s="1"/>
  <c r="E223" i="108" s="1" a="1"/>
  <c r="E223" i="108" s="1"/>
  <c r="J181" i="108"/>
  <c r="K181" i="108" s="1"/>
  <c r="D59" i="108"/>
  <c r="H59" i="108" s="1"/>
  <c r="E225" i="108" s="1" a="1"/>
  <c r="E225" i="108" s="1"/>
  <c r="D58" i="108"/>
  <c r="H58" i="108" s="1"/>
  <c r="E224" i="108" s="1" a="1"/>
  <c r="E224" i="108" s="1"/>
  <c r="H138" i="106"/>
  <c r="J138" i="106" s="1"/>
  <c r="K138" i="106" s="1"/>
  <c r="H203" i="79"/>
  <c r="J203" i="79" s="1"/>
  <c r="K203" i="79" s="1"/>
  <c r="G199" i="79"/>
  <c r="I199" i="79" s="1"/>
  <c r="J199" i="79" s="1"/>
  <c r="K199" i="79" s="1"/>
  <c r="D64" i="90"/>
  <c r="E15" i="103"/>
  <c r="J180" i="108"/>
  <c r="K180" i="108" s="1"/>
  <c r="D60" i="108"/>
  <c r="H60" i="108" s="1"/>
  <c r="E226" i="108" s="1" a="1"/>
  <c r="E226" i="108" s="1"/>
  <c r="D65" i="108"/>
  <c r="H65" i="108" s="1"/>
  <c r="E231" i="108" s="1" a="1"/>
  <c r="E231" i="108" s="1"/>
  <c r="D68" i="108"/>
  <c r="H68" i="108" s="1"/>
  <c r="E234" i="108" s="1" a="1"/>
  <c r="E234" i="108" s="1"/>
  <c r="J157" i="107"/>
  <c r="D62" i="108"/>
  <c r="H62" i="108" s="1"/>
  <c r="E228" i="108" s="1" a="1"/>
  <c r="E228" i="108" s="1"/>
  <c r="D66" i="108"/>
  <c r="H66" i="108" s="1"/>
  <c r="E232" i="108" s="1" a="1"/>
  <c r="E232" i="108" s="1"/>
  <c r="D67" i="108"/>
  <c r="H67" i="108" s="1"/>
  <c r="E233" i="108" s="1" a="1"/>
  <c r="E233" i="108" s="1"/>
  <c r="D63" i="108"/>
  <c r="H63" i="108" s="1"/>
  <c r="E229" i="108" s="1" a="1"/>
  <c r="E229" i="108" s="1"/>
  <c r="D70" i="108"/>
  <c r="H70" i="108" s="1"/>
  <c r="E236" i="108" s="1" a="1"/>
  <c r="E236" i="108" s="1"/>
  <c r="D64" i="108"/>
  <c r="H64" i="108" s="1"/>
  <c r="E230" i="108" s="1" a="1"/>
  <c r="E230" i="108" s="1"/>
  <c r="D55" i="108"/>
  <c r="H55" i="108" s="1"/>
  <c r="E221" i="108" s="1" a="1"/>
  <c r="E221" i="108" s="1"/>
  <c r="K100" i="108"/>
  <c r="J182" i="108"/>
  <c r="K182" i="108" s="1"/>
  <c r="J183" i="108"/>
  <c r="K183" i="108" s="1"/>
  <c r="D61" i="108"/>
  <c r="H61" i="108" s="1"/>
  <c r="E227" i="108" s="1" a="1"/>
  <c r="E227" i="108" s="1"/>
  <c r="D72" i="108"/>
  <c r="H72" i="108" s="1"/>
  <c r="E238" i="108" s="1" a="1"/>
  <c r="E238" i="108" s="1"/>
  <c r="D56" i="108"/>
  <c r="H56" i="108" s="1"/>
  <c r="E222" i="108" s="1" a="1"/>
  <c r="E222" i="108" s="1"/>
  <c r="D74" i="108"/>
  <c r="H74" i="108" s="1"/>
  <c r="E240" i="108" s="1" a="1"/>
  <c r="E240" i="108" s="1"/>
  <c r="J141" i="108"/>
  <c r="E157" i="107"/>
  <c r="D128" i="107"/>
  <c r="H128" i="107" s="1"/>
  <c r="F254" i="107" s="1" a="1"/>
  <c r="F254" i="107" s="1"/>
  <c r="D121" i="107"/>
  <c r="H121" i="107" s="1"/>
  <c r="F247" i="107" s="1" a="1"/>
  <c r="F247" i="107" s="1"/>
  <c r="D120" i="107"/>
  <c r="H120" i="107" s="1"/>
  <c r="F246" i="107" s="1" a="1"/>
  <c r="F246" i="107" s="1"/>
  <c r="D123" i="107"/>
  <c r="H123" i="107" s="1"/>
  <c r="F249" i="107" s="1" a="1"/>
  <c r="F249" i="107" s="1"/>
  <c r="D136" i="107"/>
  <c r="H136" i="107" s="1"/>
  <c r="F262" i="107" s="1" a="1"/>
  <c r="F262" i="107" s="1"/>
  <c r="D117" i="107"/>
  <c r="H117" i="107" s="1"/>
  <c r="F243" i="107" s="1" a="1"/>
  <c r="F243" i="107" s="1"/>
  <c r="D127" i="107"/>
  <c r="H127" i="107" s="1"/>
  <c r="F253" i="107" s="1" a="1"/>
  <c r="F253" i="107" s="1"/>
  <c r="D132" i="107"/>
  <c r="H132" i="107" s="1"/>
  <c r="F258" i="107" s="1" a="1"/>
  <c r="F258" i="107" s="1"/>
  <c r="D125" i="107"/>
  <c r="H125" i="107" s="1"/>
  <c r="F251" i="107" s="1" a="1"/>
  <c r="F251" i="107" s="1"/>
  <c r="D118" i="107"/>
  <c r="H118" i="107" s="1"/>
  <c r="F244" i="107" s="1" a="1"/>
  <c r="F244" i="107" s="1"/>
  <c r="D133" i="107"/>
  <c r="H133" i="107" s="1"/>
  <c r="F259" i="107" s="1" a="1"/>
  <c r="F259" i="107" s="1"/>
  <c r="D131" i="107"/>
  <c r="H131" i="107" s="1"/>
  <c r="F257" i="107" s="1" a="1"/>
  <c r="F257" i="107" s="1"/>
  <c r="D129" i="107"/>
  <c r="H129" i="107" s="1"/>
  <c r="F255" i="107" s="1" a="1"/>
  <c r="F255" i="107" s="1"/>
  <c r="D126" i="107"/>
  <c r="H126" i="107" s="1"/>
  <c r="F252" i="107" s="1" a="1"/>
  <c r="F252" i="107" s="1"/>
  <c r="D116" i="107"/>
  <c r="H116" i="107" s="1"/>
  <c r="F242" i="107" s="1" a="1"/>
  <c r="F242" i="107" s="1"/>
  <c r="D122" i="107"/>
  <c r="H122" i="107" s="1"/>
  <c r="F248" i="107" s="1" a="1"/>
  <c r="F248" i="107" s="1"/>
  <c r="D135" i="107"/>
  <c r="H135" i="107" s="1"/>
  <c r="F261" i="107" s="1" a="1"/>
  <c r="F261" i="107" s="1"/>
  <c r="D124" i="107"/>
  <c r="H124" i="107" s="1"/>
  <c r="F250" i="107" s="1" a="1"/>
  <c r="F250" i="107" s="1"/>
  <c r="D119" i="107"/>
  <c r="H119" i="107" s="1"/>
  <c r="F245" i="107" s="1" a="1"/>
  <c r="F245" i="107" s="1"/>
  <c r="D130" i="107"/>
  <c r="H130" i="107" s="1"/>
  <c r="F256" i="107" s="1" a="1"/>
  <c r="F256" i="107" s="1"/>
  <c r="D115" i="107"/>
  <c r="H115" i="107" s="1"/>
  <c r="F241" i="107" s="1" a="1"/>
  <c r="F241" i="107" s="1"/>
  <c r="K195" i="107"/>
  <c r="K205" i="107" s="1"/>
  <c r="J205" i="107"/>
  <c r="D71" i="108"/>
  <c r="H71" i="108" s="1"/>
  <c r="E237" i="108" s="1" a="1"/>
  <c r="E237" i="108" s="1"/>
  <c r="D75" i="108"/>
  <c r="H75" i="108" s="1"/>
  <c r="E241" i="108" s="1" a="1"/>
  <c r="E241" i="108" s="1"/>
  <c r="D69" i="108"/>
  <c r="H69" i="108" s="1"/>
  <c r="E235" i="108" s="1" a="1"/>
  <c r="E235" i="108" s="1"/>
  <c r="K141" i="108"/>
  <c r="G100" i="108"/>
  <c r="J184" i="108"/>
  <c r="K184" i="108" s="1"/>
  <c r="G202" i="85"/>
  <c r="I202" i="85" s="1"/>
  <c r="J202" i="85" s="1"/>
  <c r="K202" i="85" s="1"/>
  <c r="H197" i="82"/>
  <c r="J197" i="82" s="1"/>
  <c r="K197" i="82" s="1"/>
  <c r="H139" i="106"/>
  <c r="J139" i="106" s="1"/>
  <c r="K139" i="106" s="1"/>
  <c r="D119" i="71"/>
  <c r="H119" i="71" s="1"/>
  <c r="F235" i="71" s="1" a="1"/>
  <c r="F235" i="71" s="1"/>
  <c r="H17" i="79"/>
  <c r="J203" i="105"/>
  <c r="K203" i="105" s="1"/>
  <c r="J199" i="105"/>
  <c r="K199" i="105" s="1"/>
  <c r="J202" i="105"/>
  <c r="K202" i="105" s="1"/>
  <c r="J197" i="105"/>
  <c r="K197" i="105" s="1"/>
  <c r="J200" i="105"/>
  <c r="K200" i="105" s="1"/>
  <c r="J201" i="105"/>
  <c r="K201" i="105" s="1"/>
  <c r="H137" i="106"/>
  <c r="J137" i="106" s="1"/>
  <c r="K137" i="106" s="1"/>
  <c r="J198" i="105"/>
  <c r="K198" i="105" s="1"/>
  <c r="H109" i="105"/>
  <c r="D79" i="105"/>
  <c r="H79" i="105" s="1"/>
  <c r="E260" i="105" s="1" a="1"/>
  <c r="E260" i="105" s="1"/>
  <c r="G182" i="106"/>
  <c r="I182" i="106" s="1"/>
  <c r="H182" i="106"/>
  <c r="J196" i="105"/>
  <c r="K196" i="105" s="1"/>
  <c r="D32" i="105"/>
  <c r="H32" i="105" s="1"/>
  <c r="D247" i="105" s="1" a="1"/>
  <c r="D247" i="105" s="1"/>
  <c r="D39" i="105"/>
  <c r="H39" i="105" s="1"/>
  <c r="D254" i="105" s="1" a="1"/>
  <c r="D254" i="105" s="1"/>
  <c r="D46" i="105"/>
  <c r="H46" i="105" s="1"/>
  <c r="D261" i="105" s="1" a="1"/>
  <c r="D261" i="105" s="1"/>
  <c r="D30" i="105"/>
  <c r="H30" i="105" s="1"/>
  <c r="D245" i="105" s="1" a="1"/>
  <c r="D245" i="105" s="1"/>
  <c r="D37" i="105"/>
  <c r="H37" i="105" s="1"/>
  <c r="D252" i="105" s="1" a="1"/>
  <c r="D252" i="105" s="1"/>
  <c r="D44" i="105"/>
  <c r="H44" i="105" s="1"/>
  <c r="D259" i="105" s="1" a="1"/>
  <c r="D259" i="105" s="1"/>
  <c r="D28" i="105"/>
  <c r="H28" i="105" s="1"/>
  <c r="D243" i="105" s="1" a="1"/>
  <c r="D243" i="105" s="1"/>
  <c r="D35" i="105"/>
  <c r="H35" i="105" s="1"/>
  <c r="D250" i="105" s="1" a="1"/>
  <c r="D250" i="105" s="1"/>
  <c r="D42" i="105"/>
  <c r="H42" i="105" s="1"/>
  <c r="D257" i="105" s="1" a="1"/>
  <c r="D257" i="105" s="1"/>
  <c r="D26" i="105"/>
  <c r="H26" i="105" s="1"/>
  <c r="D241" i="105" s="1" a="1"/>
  <c r="D241" i="105" s="1"/>
  <c r="D33" i="105"/>
  <c r="H33" i="105" s="1"/>
  <c r="D248" i="105" s="1" a="1"/>
  <c r="D248" i="105" s="1"/>
  <c r="D40" i="105"/>
  <c r="H40" i="105" s="1"/>
  <c r="D255" i="105" s="1" a="1"/>
  <c r="D255" i="105" s="1"/>
  <c r="D47" i="105"/>
  <c r="H47" i="105" s="1"/>
  <c r="D262" i="105" s="1" a="1"/>
  <c r="D262" i="105" s="1"/>
  <c r="D31" i="105"/>
  <c r="H31" i="105" s="1"/>
  <c r="D246" i="105" s="1" a="1"/>
  <c r="D246" i="105" s="1"/>
  <c r="D38" i="105"/>
  <c r="H38" i="105" s="1"/>
  <c r="D253" i="105" s="1" a="1"/>
  <c r="D253" i="105" s="1"/>
  <c r="D45" i="105"/>
  <c r="H45" i="105" s="1"/>
  <c r="D260" i="105" s="1" a="1"/>
  <c r="D260" i="105" s="1"/>
  <c r="D29" i="105"/>
  <c r="H29" i="105" s="1"/>
  <c r="D244" i="105" s="1" a="1"/>
  <c r="D244" i="105" s="1"/>
  <c r="D36" i="105"/>
  <c r="H36" i="105" s="1"/>
  <c r="D251" i="105" s="1" a="1"/>
  <c r="D251" i="105" s="1"/>
  <c r="D43" i="105"/>
  <c r="H43" i="105" s="1"/>
  <c r="D258" i="105" s="1" a="1"/>
  <c r="D258" i="105" s="1"/>
  <c r="D27" i="105"/>
  <c r="H27" i="105" s="1"/>
  <c r="D242" i="105" s="1" a="1"/>
  <c r="D242" i="105" s="1"/>
  <c r="D34" i="105"/>
  <c r="H34" i="105" s="1"/>
  <c r="D249" i="105" s="1" a="1"/>
  <c r="D249" i="105" s="1"/>
  <c r="D41" i="105"/>
  <c r="H41" i="105" s="1"/>
  <c r="D256" i="105" s="1" a="1"/>
  <c r="D256" i="105" s="1"/>
  <c r="D109" i="105"/>
  <c r="H94" i="106"/>
  <c r="J17" i="105"/>
  <c r="J195" i="105"/>
  <c r="C66" i="84"/>
  <c r="C67" i="84"/>
  <c r="C187" i="89" s="1"/>
  <c r="G180" i="106"/>
  <c r="I180" i="106" s="1"/>
  <c r="H180" i="106"/>
  <c r="H181" i="106"/>
  <c r="G181" i="106"/>
  <c r="I181" i="106" s="1"/>
  <c r="G183" i="106"/>
  <c r="I183" i="106" s="1"/>
  <c r="H183" i="106"/>
  <c r="H204" i="105"/>
  <c r="G204" i="105"/>
  <c r="I204" i="105" s="1"/>
  <c r="K155" i="105"/>
  <c r="K156" i="105" s="1"/>
  <c r="J156" i="105"/>
  <c r="E43" i="106"/>
  <c r="E77" i="106"/>
  <c r="F11" i="106"/>
  <c r="H11" i="106" s="1"/>
  <c r="H12" i="106" s="1"/>
  <c r="H43" i="106"/>
  <c r="D98" i="106"/>
  <c r="H98" i="106" s="1"/>
  <c r="H140" i="106"/>
  <c r="J140" i="106" s="1"/>
  <c r="D184" i="106"/>
  <c r="D28" i="79"/>
  <c r="H28" i="79" s="1"/>
  <c r="D243" i="79" s="1" a="1"/>
  <c r="D243" i="79" s="1"/>
  <c r="D200" i="85"/>
  <c r="H200" i="85" s="1"/>
  <c r="D80" i="85"/>
  <c r="H80" i="85" s="1"/>
  <c r="E261" i="85" s="1" a="1"/>
  <c r="E261" i="85" s="1"/>
  <c r="F13" i="85"/>
  <c r="H13" i="85" s="1"/>
  <c r="H17" i="85" s="1"/>
  <c r="G180" i="86"/>
  <c r="I180" i="86" s="1"/>
  <c r="J180" i="86" s="1"/>
  <c r="K180" i="86" s="1"/>
  <c r="D47" i="79"/>
  <c r="H47" i="79" s="1"/>
  <c r="D262" i="79" s="1" a="1"/>
  <c r="D262" i="79" s="1"/>
  <c r="H5" i="84" s="1"/>
  <c r="D30" i="79"/>
  <c r="H30" i="79" s="1"/>
  <c r="D245" i="79" s="1" a="1"/>
  <c r="D245" i="79" s="1"/>
  <c r="D35" i="79"/>
  <c r="H35" i="79" s="1"/>
  <c r="D250" i="79" s="1" a="1"/>
  <c r="D250" i="79" s="1"/>
  <c r="D34" i="79"/>
  <c r="H34" i="79" s="1"/>
  <c r="D249" i="79" s="1" a="1"/>
  <c r="D249" i="79" s="1"/>
  <c r="D26" i="79"/>
  <c r="H26" i="79" s="1"/>
  <c r="D241" i="79" s="1" a="1"/>
  <c r="D241" i="79" s="1"/>
  <c r="D42" i="79"/>
  <c r="H42" i="79" s="1"/>
  <c r="D257" i="79" s="1" a="1"/>
  <c r="D257" i="79" s="1"/>
  <c r="G5" i="84" s="1"/>
  <c r="D36" i="79"/>
  <c r="H36" i="79" s="1"/>
  <c r="D251" i="79" s="1" a="1"/>
  <c r="D251" i="79" s="1"/>
  <c r="D43" i="79"/>
  <c r="H43" i="79" s="1"/>
  <c r="D258" i="79" s="1" a="1"/>
  <c r="D258" i="79" s="1"/>
  <c r="D29" i="79"/>
  <c r="H29" i="79" s="1"/>
  <c r="D244" i="79" s="1" a="1"/>
  <c r="D244" i="79" s="1"/>
  <c r="D31" i="79"/>
  <c r="H31" i="79" s="1"/>
  <c r="D246" i="79" s="1" a="1"/>
  <c r="D246" i="79" s="1"/>
  <c r="D33" i="79"/>
  <c r="H33" i="79" s="1"/>
  <c r="D248" i="79" s="1" a="1"/>
  <c r="D248" i="79" s="1"/>
  <c r="D46" i="79"/>
  <c r="H46" i="79" s="1"/>
  <c r="D261" i="79" s="1" a="1"/>
  <c r="D261" i="79" s="1"/>
  <c r="D40" i="79"/>
  <c r="H40" i="79" s="1"/>
  <c r="D255" i="79" s="1" a="1"/>
  <c r="D255" i="79" s="1"/>
  <c r="D38" i="79"/>
  <c r="H38" i="79" s="1"/>
  <c r="D253" i="79" s="1" a="1"/>
  <c r="D253" i="79" s="1"/>
  <c r="D44" i="79"/>
  <c r="H44" i="79" s="1"/>
  <c r="D259" i="79" s="1" a="1"/>
  <c r="D259" i="79" s="1"/>
  <c r="D32" i="79"/>
  <c r="H32" i="79" s="1"/>
  <c r="D247" i="79" s="1" a="1"/>
  <c r="D247" i="79" s="1"/>
  <c r="E5" i="84" s="1"/>
  <c r="D39" i="79"/>
  <c r="H39" i="79" s="1"/>
  <c r="D254" i="79" s="1" a="1"/>
  <c r="D254" i="79" s="1"/>
  <c r="D41" i="79"/>
  <c r="H41" i="79" s="1"/>
  <c r="D256" i="79" s="1" a="1"/>
  <c r="D256" i="79" s="1"/>
  <c r="D45" i="79"/>
  <c r="H45" i="79" s="1"/>
  <c r="D260" i="79" s="1" a="1"/>
  <c r="D260" i="79" s="1"/>
  <c r="D37" i="79"/>
  <c r="H37" i="79" s="1"/>
  <c r="D252" i="79" s="1" a="1"/>
  <c r="D252" i="79" s="1"/>
  <c r="F5" i="84" s="1"/>
  <c r="D46" i="85"/>
  <c r="H46" i="85" s="1"/>
  <c r="D261" i="85" s="1" a="1"/>
  <c r="D261" i="85" s="1"/>
  <c r="D205" i="79"/>
  <c r="D139" i="81"/>
  <c r="H139" i="81" s="1"/>
  <c r="J139" i="81" s="1"/>
  <c r="K139" i="81" s="1"/>
  <c r="D12" i="81"/>
  <c r="H201" i="85"/>
  <c r="J201" i="85" s="1"/>
  <c r="K201" i="85" s="1"/>
  <c r="H198" i="85"/>
  <c r="J198" i="85" s="1"/>
  <c r="K198" i="85" s="1"/>
  <c r="H109" i="79"/>
  <c r="J17" i="79"/>
  <c r="D121" i="72"/>
  <c r="H121" i="72" s="1"/>
  <c r="F247" i="72" s="1" a="1"/>
  <c r="F247" i="72" s="1"/>
  <c r="E24" i="70" s="1"/>
  <c r="D109" i="79"/>
  <c r="D116" i="72"/>
  <c r="H116" i="72" s="1"/>
  <c r="F242" i="72" s="1" a="1"/>
  <c r="F242" i="72" s="1"/>
  <c r="D24" i="70" s="1"/>
  <c r="H43" i="81"/>
  <c r="D36" i="81" s="1"/>
  <c r="H36" i="81" s="1"/>
  <c r="D236" i="81" s="1" a="1"/>
  <c r="D236" i="81" s="1"/>
  <c r="F10" i="81"/>
  <c r="H10" i="81" s="1"/>
  <c r="G180" i="81"/>
  <c r="I180" i="81" s="1"/>
  <c r="J180" i="81" s="1"/>
  <c r="D132" i="72"/>
  <c r="H132" i="72" s="1"/>
  <c r="F258" i="72" s="1" a="1"/>
  <c r="F258" i="72" s="1"/>
  <c r="F11" i="81"/>
  <c r="H11" i="81" s="1"/>
  <c r="D97" i="81"/>
  <c r="H97" i="81" s="1"/>
  <c r="H99" i="81" s="1"/>
  <c r="H196" i="82"/>
  <c r="J196" i="82" s="1"/>
  <c r="K196" i="82" s="1"/>
  <c r="J181" i="88"/>
  <c r="K181" i="88" s="1"/>
  <c r="H138" i="81"/>
  <c r="J138" i="81" s="1"/>
  <c r="K138" i="81" s="1"/>
  <c r="D123" i="72"/>
  <c r="H123" i="72" s="1"/>
  <c r="F249" i="72" s="1" a="1"/>
  <c r="F249" i="72" s="1"/>
  <c r="D118" i="72"/>
  <c r="H118" i="72" s="1"/>
  <c r="F244" i="72" s="1" a="1"/>
  <c r="F244" i="72" s="1"/>
  <c r="D134" i="72"/>
  <c r="H134" i="72" s="1"/>
  <c r="F260" i="72" s="1" a="1"/>
  <c r="F260" i="72" s="1"/>
  <c r="H140" i="81"/>
  <c r="J140" i="81" s="1"/>
  <c r="K140" i="81" s="1"/>
  <c r="D129" i="72"/>
  <c r="H129" i="72" s="1"/>
  <c r="F255" i="72" s="1" a="1"/>
  <c r="F255" i="72" s="1"/>
  <c r="D124" i="72"/>
  <c r="H124" i="72" s="1"/>
  <c r="F250" i="72" s="1" a="1"/>
  <c r="F250" i="72" s="1"/>
  <c r="J199" i="72"/>
  <c r="K199" i="72" s="1"/>
  <c r="J157" i="72"/>
  <c r="H137" i="81"/>
  <c r="J137" i="81" s="1"/>
  <c r="K137" i="81" s="1"/>
  <c r="D115" i="72"/>
  <c r="H115" i="72" s="1"/>
  <c r="F241" i="72" s="1" a="1"/>
  <c r="F241" i="72" s="1"/>
  <c r="D131" i="72"/>
  <c r="H131" i="72" s="1"/>
  <c r="F257" i="72" s="1" a="1"/>
  <c r="F257" i="72" s="1"/>
  <c r="G24" i="70" s="1"/>
  <c r="D126" i="72"/>
  <c r="H126" i="72" s="1"/>
  <c r="F252" i="72" s="1" a="1"/>
  <c r="F252" i="72" s="1"/>
  <c r="F24" i="70" s="1"/>
  <c r="H197" i="85"/>
  <c r="J197" i="85" s="1"/>
  <c r="K197" i="85" s="1"/>
  <c r="G204" i="85"/>
  <c r="I204" i="85" s="1"/>
  <c r="J204" i="85" s="1"/>
  <c r="K204" i="85" s="1"/>
  <c r="E142" i="73"/>
  <c r="E157" i="87"/>
  <c r="D117" i="72"/>
  <c r="H117" i="72" s="1"/>
  <c r="F243" i="72" s="1" a="1"/>
  <c r="F243" i="72" s="1"/>
  <c r="D125" i="72"/>
  <c r="H125" i="72" s="1"/>
  <c r="F251" i="72" s="1" a="1"/>
  <c r="F251" i="72" s="1"/>
  <c r="D133" i="72"/>
  <c r="H133" i="72" s="1"/>
  <c r="F259" i="72" s="1" a="1"/>
  <c r="F259" i="72" s="1"/>
  <c r="D120" i="72"/>
  <c r="H120" i="72" s="1"/>
  <c r="F246" i="72" s="1" a="1"/>
  <c r="F246" i="72" s="1"/>
  <c r="D128" i="72"/>
  <c r="H128" i="72" s="1"/>
  <c r="F254" i="72" s="1" a="1"/>
  <c r="F254" i="72" s="1"/>
  <c r="D136" i="72"/>
  <c r="H136" i="72" s="1"/>
  <c r="F262" i="72" s="1" a="1"/>
  <c r="F262" i="72" s="1"/>
  <c r="H24" i="70" s="1"/>
  <c r="J200" i="87"/>
  <c r="K200" i="87" s="1"/>
  <c r="D119" i="72"/>
  <c r="H119" i="72" s="1"/>
  <c r="F245" i="72" s="1" a="1"/>
  <c r="F245" i="72" s="1"/>
  <c r="D127" i="72"/>
  <c r="H127" i="72" s="1"/>
  <c r="F253" i="72" s="1" a="1"/>
  <c r="F253" i="72" s="1"/>
  <c r="D135" i="72"/>
  <c r="H135" i="72" s="1"/>
  <c r="F261" i="72" s="1" a="1"/>
  <c r="F261" i="72" s="1"/>
  <c r="D122" i="72"/>
  <c r="H122" i="72" s="1"/>
  <c r="F248" i="72" s="1" a="1"/>
  <c r="F248" i="72" s="1"/>
  <c r="J203" i="87"/>
  <c r="K203" i="87" s="1"/>
  <c r="H12" i="86"/>
  <c r="J198" i="82"/>
  <c r="K198" i="82" s="1"/>
  <c r="J203" i="72"/>
  <c r="K203" i="72" s="1"/>
  <c r="J180" i="71"/>
  <c r="K180" i="71" s="1"/>
  <c r="J182" i="71"/>
  <c r="K182" i="71" s="1"/>
  <c r="J197" i="69"/>
  <c r="K197" i="69" s="1"/>
  <c r="J199" i="69"/>
  <c r="K199" i="69" s="1"/>
  <c r="D123" i="69"/>
  <c r="H123" i="69" s="1"/>
  <c r="F249" i="69" s="1" a="1"/>
  <c r="F249" i="69" s="1"/>
  <c r="J157" i="69"/>
  <c r="D135" i="69"/>
  <c r="H135" i="69" s="1"/>
  <c r="F261" i="69" s="1" a="1"/>
  <c r="F261" i="69" s="1"/>
  <c r="J195" i="69"/>
  <c r="K195" i="69" s="1"/>
  <c r="D124" i="69"/>
  <c r="H124" i="69" s="1"/>
  <c r="F250" i="69" s="1" a="1"/>
  <c r="F250" i="69" s="1"/>
  <c r="D134" i="69"/>
  <c r="H134" i="69" s="1"/>
  <c r="F260" i="69" s="1" a="1"/>
  <c r="F260" i="69" s="1"/>
  <c r="D38" i="82"/>
  <c r="H38" i="82" s="1"/>
  <c r="D253" i="82" s="1" a="1"/>
  <c r="D253" i="82" s="1"/>
  <c r="H43" i="83"/>
  <c r="D26" i="83" s="1"/>
  <c r="H26" i="83" s="1"/>
  <c r="D226" i="83" s="1" a="1"/>
  <c r="D226" i="83" s="1"/>
  <c r="D119" i="69"/>
  <c r="H119" i="69" s="1"/>
  <c r="F245" i="69" s="1" a="1"/>
  <c r="F245" i="69" s="1"/>
  <c r="D129" i="69"/>
  <c r="H129" i="69" s="1"/>
  <c r="F255" i="69" s="1" a="1"/>
  <c r="F255" i="69" s="1"/>
  <c r="D118" i="69"/>
  <c r="H118" i="69" s="1"/>
  <c r="F244" i="69" s="1" a="1"/>
  <c r="F244" i="69" s="1"/>
  <c r="D130" i="69"/>
  <c r="H130" i="69" s="1"/>
  <c r="F256" i="69" s="1" a="1"/>
  <c r="F256" i="69" s="1"/>
  <c r="D114" i="71"/>
  <c r="H114" i="71" s="1"/>
  <c r="F230" i="71" s="1" a="1"/>
  <c r="F230" i="71" s="1"/>
  <c r="D117" i="71"/>
  <c r="H117" i="71" s="1"/>
  <c r="F233" i="71" s="1" a="1"/>
  <c r="F233" i="71" s="1"/>
  <c r="H77" i="86"/>
  <c r="D74" i="86" s="1"/>
  <c r="H74" i="86" s="1"/>
  <c r="E240" i="86" s="1" a="1"/>
  <c r="E240" i="86" s="1"/>
  <c r="H99" i="86"/>
  <c r="J204" i="82"/>
  <c r="K204" i="82" s="1"/>
  <c r="C42" i="89"/>
  <c r="C62" i="89" s="1"/>
  <c r="D121" i="69"/>
  <c r="H121" i="69" s="1"/>
  <c r="F247" i="69" s="1" a="1"/>
  <c r="F247" i="69" s="1"/>
  <c r="E8" i="70" s="1"/>
  <c r="D131" i="69"/>
  <c r="H131" i="69" s="1"/>
  <c r="F257" i="69" s="1" a="1"/>
  <c r="F257" i="69" s="1"/>
  <c r="G8" i="70" s="1"/>
  <c r="D122" i="69"/>
  <c r="H122" i="69" s="1"/>
  <c r="F248" i="69" s="1" a="1"/>
  <c r="F248" i="69" s="1"/>
  <c r="D132" i="69"/>
  <c r="H132" i="69" s="1"/>
  <c r="F258" i="69" s="1" a="1"/>
  <c r="F258" i="69" s="1"/>
  <c r="J201" i="69"/>
  <c r="K201" i="69" s="1"/>
  <c r="J180" i="88"/>
  <c r="K180" i="88" s="1"/>
  <c r="K110" i="87"/>
  <c r="D126" i="71"/>
  <c r="H126" i="71" s="1"/>
  <c r="F242" i="71" s="1" a="1"/>
  <c r="F242" i="71" s="1"/>
  <c r="H14" i="70" s="1"/>
  <c r="D116" i="71"/>
  <c r="H116" i="71" s="1"/>
  <c r="F232" i="71" s="1" a="1"/>
  <c r="F232" i="71" s="1"/>
  <c r="F14" i="70" s="1"/>
  <c r="D107" i="71"/>
  <c r="H107" i="71" s="1"/>
  <c r="F223" i="71" s="1" a="1"/>
  <c r="F223" i="71" s="1"/>
  <c r="D99" i="86"/>
  <c r="J12" i="86"/>
  <c r="D112" i="71"/>
  <c r="H112" i="71" s="1"/>
  <c r="F228" i="71" s="1" a="1"/>
  <c r="F228" i="71" s="1"/>
  <c r="D124" i="71"/>
  <c r="H124" i="71" s="1"/>
  <c r="F240" i="71" s="1" a="1"/>
  <c r="F240" i="71" s="1"/>
  <c r="D111" i="71"/>
  <c r="H111" i="71" s="1"/>
  <c r="F227" i="71" s="1" a="1"/>
  <c r="F227" i="71" s="1"/>
  <c r="E14" i="70" s="1"/>
  <c r="D22" i="86"/>
  <c r="H22" i="86" s="1"/>
  <c r="D222" i="86" s="1" a="1"/>
  <c r="D222" i="86" s="1"/>
  <c r="D32" i="86"/>
  <c r="H32" i="86" s="1"/>
  <c r="D232" i="86" s="1" a="1"/>
  <c r="D232" i="86" s="1"/>
  <c r="D37" i="86"/>
  <c r="H37" i="86" s="1"/>
  <c r="D237" i="86" s="1" a="1"/>
  <c r="D237" i="86" s="1"/>
  <c r="D24" i="86"/>
  <c r="H24" i="86" s="1"/>
  <c r="D224" i="86" s="1" a="1"/>
  <c r="D224" i="86" s="1"/>
  <c r="D39" i="86"/>
  <c r="H39" i="86" s="1"/>
  <c r="D239" i="86" s="1" a="1"/>
  <c r="D239" i="86" s="1"/>
  <c r="D33" i="86"/>
  <c r="H33" i="86" s="1"/>
  <c r="D233" i="86" s="1" a="1"/>
  <c r="D233" i="86" s="1"/>
  <c r="D36" i="86"/>
  <c r="H36" i="86" s="1"/>
  <c r="D236" i="86" s="1" a="1"/>
  <c r="D236" i="86" s="1"/>
  <c r="D41" i="86"/>
  <c r="H41" i="86" s="1"/>
  <c r="D241" i="86" s="1" a="1"/>
  <c r="D241" i="86" s="1"/>
  <c r="D26" i="86"/>
  <c r="H26" i="86" s="1"/>
  <c r="D226" i="86" s="1" a="1"/>
  <c r="D226" i="86" s="1"/>
  <c r="D28" i="86"/>
  <c r="H28" i="86" s="1"/>
  <c r="D228" i="86" s="1" a="1"/>
  <c r="D228" i="86" s="1"/>
  <c r="D21" i="86"/>
  <c r="H21" i="86" s="1"/>
  <c r="D221" i="86" s="1" a="1"/>
  <c r="D221" i="86" s="1"/>
  <c r="D23" i="86"/>
  <c r="H23" i="86" s="1"/>
  <c r="D223" i="86" s="1" a="1"/>
  <c r="D223" i="86" s="1"/>
  <c r="D34" i="86"/>
  <c r="H34" i="86" s="1"/>
  <c r="D234" i="86" s="1" a="1"/>
  <c r="D234" i="86" s="1"/>
  <c r="D40" i="86"/>
  <c r="H40" i="86" s="1"/>
  <c r="D240" i="86" s="1" a="1"/>
  <c r="D240" i="86" s="1"/>
  <c r="D27" i="86"/>
  <c r="H27" i="86" s="1"/>
  <c r="D227" i="86" s="1" a="1"/>
  <c r="D227" i="86" s="1"/>
  <c r="D30" i="86"/>
  <c r="H30" i="86" s="1"/>
  <c r="D230" i="86" s="1" a="1"/>
  <c r="D230" i="86" s="1"/>
  <c r="D38" i="86"/>
  <c r="H38" i="86" s="1"/>
  <c r="D238" i="86" s="1" a="1"/>
  <c r="D238" i="86" s="1"/>
  <c r="D29" i="86"/>
  <c r="H29" i="86" s="1"/>
  <c r="D229" i="86" s="1" a="1"/>
  <c r="D229" i="86" s="1"/>
  <c r="D31" i="86"/>
  <c r="H31" i="86" s="1"/>
  <c r="D231" i="86" s="1" a="1"/>
  <c r="D231" i="86" s="1"/>
  <c r="D25" i="86"/>
  <c r="H25" i="86" s="1"/>
  <c r="D225" i="86" s="1" a="1"/>
  <c r="D225" i="86" s="1"/>
  <c r="D35" i="86"/>
  <c r="H35" i="86" s="1"/>
  <c r="D235" i="86" s="1" a="1"/>
  <c r="D235" i="86" s="1"/>
  <c r="D42" i="86"/>
  <c r="H42" i="86" s="1"/>
  <c r="D242" i="86" s="1" a="1"/>
  <c r="D242" i="86" s="1"/>
  <c r="H183" i="86"/>
  <c r="G183" i="86"/>
  <c r="I183" i="86" s="1"/>
  <c r="G181" i="86"/>
  <c r="I181" i="86" s="1"/>
  <c r="H181" i="86"/>
  <c r="D30" i="82"/>
  <c r="H30" i="82" s="1"/>
  <c r="D245" i="82" s="1" a="1"/>
  <c r="D245" i="82" s="1"/>
  <c r="E157" i="69"/>
  <c r="K100" i="88"/>
  <c r="E157" i="72"/>
  <c r="D115" i="69"/>
  <c r="H115" i="69" s="1"/>
  <c r="F241" i="69" s="1" a="1"/>
  <c r="F241" i="69" s="1"/>
  <c r="D127" i="69"/>
  <c r="H127" i="69" s="1"/>
  <c r="F253" i="69" s="1" a="1"/>
  <c r="F253" i="69" s="1"/>
  <c r="D116" i="69"/>
  <c r="H116" i="69" s="1"/>
  <c r="F242" i="69" s="1" a="1"/>
  <c r="F242" i="69" s="1"/>
  <c r="D8" i="70" s="1"/>
  <c r="D126" i="69"/>
  <c r="H126" i="69" s="1"/>
  <c r="F252" i="69" s="1" a="1"/>
  <c r="F252" i="69" s="1"/>
  <c r="F8" i="70" s="1"/>
  <c r="J203" i="69"/>
  <c r="K203" i="69" s="1"/>
  <c r="J201" i="72"/>
  <c r="K201" i="72" s="1"/>
  <c r="D106" i="71"/>
  <c r="H106" i="71" s="1"/>
  <c r="F222" i="71" s="1" a="1"/>
  <c r="F222" i="71" s="1"/>
  <c r="D14" i="70" s="1"/>
  <c r="D113" i="71"/>
  <c r="H113" i="71" s="1"/>
  <c r="F229" i="71" s="1" a="1"/>
  <c r="F229" i="71" s="1"/>
  <c r="D123" i="71"/>
  <c r="H123" i="71" s="1"/>
  <c r="F239" i="71" s="1" a="1"/>
  <c r="F239" i="71" s="1"/>
  <c r="K140" i="86"/>
  <c r="K141" i="86" s="1"/>
  <c r="J141" i="86"/>
  <c r="H184" i="86"/>
  <c r="G184" i="86"/>
  <c r="I184" i="86" s="1"/>
  <c r="H182" i="86"/>
  <c r="G182" i="86"/>
  <c r="I182" i="86" s="1"/>
  <c r="D185" i="86"/>
  <c r="D66" i="79"/>
  <c r="H66" i="79" s="1"/>
  <c r="E247" i="79" s="1" a="1"/>
  <c r="E247" i="79" s="1"/>
  <c r="E6" i="84" s="1"/>
  <c r="D65" i="79"/>
  <c r="H65" i="79" s="1"/>
  <c r="E246" i="79" s="1" a="1"/>
  <c r="E246" i="79" s="1"/>
  <c r="D70" i="79"/>
  <c r="H70" i="79" s="1"/>
  <c r="E251" i="79" s="1" a="1"/>
  <c r="E251" i="79" s="1"/>
  <c r="K140" i="71"/>
  <c r="K141" i="71" s="1"/>
  <c r="J141" i="71"/>
  <c r="J142" i="73"/>
  <c r="D126" i="73"/>
  <c r="H126" i="73" s="1"/>
  <c r="F242" i="73" s="1" a="1"/>
  <c r="F242" i="73" s="1"/>
  <c r="D124" i="73"/>
  <c r="H124" i="73" s="1"/>
  <c r="F240" i="73" s="1" a="1"/>
  <c r="F240" i="73" s="1"/>
  <c r="D122" i="73"/>
  <c r="H122" i="73" s="1"/>
  <c r="F238" i="73" s="1" a="1"/>
  <c r="F238" i="73" s="1"/>
  <c r="D120" i="73"/>
  <c r="H120" i="73" s="1"/>
  <c r="F236" i="73" s="1" a="1"/>
  <c r="F236" i="73" s="1"/>
  <c r="D118" i="73"/>
  <c r="H118" i="73" s="1"/>
  <c r="F234" i="73" s="1" a="1"/>
  <c r="F234" i="73" s="1"/>
  <c r="D116" i="73"/>
  <c r="H116" i="73" s="1"/>
  <c r="F232" i="73" s="1" a="1"/>
  <c r="F232" i="73" s="1"/>
  <c r="D114" i="73"/>
  <c r="H114" i="73" s="1"/>
  <c r="F230" i="73" s="1" a="1"/>
  <c r="F230" i="73" s="1"/>
  <c r="D112" i="73"/>
  <c r="H112" i="73" s="1"/>
  <c r="F228" i="73" s="1" a="1"/>
  <c r="F228" i="73" s="1"/>
  <c r="D110" i="73"/>
  <c r="H110" i="73" s="1"/>
  <c r="F226" i="73" s="1" a="1"/>
  <c r="F226" i="73" s="1"/>
  <c r="D108" i="73"/>
  <c r="H108" i="73" s="1"/>
  <c r="F224" i="73" s="1" a="1"/>
  <c r="F224" i="73" s="1"/>
  <c r="D106" i="73"/>
  <c r="H106" i="73" s="1"/>
  <c r="F222" i="73" s="1" a="1"/>
  <c r="F222" i="73" s="1"/>
  <c r="D125" i="73"/>
  <c r="H125" i="73" s="1"/>
  <c r="F241" i="73" s="1" a="1"/>
  <c r="F241" i="73" s="1"/>
  <c r="D123" i="73"/>
  <c r="H123" i="73" s="1"/>
  <c r="F239" i="73" s="1" a="1"/>
  <c r="F239" i="73" s="1"/>
  <c r="D121" i="73"/>
  <c r="H121" i="73" s="1"/>
  <c r="F237" i="73" s="1" a="1"/>
  <c r="F237" i="73" s="1"/>
  <c r="D119" i="73"/>
  <c r="H119" i="73" s="1"/>
  <c r="F235" i="73" s="1" a="1"/>
  <c r="F235" i="73" s="1"/>
  <c r="D117" i="73"/>
  <c r="H117" i="73" s="1"/>
  <c r="F233" i="73" s="1" a="1"/>
  <c r="F233" i="73" s="1"/>
  <c r="D115" i="73"/>
  <c r="H115" i="73" s="1"/>
  <c r="F231" i="73" s="1" a="1"/>
  <c r="F231" i="73" s="1"/>
  <c r="D113" i="73"/>
  <c r="H113" i="73" s="1"/>
  <c r="F229" i="73" s="1" a="1"/>
  <c r="F229" i="73" s="1"/>
  <c r="D111" i="73"/>
  <c r="H111" i="73" s="1"/>
  <c r="F227" i="73" s="1" a="1"/>
  <c r="F227" i="73" s="1"/>
  <c r="D109" i="73"/>
  <c r="H109" i="73" s="1"/>
  <c r="F225" i="73" s="1" a="1"/>
  <c r="F225" i="73" s="1"/>
  <c r="D107" i="73"/>
  <c r="H107" i="73" s="1"/>
  <c r="F223" i="73" s="1" a="1"/>
  <c r="F223" i="73" s="1"/>
  <c r="D105" i="73"/>
  <c r="H105" i="73" s="1"/>
  <c r="F221" i="73" s="1" a="1"/>
  <c r="F221" i="73" s="1"/>
  <c r="D64" i="79"/>
  <c r="H64" i="79" s="1"/>
  <c r="E245" i="79" s="1" a="1"/>
  <c r="E245" i="79" s="1"/>
  <c r="K156" i="82"/>
  <c r="D60" i="82"/>
  <c r="H60" i="82" s="1"/>
  <c r="E241" i="82" s="1" a="1"/>
  <c r="E241" i="82" s="1"/>
  <c r="D32" i="82"/>
  <c r="H32" i="82" s="1"/>
  <c r="D247" i="82" s="1" a="1"/>
  <c r="D247" i="82" s="1"/>
  <c r="E21" i="84" s="1"/>
  <c r="D40" i="82"/>
  <c r="H40" i="82" s="1"/>
  <c r="D255" i="82" s="1" a="1"/>
  <c r="D255" i="82" s="1"/>
  <c r="K195" i="87"/>
  <c r="K140" i="88"/>
  <c r="K141" i="88" s="1"/>
  <c r="J141" i="88"/>
  <c r="J183" i="73"/>
  <c r="K183" i="73" s="1"/>
  <c r="J182" i="81"/>
  <c r="K182" i="81" s="1"/>
  <c r="D74" i="79"/>
  <c r="H74" i="79" s="1"/>
  <c r="E255" i="79" s="1" a="1"/>
  <c r="E255" i="79" s="1"/>
  <c r="D81" i="79"/>
  <c r="H81" i="79" s="1"/>
  <c r="E262" i="79" s="1" a="1"/>
  <c r="E262" i="79" s="1"/>
  <c r="H6" i="84" s="1"/>
  <c r="D69" i="79"/>
  <c r="H69" i="79" s="1"/>
  <c r="E250" i="79" s="1" a="1"/>
  <c r="E250" i="79" s="1"/>
  <c r="D73" i="79"/>
  <c r="H73" i="79" s="1"/>
  <c r="E254" i="79" s="1" a="1"/>
  <c r="E254" i="79" s="1"/>
  <c r="D71" i="82"/>
  <c r="H71" i="82" s="1"/>
  <c r="E252" i="82" s="1" a="1"/>
  <c r="E252" i="82" s="1"/>
  <c r="F22" i="84" s="1"/>
  <c r="D64" i="82"/>
  <c r="H64" i="82" s="1"/>
  <c r="E245" i="82" s="1" a="1"/>
  <c r="E245" i="82" s="1"/>
  <c r="D43" i="82"/>
  <c r="H43" i="82" s="1"/>
  <c r="D258" i="82" s="1" a="1"/>
  <c r="D258" i="82" s="1"/>
  <c r="G110" i="87"/>
  <c r="J184" i="71"/>
  <c r="K184" i="71" s="1"/>
  <c r="G100" i="88"/>
  <c r="J197" i="72"/>
  <c r="K197" i="72" s="1"/>
  <c r="D117" i="69"/>
  <c r="H117" i="69" s="1"/>
  <c r="F243" i="69" s="1" a="1"/>
  <c r="F243" i="69" s="1"/>
  <c r="D125" i="69"/>
  <c r="H125" i="69" s="1"/>
  <c r="F251" i="69" s="1" a="1"/>
  <c r="F251" i="69" s="1"/>
  <c r="D133" i="69"/>
  <c r="H133" i="69" s="1"/>
  <c r="F259" i="69" s="1" a="1"/>
  <c r="F259" i="69" s="1"/>
  <c r="D120" i="69"/>
  <c r="H120" i="69" s="1"/>
  <c r="F246" i="69" s="1" a="1"/>
  <c r="F246" i="69" s="1"/>
  <c r="D128" i="69"/>
  <c r="H128" i="69" s="1"/>
  <c r="F254" i="69" s="1" a="1"/>
  <c r="F254" i="69" s="1"/>
  <c r="G206" i="72"/>
  <c r="J180" i="73"/>
  <c r="F205" i="69"/>
  <c r="J201" i="87"/>
  <c r="K201" i="87" s="1"/>
  <c r="J181" i="73"/>
  <c r="K181" i="73" s="1"/>
  <c r="G44" i="70"/>
  <c r="D120" i="71"/>
  <c r="H120" i="71" s="1"/>
  <c r="F236" i="71" s="1" a="1"/>
  <c r="F236" i="71" s="1"/>
  <c r="D122" i="71"/>
  <c r="H122" i="71" s="1"/>
  <c r="F238" i="71" s="1" a="1"/>
  <c r="F238" i="71" s="1"/>
  <c r="D105" i="71"/>
  <c r="H105" i="71" s="1"/>
  <c r="F221" i="71" s="1" a="1"/>
  <c r="F221" i="71" s="1"/>
  <c r="D121" i="71"/>
  <c r="H121" i="71" s="1"/>
  <c r="F237" i="71" s="1" a="1"/>
  <c r="F237" i="71" s="1"/>
  <c r="D115" i="71"/>
  <c r="H115" i="71" s="1"/>
  <c r="F231" i="71" s="1" a="1"/>
  <c r="F231" i="71" s="1"/>
  <c r="J195" i="72"/>
  <c r="D44" i="70"/>
  <c r="J183" i="88"/>
  <c r="K183" i="88" s="1"/>
  <c r="D77" i="82"/>
  <c r="H77" i="82" s="1"/>
  <c r="E258" i="82" s="1" a="1"/>
  <c r="E258" i="82" s="1"/>
  <c r="D61" i="79"/>
  <c r="H61" i="79" s="1"/>
  <c r="E242" i="79" s="1" a="1"/>
  <c r="E242" i="79" s="1"/>
  <c r="D6" i="84" s="1"/>
  <c r="D71" i="79"/>
  <c r="H71" i="79" s="1"/>
  <c r="E252" i="79" s="1" a="1"/>
  <c r="E252" i="79" s="1"/>
  <c r="F6" i="84" s="1"/>
  <c r="D78" i="79"/>
  <c r="H78" i="79" s="1"/>
  <c r="E259" i="79" s="1" a="1"/>
  <c r="E259" i="79" s="1"/>
  <c r="G186" i="73"/>
  <c r="F205" i="72"/>
  <c r="D80" i="79"/>
  <c r="H80" i="79" s="1"/>
  <c r="E261" i="79" s="1" a="1"/>
  <c r="E261" i="79" s="1"/>
  <c r="D79" i="79"/>
  <c r="H79" i="79" s="1"/>
  <c r="E260" i="79" s="1" a="1"/>
  <c r="E260" i="79" s="1"/>
  <c r="D77" i="79"/>
  <c r="H77" i="79" s="1"/>
  <c r="E258" i="79" s="1" a="1"/>
  <c r="E258" i="79" s="1"/>
  <c r="D62" i="79"/>
  <c r="H62" i="79" s="1"/>
  <c r="E243" i="79" s="1" a="1"/>
  <c r="E243" i="79" s="1"/>
  <c r="D63" i="82"/>
  <c r="H63" i="82" s="1"/>
  <c r="E244" i="82" s="1" a="1"/>
  <c r="E244" i="82" s="1"/>
  <c r="D79" i="82"/>
  <c r="H79" i="82" s="1"/>
  <c r="E260" i="82" s="1" a="1"/>
  <c r="E260" i="82" s="1"/>
  <c r="D26" i="82"/>
  <c r="H26" i="82" s="1"/>
  <c r="D241" i="82" s="1" a="1"/>
  <c r="D241" i="82" s="1"/>
  <c r="G186" i="71"/>
  <c r="J157" i="87"/>
  <c r="G206" i="69"/>
  <c r="D110" i="71"/>
  <c r="H110" i="71" s="1"/>
  <c r="F226" i="71" s="1" a="1"/>
  <c r="F226" i="71" s="1"/>
  <c r="D118" i="71"/>
  <c r="H118" i="71" s="1"/>
  <c r="F234" i="71" s="1" a="1"/>
  <c r="F234" i="71" s="1"/>
  <c r="D108" i="71"/>
  <c r="H108" i="71" s="1"/>
  <c r="F224" i="71" s="1" a="1"/>
  <c r="F224" i="71" s="1"/>
  <c r="D109" i="71"/>
  <c r="H109" i="71" s="1"/>
  <c r="F225" i="71" s="1" a="1"/>
  <c r="F225" i="71" s="1"/>
  <c r="D125" i="71"/>
  <c r="H125" i="71" s="1"/>
  <c r="F241" i="71" s="1" a="1"/>
  <c r="F241" i="71" s="1"/>
  <c r="F44" i="70"/>
  <c r="D44" i="85"/>
  <c r="H44" i="85" s="1"/>
  <c r="D259" i="85" s="1" a="1"/>
  <c r="D259" i="85" s="1"/>
  <c r="H109" i="85"/>
  <c r="D42" i="85"/>
  <c r="H42" i="85" s="1"/>
  <c r="D257" i="85" s="1" a="1"/>
  <c r="D257" i="85" s="1"/>
  <c r="G38" i="84" s="1"/>
  <c r="D38" i="85"/>
  <c r="H38" i="85" s="1"/>
  <c r="D253" i="85" s="1" a="1"/>
  <c r="D253" i="85" s="1"/>
  <c r="D35" i="85"/>
  <c r="H35" i="85" s="1"/>
  <c r="D250" i="85" s="1" a="1"/>
  <c r="D250" i="85" s="1"/>
  <c r="D32" i="85"/>
  <c r="H32" i="85" s="1"/>
  <c r="D247" i="85" s="1" a="1"/>
  <c r="D247" i="85" s="1"/>
  <c r="E38" i="84" s="1"/>
  <c r="D41" i="85"/>
  <c r="H41" i="85" s="1"/>
  <c r="D256" i="85" s="1" a="1"/>
  <c r="D256" i="85" s="1"/>
  <c r="D39" i="85"/>
  <c r="H39" i="85" s="1"/>
  <c r="D254" i="85" s="1" a="1"/>
  <c r="D254" i="85" s="1"/>
  <c r="D45" i="85"/>
  <c r="H45" i="85" s="1"/>
  <c r="D260" i="85" s="1" a="1"/>
  <c r="D260" i="85" s="1"/>
  <c r="D109" i="85"/>
  <c r="D69" i="82"/>
  <c r="H69" i="82" s="1"/>
  <c r="E250" i="82" s="1" a="1"/>
  <c r="E250" i="82" s="1"/>
  <c r="D70" i="82"/>
  <c r="H70" i="82" s="1"/>
  <c r="E251" i="82" s="1" a="1"/>
  <c r="E251" i="82" s="1"/>
  <c r="D62" i="82"/>
  <c r="H62" i="82" s="1"/>
  <c r="E243" i="82" s="1" a="1"/>
  <c r="E243" i="82" s="1"/>
  <c r="D81" i="82"/>
  <c r="H81" i="82" s="1"/>
  <c r="E262" i="82" s="1" a="1"/>
  <c r="E262" i="82" s="1"/>
  <c r="H22" i="84" s="1"/>
  <c r="D78" i="82"/>
  <c r="H78" i="82" s="1"/>
  <c r="E259" i="82" s="1" a="1"/>
  <c r="E259" i="82" s="1"/>
  <c r="D47" i="85"/>
  <c r="H47" i="85" s="1"/>
  <c r="D262" i="85" s="1" a="1"/>
  <c r="D262" i="85" s="1"/>
  <c r="H38" i="84" s="1"/>
  <c r="D33" i="85"/>
  <c r="H33" i="85" s="1"/>
  <c r="D248" i="85" s="1" a="1"/>
  <c r="D248" i="85" s="1"/>
  <c r="D31" i="85"/>
  <c r="H31" i="85" s="1"/>
  <c r="D246" i="85" s="1" a="1"/>
  <c r="D246" i="85" s="1"/>
  <c r="D29" i="85"/>
  <c r="H29" i="85" s="1"/>
  <c r="D244" i="85" s="1" a="1"/>
  <c r="D244" i="85" s="1"/>
  <c r="D67" i="82"/>
  <c r="H67" i="82" s="1"/>
  <c r="E248" i="82" s="1" a="1"/>
  <c r="E248" i="82" s="1"/>
  <c r="D76" i="82"/>
  <c r="H76" i="82" s="1"/>
  <c r="E257" i="82" s="1" a="1"/>
  <c r="E257" i="82" s="1"/>
  <c r="G22" i="84" s="1"/>
  <c r="D68" i="82"/>
  <c r="H68" i="82" s="1"/>
  <c r="E249" i="82" s="1" a="1"/>
  <c r="E249" i="82" s="1"/>
  <c r="D61" i="82"/>
  <c r="H61" i="82" s="1"/>
  <c r="E242" i="82" s="1" a="1"/>
  <c r="E242" i="82" s="1"/>
  <c r="D22" i="84" s="1"/>
  <c r="D65" i="82"/>
  <c r="H65" i="82" s="1"/>
  <c r="E246" i="82" s="1" a="1"/>
  <c r="E246" i="82" s="1"/>
  <c r="J17" i="82"/>
  <c r="D44" i="82"/>
  <c r="H44" i="82" s="1"/>
  <c r="D259" i="82" s="1" a="1"/>
  <c r="D259" i="82" s="1"/>
  <c r="D31" i="82"/>
  <c r="H31" i="82" s="1"/>
  <c r="D246" i="82" s="1" a="1"/>
  <c r="D246" i="82" s="1"/>
  <c r="D46" i="82"/>
  <c r="H46" i="82" s="1"/>
  <c r="D261" i="82" s="1" a="1"/>
  <c r="D261" i="82" s="1"/>
  <c r="J199" i="85"/>
  <c r="K199" i="85" s="1"/>
  <c r="J195" i="85"/>
  <c r="K195" i="85" s="1"/>
  <c r="D109" i="82"/>
  <c r="J202" i="82"/>
  <c r="K202" i="82" s="1"/>
  <c r="D40" i="85"/>
  <c r="H40" i="85" s="1"/>
  <c r="D255" i="85" s="1" a="1"/>
  <c r="D255" i="85" s="1"/>
  <c r="D26" i="85"/>
  <c r="H26" i="85" s="1"/>
  <c r="D241" i="85" s="1" a="1"/>
  <c r="D241" i="85" s="1"/>
  <c r="D36" i="85"/>
  <c r="H36" i="85" s="1"/>
  <c r="D251" i="85" s="1" a="1"/>
  <c r="D251" i="85" s="1"/>
  <c r="D30" i="85"/>
  <c r="H30" i="85" s="1"/>
  <c r="D245" i="85" s="1" a="1"/>
  <c r="D245" i="85" s="1"/>
  <c r="D68" i="79"/>
  <c r="H68" i="79" s="1"/>
  <c r="E249" i="79" s="1" a="1"/>
  <c r="E249" i="79" s="1"/>
  <c r="D60" i="79"/>
  <c r="H60" i="79" s="1"/>
  <c r="E241" i="79" s="1" a="1"/>
  <c r="E241" i="79" s="1"/>
  <c r="D67" i="79"/>
  <c r="H67" i="79" s="1"/>
  <c r="E248" i="79" s="1" a="1"/>
  <c r="E248" i="79" s="1"/>
  <c r="D75" i="79"/>
  <c r="H75" i="79" s="1"/>
  <c r="E256" i="79" s="1" a="1"/>
  <c r="E256" i="79" s="1"/>
  <c r="D72" i="79"/>
  <c r="H72" i="79" s="1"/>
  <c r="E253" i="79" s="1" a="1"/>
  <c r="E253" i="79" s="1"/>
  <c r="D63" i="79"/>
  <c r="H63" i="79" s="1"/>
  <c r="E244" i="79" s="1" a="1"/>
  <c r="E244" i="79" s="1"/>
  <c r="J196" i="79"/>
  <c r="K196" i="79" s="1"/>
  <c r="J204" i="79"/>
  <c r="K204" i="79" s="1"/>
  <c r="D73" i="82"/>
  <c r="H73" i="82" s="1"/>
  <c r="E254" i="82" s="1" a="1"/>
  <c r="E254" i="82" s="1"/>
  <c r="D74" i="82"/>
  <c r="H74" i="82" s="1"/>
  <c r="E255" i="82" s="1" a="1"/>
  <c r="E255" i="82" s="1"/>
  <c r="D80" i="82"/>
  <c r="H80" i="82" s="1"/>
  <c r="E261" i="82" s="1" a="1"/>
  <c r="E261" i="82" s="1"/>
  <c r="D72" i="82"/>
  <c r="H72" i="82" s="1"/>
  <c r="E253" i="82" s="1" a="1"/>
  <c r="E253" i="82" s="1"/>
  <c r="D66" i="82"/>
  <c r="H66" i="82" s="1"/>
  <c r="E247" i="82" s="1" a="1"/>
  <c r="E247" i="82" s="1"/>
  <c r="E22" i="84" s="1"/>
  <c r="D47" i="82"/>
  <c r="H47" i="82" s="1"/>
  <c r="D262" i="82" s="1" a="1"/>
  <c r="D262" i="82" s="1"/>
  <c r="H21" i="84" s="1"/>
  <c r="D36" i="82"/>
  <c r="H36" i="82" s="1"/>
  <c r="D251" i="82" s="1" a="1"/>
  <c r="D251" i="82" s="1"/>
  <c r="D45" i="82"/>
  <c r="H45" i="82" s="1"/>
  <c r="D260" i="82" s="1" a="1"/>
  <c r="D260" i="82" s="1"/>
  <c r="H203" i="82"/>
  <c r="G203" i="82"/>
  <c r="I203" i="82" s="1"/>
  <c r="H77" i="81"/>
  <c r="D56" i="81" s="1"/>
  <c r="H56" i="81" s="1"/>
  <c r="E222" i="81" s="1" a="1"/>
  <c r="E222" i="81" s="1"/>
  <c r="D12" i="84" s="1"/>
  <c r="H184" i="83"/>
  <c r="G184" i="83"/>
  <c r="I184" i="83" s="1"/>
  <c r="K155" i="85"/>
  <c r="K156" i="85" s="1"/>
  <c r="J156" i="85"/>
  <c r="D94" i="83"/>
  <c r="D136" i="83"/>
  <c r="H136" i="83" s="1"/>
  <c r="D12" i="83"/>
  <c r="D180" i="83"/>
  <c r="H17" i="82"/>
  <c r="J156" i="79"/>
  <c r="F8" i="83"/>
  <c r="H8" i="83" s="1"/>
  <c r="J195" i="79"/>
  <c r="D43" i="85"/>
  <c r="H43" i="85" s="1"/>
  <c r="D258" i="85" s="1" a="1"/>
  <c r="D258" i="85" s="1"/>
  <c r="D27" i="85"/>
  <c r="H27" i="85" s="1"/>
  <c r="D242" i="85" s="1" a="1"/>
  <c r="D242" i="85" s="1"/>
  <c r="D38" i="84" s="1"/>
  <c r="D34" i="85"/>
  <c r="H34" i="85" s="1"/>
  <c r="D249" i="85" s="1" a="1"/>
  <c r="D249" i="85" s="1"/>
  <c r="D28" i="85"/>
  <c r="H28" i="85" s="1"/>
  <c r="D243" i="85" s="1" a="1"/>
  <c r="D243" i="85" s="1"/>
  <c r="D37" i="85"/>
  <c r="H37" i="85" s="1"/>
  <c r="D252" i="85" s="1" a="1"/>
  <c r="D252" i="85" s="1"/>
  <c r="F38" i="84" s="1"/>
  <c r="J156" i="82"/>
  <c r="J201" i="82"/>
  <c r="K201" i="82" s="1"/>
  <c r="G183" i="81"/>
  <c r="I183" i="81" s="1"/>
  <c r="H183" i="81"/>
  <c r="J195" i="82"/>
  <c r="D27" i="82"/>
  <c r="H27" i="82" s="1"/>
  <c r="D242" i="82" s="1" a="1"/>
  <c r="D242" i="82" s="1"/>
  <c r="D28" i="82"/>
  <c r="H28" i="82" s="1"/>
  <c r="D243" i="82" s="1" a="1"/>
  <c r="D243" i="82" s="1"/>
  <c r="D37" i="82"/>
  <c r="H37" i="82" s="1"/>
  <c r="D252" i="82" s="1" a="1"/>
  <c r="D252" i="82" s="1"/>
  <c r="D42" i="82"/>
  <c r="H42" i="82" s="1"/>
  <c r="D257" i="82" s="1" a="1"/>
  <c r="D257" i="82" s="1"/>
  <c r="D39" i="82"/>
  <c r="H39" i="82" s="1"/>
  <c r="D254" i="82" s="1" a="1"/>
  <c r="D254" i="82" s="1"/>
  <c r="H200" i="82"/>
  <c r="G200" i="82"/>
  <c r="I200" i="82" s="1"/>
  <c r="J199" i="82"/>
  <c r="K199" i="82" s="1"/>
  <c r="G181" i="83"/>
  <c r="I181" i="83" s="1"/>
  <c r="H181" i="83"/>
  <c r="H203" i="85"/>
  <c r="G203" i="85"/>
  <c r="I203" i="85" s="1"/>
  <c r="H109" i="82"/>
  <c r="J196" i="85"/>
  <c r="K196" i="85" s="1"/>
  <c r="H77" i="83"/>
  <c r="D67" i="83" s="1"/>
  <c r="H67" i="83" s="1"/>
  <c r="E233" i="83" s="1" a="1"/>
  <c r="E233" i="83" s="1"/>
  <c r="H182" i="83"/>
  <c r="G182" i="83"/>
  <c r="I182" i="83" s="1"/>
  <c r="D5" i="84"/>
  <c r="H184" i="81"/>
  <c r="G184" i="81"/>
  <c r="I184" i="81" s="1"/>
  <c r="K156" i="79"/>
  <c r="D97" i="83"/>
  <c r="H97" i="83" s="1"/>
  <c r="D139" i="83"/>
  <c r="F10" i="83"/>
  <c r="H10" i="83" s="1"/>
  <c r="D183" i="83"/>
  <c r="D205" i="82"/>
  <c r="D41" i="82"/>
  <c r="H41" i="82" s="1"/>
  <c r="D256" i="82" s="1" a="1"/>
  <c r="D256" i="82" s="1"/>
  <c r="D34" i="82"/>
  <c r="H34" i="82" s="1"/>
  <c r="D249" i="82" s="1" a="1"/>
  <c r="D249" i="82" s="1"/>
  <c r="D33" i="82"/>
  <c r="H33" i="82" s="1"/>
  <c r="D248" i="82" s="1" a="1"/>
  <c r="D248" i="82" s="1"/>
  <c r="D35" i="82"/>
  <c r="H35" i="82" s="1"/>
  <c r="D250" i="82" s="1" a="1"/>
  <c r="D250" i="82" s="1"/>
  <c r="D185" i="81"/>
  <c r="D116" i="89" l="1"/>
  <c r="M115" i="89"/>
  <c r="M124" i="89"/>
  <c r="F116" i="89"/>
  <c r="C29" i="117"/>
  <c r="C68" i="89"/>
  <c r="C176" i="89" s="1"/>
  <c r="G62" i="89"/>
  <c r="D163" i="107"/>
  <c r="H163" i="107" s="1"/>
  <c r="G242" i="107" s="1" a="1"/>
  <c r="G242" i="107" s="1"/>
  <c r="J242" i="107" s="1"/>
  <c r="D169" i="107"/>
  <c r="H169" i="107" s="1"/>
  <c r="G248" i="107" s="1" a="1"/>
  <c r="G248" i="107" s="1"/>
  <c r="J248" i="107" s="1"/>
  <c r="D175" i="107"/>
  <c r="H175" i="107" s="1"/>
  <c r="G254" i="107" s="1" a="1"/>
  <c r="G254" i="107" s="1"/>
  <c r="J254" i="107" s="1"/>
  <c r="D171" i="107"/>
  <c r="H171" i="107" s="1"/>
  <c r="G250" i="107" s="1" a="1"/>
  <c r="G250" i="107" s="1"/>
  <c r="J250" i="107" s="1"/>
  <c r="D165" i="107"/>
  <c r="H165" i="107" s="1"/>
  <c r="G244" i="107" s="1" a="1"/>
  <c r="G244" i="107" s="1"/>
  <c r="J244" i="107" s="1"/>
  <c r="D177" i="107"/>
  <c r="H177" i="107" s="1"/>
  <c r="G256" i="107" s="1" a="1"/>
  <c r="G256" i="107" s="1"/>
  <c r="D182" i="107"/>
  <c r="H182" i="107" s="1"/>
  <c r="G261" i="107" s="1" a="1"/>
  <c r="G261" i="107" s="1"/>
  <c r="J261" i="107" s="1"/>
  <c r="D173" i="107"/>
  <c r="H173" i="107" s="1"/>
  <c r="G252" i="107" s="1" a="1"/>
  <c r="G252" i="107" s="1"/>
  <c r="D180" i="107"/>
  <c r="H180" i="107" s="1"/>
  <c r="G259" i="107" s="1" a="1"/>
  <c r="G259" i="107" s="1"/>
  <c r="J259" i="107" s="1"/>
  <c r="J256" i="107"/>
  <c r="D183" i="107"/>
  <c r="H183" i="107" s="1"/>
  <c r="G262" i="107" s="1" a="1"/>
  <c r="G262" i="107" s="1"/>
  <c r="J262" i="107" s="1"/>
  <c r="D168" i="107"/>
  <c r="H168" i="107" s="1"/>
  <c r="G247" i="107" s="1" a="1"/>
  <c r="G247" i="107" s="1"/>
  <c r="J247" i="107" s="1"/>
  <c r="D176" i="107"/>
  <c r="H176" i="107" s="1"/>
  <c r="G255" i="107" s="1" a="1"/>
  <c r="G255" i="107" s="1"/>
  <c r="J255" i="107" s="1"/>
  <c r="G200" i="85"/>
  <c r="I200" i="85" s="1"/>
  <c r="J200" i="85" s="1"/>
  <c r="K200" i="85" s="1"/>
  <c r="D99" i="81"/>
  <c r="K100" i="81" s="1"/>
  <c r="D67" i="90"/>
  <c r="D68" i="90" s="1"/>
  <c r="J135" i="89"/>
  <c r="K101" i="89"/>
  <c r="J12" i="106"/>
  <c r="E157" i="105"/>
  <c r="J183" i="106"/>
  <c r="K183" i="106" s="1"/>
  <c r="D65" i="90"/>
  <c r="E27" i="103"/>
  <c r="D77" i="90"/>
  <c r="D181" i="107"/>
  <c r="H181" i="107" s="1"/>
  <c r="G260" i="107" s="1" a="1"/>
  <c r="G260" i="107" s="1"/>
  <c r="J260" i="107" s="1"/>
  <c r="D179" i="107"/>
  <c r="H179" i="107" s="1"/>
  <c r="G258" i="107" s="1" a="1"/>
  <c r="G258" i="107" s="1"/>
  <c r="J258" i="107" s="1"/>
  <c r="D167" i="107"/>
  <c r="H167" i="107" s="1"/>
  <c r="G246" i="107" s="1" a="1"/>
  <c r="G246" i="107" s="1"/>
  <c r="J246" i="107" s="1"/>
  <c r="D172" i="107"/>
  <c r="H172" i="107" s="1"/>
  <c r="G251" i="107" s="1" a="1"/>
  <c r="G251" i="107" s="1"/>
  <c r="J251" i="107" s="1"/>
  <c r="D166" i="107"/>
  <c r="H166" i="107" s="1"/>
  <c r="G245" i="107" s="1" a="1"/>
  <c r="G245" i="107" s="1"/>
  <c r="J245" i="107" s="1"/>
  <c r="D174" i="107"/>
  <c r="H174" i="107" s="1"/>
  <c r="G253" i="107" s="1" a="1"/>
  <c r="G253" i="107" s="1"/>
  <c r="J253" i="107" s="1"/>
  <c r="D178" i="107"/>
  <c r="H178" i="107" s="1"/>
  <c r="G257" i="107" s="1" a="1"/>
  <c r="G257" i="107" s="1"/>
  <c r="J257" i="107" s="1"/>
  <c r="D170" i="107"/>
  <c r="H170" i="107" s="1"/>
  <c r="G249" i="107" s="1" a="1"/>
  <c r="G249" i="107" s="1"/>
  <c r="J249" i="107" s="1"/>
  <c r="D164" i="107"/>
  <c r="H164" i="107" s="1"/>
  <c r="G243" i="107" s="1" a="1"/>
  <c r="G243" i="107" s="1"/>
  <c r="J243" i="107" s="1"/>
  <c r="D162" i="107"/>
  <c r="H162" i="107" s="1"/>
  <c r="G241" i="107" s="1" a="1"/>
  <c r="G241" i="107" s="1"/>
  <c r="J241" i="107" s="1"/>
  <c r="K185" i="108"/>
  <c r="H60" i="70"/>
  <c r="J185" i="108"/>
  <c r="D118" i="108"/>
  <c r="H118" i="108" s="1"/>
  <c r="F234" i="108" s="1" a="1"/>
  <c r="F234" i="108" s="1"/>
  <c r="D108" i="108"/>
  <c r="H108" i="108" s="1"/>
  <c r="F224" i="108" s="1" a="1"/>
  <c r="F224" i="108" s="1"/>
  <c r="D112" i="108"/>
  <c r="H112" i="108" s="1"/>
  <c r="F228" i="108" s="1" a="1"/>
  <c r="F228" i="108" s="1"/>
  <c r="D124" i="108"/>
  <c r="H124" i="108" s="1"/>
  <c r="F240" i="108" s="1" a="1"/>
  <c r="F240" i="108" s="1"/>
  <c r="D109" i="108"/>
  <c r="H109" i="108" s="1"/>
  <c r="F225" i="108" s="1" a="1"/>
  <c r="F225" i="108" s="1"/>
  <c r="D114" i="108"/>
  <c r="H114" i="108" s="1"/>
  <c r="F230" i="108" s="1" a="1"/>
  <c r="F230" i="108" s="1"/>
  <c r="D116" i="108"/>
  <c r="H116" i="108" s="1"/>
  <c r="F232" i="108" s="1" a="1"/>
  <c r="F232" i="108" s="1"/>
  <c r="D115" i="108"/>
  <c r="H115" i="108" s="1"/>
  <c r="F231" i="108" s="1" a="1"/>
  <c r="F231" i="108" s="1"/>
  <c r="D110" i="108"/>
  <c r="H110" i="108" s="1"/>
  <c r="F226" i="108" s="1" a="1"/>
  <c r="F226" i="108" s="1"/>
  <c r="D121" i="108"/>
  <c r="H121" i="108" s="1"/>
  <c r="F237" i="108" s="1" a="1"/>
  <c r="F237" i="108" s="1"/>
  <c r="D117" i="108"/>
  <c r="H117" i="108" s="1"/>
  <c r="F233" i="108" s="1" a="1"/>
  <c r="F233" i="108" s="1"/>
  <c r="D122" i="108"/>
  <c r="H122" i="108" s="1"/>
  <c r="F238" i="108" s="1" a="1"/>
  <c r="F238" i="108" s="1"/>
  <c r="D126" i="108"/>
  <c r="H126" i="108" s="1"/>
  <c r="F242" i="108" s="1" a="1"/>
  <c r="F242" i="108" s="1"/>
  <c r="D106" i="108"/>
  <c r="H106" i="108" s="1"/>
  <c r="F222" i="108" s="1" a="1"/>
  <c r="F222" i="108" s="1"/>
  <c r="D120" i="108"/>
  <c r="H120" i="108" s="1"/>
  <c r="F236" i="108" s="1" a="1"/>
  <c r="F236" i="108" s="1"/>
  <c r="D123" i="108"/>
  <c r="H123" i="108" s="1"/>
  <c r="F239" i="108" s="1" a="1"/>
  <c r="F239" i="108" s="1"/>
  <c r="D105" i="108"/>
  <c r="H105" i="108" s="1"/>
  <c r="F221" i="108" s="1" a="1"/>
  <c r="F221" i="108" s="1"/>
  <c r="D119" i="108"/>
  <c r="H119" i="108" s="1"/>
  <c r="F235" i="108" s="1" a="1"/>
  <c r="F235" i="108" s="1"/>
  <c r="D107" i="108"/>
  <c r="H107" i="108" s="1"/>
  <c r="F223" i="108" s="1" a="1"/>
  <c r="F223" i="108" s="1"/>
  <c r="D113" i="108"/>
  <c r="H113" i="108" s="1"/>
  <c r="F229" i="108" s="1" a="1"/>
  <c r="F229" i="108" s="1"/>
  <c r="D111" i="108"/>
  <c r="H111" i="108" s="1"/>
  <c r="F227" i="108" s="1" a="1"/>
  <c r="F227" i="108" s="1"/>
  <c r="G60" i="70"/>
  <c r="E142" i="108"/>
  <c r="J142" i="108"/>
  <c r="D60" i="70"/>
  <c r="H207" i="107"/>
  <c r="K208" i="107"/>
  <c r="F60" i="70"/>
  <c r="E60" i="70"/>
  <c r="D125" i="108"/>
  <c r="H125" i="108" s="1"/>
  <c r="F241" i="108" s="1" a="1"/>
  <c r="F241" i="108" s="1"/>
  <c r="D177" i="69"/>
  <c r="H177" i="69" s="1"/>
  <c r="G256" i="69" s="1" a="1"/>
  <c r="G256" i="69" s="1"/>
  <c r="J256" i="69" s="1"/>
  <c r="D205" i="85"/>
  <c r="K110" i="105"/>
  <c r="J17" i="85"/>
  <c r="D72" i="85"/>
  <c r="H72" i="85" s="1"/>
  <c r="E253" i="85" s="1" a="1"/>
  <c r="E253" i="85" s="1"/>
  <c r="D64" i="105"/>
  <c r="H64" i="105" s="1"/>
  <c r="E245" i="105" s="1" a="1"/>
  <c r="E245" i="105" s="1"/>
  <c r="D73" i="105"/>
  <c r="H73" i="105" s="1"/>
  <c r="E254" i="105" s="1" a="1"/>
  <c r="E254" i="105" s="1"/>
  <c r="J157" i="105"/>
  <c r="D78" i="105"/>
  <c r="H78" i="105" s="1"/>
  <c r="E259" i="105" s="1" a="1"/>
  <c r="E259" i="105" s="1"/>
  <c r="D69" i="105"/>
  <c r="H69" i="105" s="1"/>
  <c r="E250" i="105" s="1" a="1"/>
  <c r="E250" i="105" s="1"/>
  <c r="D75" i="105"/>
  <c r="H75" i="105" s="1"/>
  <c r="E256" i="105" s="1" a="1"/>
  <c r="E256" i="105" s="1"/>
  <c r="D72" i="105"/>
  <c r="H72" i="105" s="1"/>
  <c r="E253" i="105" s="1" a="1"/>
  <c r="E253" i="105" s="1"/>
  <c r="D77" i="105"/>
  <c r="H77" i="105" s="1"/>
  <c r="E258" i="105" s="1" a="1"/>
  <c r="E258" i="105" s="1"/>
  <c r="J204" i="105"/>
  <c r="K204" i="105" s="1"/>
  <c r="D76" i="105"/>
  <c r="H76" i="105" s="1"/>
  <c r="E257" i="105" s="1" a="1"/>
  <c r="E257" i="105" s="1"/>
  <c r="D66" i="105"/>
  <c r="H66" i="105" s="1"/>
  <c r="E247" i="105" s="1" a="1"/>
  <c r="E247" i="105" s="1"/>
  <c r="D70" i="105"/>
  <c r="H70" i="105" s="1"/>
  <c r="E251" i="105" s="1" a="1"/>
  <c r="E251" i="105" s="1"/>
  <c r="D163" i="72"/>
  <c r="H163" i="72" s="1"/>
  <c r="G242" i="72" s="1" a="1"/>
  <c r="G242" i="72" s="1"/>
  <c r="J242" i="72" s="1"/>
  <c r="D36" i="106"/>
  <c r="H36" i="106" s="1"/>
  <c r="D236" i="106" s="1" a="1"/>
  <c r="D236" i="106" s="1"/>
  <c r="J181" i="106"/>
  <c r="K181" i="106" s="1"/>
  <c r="H99" i="106"/>
  <c r="G110" i="105"/>
  <c r="D65" i="105"/>
  <c r="H65" i="105" s="1"/>
  <c r="E246" i="105" s="1" a="1"/>
  <c r="E246" i="105" s="1"/>
  <c r="D60" i="105"/>
  <c r="H60" i="105" s="1"/>
  <c r="E241" i="105" s="1" a="1"/>
  <c r="E241" i="105" s="1"/>
  <c r="D62" i="105"/>
  <c r="H62" i="105" s="1"/>
  <c r="E243" i="105" s="1" a="1"/>
  <c r="E243" i="105" s="1"/>
  <c r="D81" i="105"/>
  <c r="H81" i="105" s="1"/>
  <c r="E262" i="105" s="1" a="1"/>
  <c r="E262" i="105" s="1"/>
  <c r="D68" i="105"/>
  <c r="H68" i="105" s="1"/>
  <c r="E249" i="105" s="1" a="1"/>
  <c r="E249" i="105" s="1"/>
  <c r="G184" i="106"/>
  <c r="I184" i="106" s="1"/>
  <c r="H184" i="106"/>
  <c r="J180" i="106"/>
  <c r="D99" i="106"/>
  <c r="K100" i="106" s="1"/>
  <c r="D80" i="105"/>
  <c r="H80" i="105" s="1"/>
  <c r="E261" i="105" s="1" a="1"/>
  <c r="E261" i="105" s="1"/>
  <c r="D63" i="105"/>
  <c r="H63" i="105" s="1"/>
  <c r="E244" i="105" s="1" a="1"/>
  <c r="E244" i="105" s="1"/>
  <c r="D71" i="105"/>
  <c r="H71" i="105" s="1"/>
  <c r="E252" i="105" s="1" a="1"/>
  <c r="E252" i="105" s="1"/>
  <c r="D74" i="105"/>
  <c r="H74" i="105" s="1"/>
  <c r="E255" i="105" s="1" a="1"/>
  <c r="E255" i="105" s="1"/>
  <c r="D61" i="105"/>
  <c r="H61" i="105" s="1"/>
  <c r="E242" i="105" s="1" a="1"/>
  <c r="E242" i="105" s="1"/>
  <c r="D67" i="105"/>
  <c r="H67" i="105" s="1"/>
  <c r="E248" i="105" s="1" a="1"/>
  <c r="E248" i="105" s="1"/>
  <c r="D23" i="106"/>
  <c r="H23" i="106" s="1"/>
  <c r="D223" i="106" s="1" a="1"/>
  <c r="D223" i="106" s="1"/>
  <c r="D25" i="106"/>
  <c r="H25" i="106" s="1"/>
  <c r="D225" i="106" s="1" a="1"/>
  <c r="D225" i="106" s="1"/>
  <c r="D32" i="106"/>
  <c r="H32" i="106" s="1"/>
  <c r="D232" i="106" s="1" a="1"/>
  <c r="D232" i="106" s="1"/>
  <c r="D28" i="106"/>
  <c r="H28" i="106" s="1"/>
  <c r="D228" i="106" s="1" a="1"/>
  <c r="D228" i="106" s="1"/>
  <c r="D21" i="106"/>
  <c r="H21" i="106" s="1"/>
  <c r="D221" i="106" s="1" a="1"/>
  <c r="D221" i="106" s="1"/>
  <c r="D26" i="106"/>
  <c r="H26" i="106" s="1"/>
  <c r="D226" i="106" s="1" a="1"/>
  <c r="D226" i="106" s="1"/>
  <c r="D27" i="106"/>
  <c r="H27" i="106" s="1"/>
  <c r="D227" i="106" s="1" a="1"/>
  <c r="D227" i="106" s="1"/>
  <c r="D30" i="106"/>
  <c r="H30" i="106" s="1"/>
  <c r="D230" i="106" s="1" a="1"/>
  <c r="D230" i="106" s="1"/>
  <c r="D41" i="106"/>
  <c r="H41" i="106" s="1"/>
  <c r="D241" i="106" s="1" a="1"/>
  <c r="D241" i="106" s="1"/>
  <c r="D40" i="106"/>
  <c r="H40" i="106" s="1"/>
  <c r="D240" i="106" s="1" a="1"/>
  <c r="D240" i="106" s="1"/>
  <c r="D39" i="106"/>
  <c r="H39" i="106" s="1"/>
  <c r="D239" i="106" s="1" a="1"/>
  <c r="D239" i="106" s="1"/>
  <c r="D37" i="106"/>
  <c r="H37" i="106" s="1"/>
  <c r="D237" i="106" s="1" a="1"/>
  <c r="D237" i="106" s="1"/>
  <c r="D34" i="106"/>
  <c r="H34" i="106" s="1"/>
  <c r="D234" i="106" s="1" a="1"/>
  <c r="D234" i="106" s="1"/>
  <c r="D38" i="106"/>
  <c r="H38" i="106" s="1"/>
  <c r="D238" i="106" s="1" a="1"/>
  <c r="D238" i="106" s="1"/>
  <c r="D31" i="106"/>
  <c r="H31" i="106" s="1"/>
  <c r="D231" i="106" s="1" a="1"/>
  <c r="D231" i="106" s="1"/>
  <c r="D29" i="106"/>
  <c r="H29" i="106" s="1"/>
  <c r="D229" i="106" s="1" a="1"/>
  <c r="D229" i="106" s="1"/>
  <c r="D42" i="106"/>
  <c r="H42" i="106" s="1"/>
  <c r="D242" i="106" s="1" a="1"/>
  <c r="D242" i="106" s="1"/>
  <c r="D33" i="106"/>
  <c r="H33" i="106" s="1"/>
  <c r="D233" i="106" s="1" a="1"/>
  <c r="D233" i="106" s="1"/>
  <c r="D24" i="106"/>
  <c r="H24" i="106" s="1"/>
  <c r="D224" i="106" s="1" a="1"/>
  <c r="D224" i="106" s="1"/>
  <c r="D35" i="106"/>
  <c r="H35" i="106" s="1"/>
  <c r="D235" i="106" s="1" a="1"/>
  <c r="D235" i="106" s="1"/>
  <c r="D22" i="106"/>
  <c r="H22" i="106" s="1"/>
  <c r="D222" i="106" s="1" a="1"/>
  <c r="D222" i="106" s="1"/>
  <c r="K140" i="106"/>
  <c r="K141" i="106" s="1"/>
  <c r="J141" i="106"/>
  <c r="H77" i="106"/>
  <c r="D68" i="106" s="1"/>
  <c r="H68" i="106" s="1"/>
  <c r="E234" i="106" s="1" a="1"/>
  <c r="E234" i="106" s="1"/>
  <c r="D185" i="106"/>
  <c r="K195" i="105"/>
  <c r="J182" i="106"/>
  <c r="K182" i="106" s="1"/>
  <c r="D76" i="85"/>
  <c r="H76" i="85" s="1"/>
  <c r="E257" i="85" s="1" a="1"/>
  <c r="E257" i="85" s="1"/>
  <c r="G39" i="84" s="1"/>
  <c r="D64" i="85"/>
  <c r="H64" i="85" s="1"/>
  <c r="E245" i="85" s="1" a="1"/>
  <c r="E245" i="85" s="1"/>
  <c r="D65" i="85"/>
  <c r="H65" i="85" s="1"/>
  <c r="E246" i="85" s="1" a="1"/>
  <c r="E246" i="85" s="1"/>
  <c r="D61" i="85"/>
  <c r="H61" i="85" s="1"/>
  <c r="E242" i="85" s="1" a="1"/>
  <c r="E242" i="85" s="1"/>
  <c r="D39" i="84" s="1"/>
  <c r="D68" i="85"/>
  <c r="H68" i="85" s="1"/>
  <c r="E249" i="85" s="1" a="1"/>
  <c r="E249" i="85" s="1"/>
  <c r="D71" i="85"/>
  <c r="H71" i="85" s="1"/>
  <c r="E252" i="85" s="1" a="1"/>
  <c r="E252" i="85" s="1"/>
  <c r="F39" i="84" s="1"/>
  <c r="D77" i="85"/>
  <c r="H77" i="85" s="1"/>
  <c r="E258" i="85" s="1" a="1"/>
  <c r="E258" i="85" s="1"/>
  <c r="D62" i="85"/>
  <c r="H62" i="85" s="1"/>
  <c r="E243" i="85" s="1" a="1"/>
  <c r="E243" i="85" s="1"/>
  <c r="D73" i="85"/>
  <c r="H73" i="85" s="1"/>
  <c r="E254" i="85" s="1" a="1"/>
  <c r="E254" i="85" s="1"/>
  <c r="D81" i="85"/>
  <c r="H81" i="85" s="1"/>
  <c r="E262" i="85" s="1" a="1"/>
  <c r="E262" i="85" s="1"/>
  <c r="H39" i="84" s="1"/>
  <c r="D75" i="85"/>
  <c r="H75" i="85" s="1"/>
  <c r="E256" i="85" s="1" a="1"/>
  <c r="E256" i="85" s="1"/>
  <c r="D74" i="85"/>
  <c r="H74" i="85" s="1"/>
  <c r="E255" i="85" s="1" a="1"/>
  <c r="E255" i="85" s="1"/>
  <c r="D67" i="85"/>
  <c r="H67" i="85" s="1"/>
  <c r="E248" i="85" s="1" a="1"/>
  <c r="E248" i="85" s="1"/>
  <c r="D70" i="85"/>
  <c r="H70" i="85" s="1"/>
  <c r="E251" i="85" s="1" a="1"/>
  <c r="E251" i="85" s="1"/>
  <c r="D60" i="85"/>
  <c r="H60" i="85" s="1"/>
  <c r="E241" i="85" s="1" a="1"/>
  <c r="E241" i="85" s="1"/>
  <c r="D78" i="85"/>
  <c r="H78" i="85" s="1"/>
  <c r="E259" i="85" s="1" a="1"/>
  <c r="E259" i="85" s="1"/>
  <c r="D66" i="85"/>
  <c r="H66" i="85" s="1"/>
  <c r="E247" i="85" s="1" a="1"/>
  <c r="E247" i="85" s="1"/>
  <c r="E39" i="84" s="1"/>
  <c r="D69" i="85"/>
  <c r="H69" i="85" s="1"/>
  <c r="E250" i="85" s="1" a="1"/>
  <c r="E250" i="85" s="1"/>
  <c r="D79" i="85"/>
  <c r="H79" i="85" s="1"/>
  <c r="E260" i="85" s="1" a="1"/>
  <c r="E260" i="85" s="1"/>
  <c r="D63" i="85"/>
  <c r="H63" i="85" s="1"/>
  <c r="E244" i="85" s="1" a="1"/>
  <c r="E244" i="85" s="1"/>
  <c r="D30" i="81"/>
  <c r="H30" i="81" s="1"/>
  <c r="D230" i="81" s="1" a="1"/>
  <c r="D230" i="81" s="1"/>
  <c r="K110" i="79"/>
  <c r="G110" i="79"/>
  <c r="J12" i="81"/>
  <c r="K141" i="81"/>
  <c r="D23" i="81"/>
  <c r="H23" i="81" s="1"/>
  <c r="D223" i="81" s="1" a="1"/>
  <c r="D223" i="81" s="1"/>
  <c r="D26" i="81"/>
  <c r="H26" i="81" s="1"/>
  <c r="D226" i="81" s="1" a="1"/>
  <c r="D226" i="81" s="1"/>
  <c r="D172" i="69"/>
  <c r="H172" i="69" s="1"/>
  <c r="G251" i="69" s="1" a="1"/>
  <c r="G251" i="69" s="1"/>
  <c r="J251" i="69" s="1"/>
  <c r="D41" i="81"/>
  <c r="H41" i="81" s="1"/>
  <c r="D241" i="81" s="1" a="1"/>
  <c r="D241" i="81" s="1"/>
  <c r="D35" i="81"/>
  <c r="H35" i="81" s="1"/>
  <c r="D235" i="81" s="1" a="1"/>
  <c r="D235" i="81" s="1"/>
  <c r="D28" i="81"/>
  <c r="H28" i="81" s="1"/>
  <c r="D228" i="81" s="1" a="1"/>
  <c r="D228" i="81" s="1"/>
  <c r="D27" i="81"/>
  <c r="H27" i="81" s="1"/>
  <c r="D227" i="81" s="1" a="1"/>
  <c r="D227" i="81" s="1"/>
  <c r="E11" i="84" s="1"/>
  <c r="D39" i="81"/>
  <c r="H39" i="81" s="1"/>
  <c r="D239" i="81" s="1" a="1"/>
  <c r="D239" i="81" s="1"/>
  <c r="D29" i="81"/>
  <c r="H29" i="81" s="1"/>
  <c r="D229" i="81" s="1" a="1"/>
  <c r="D229" i="81" s="1"/>
  <c r="H12" i="81"/>
  <c r="D34" i="81"/>
  <c r="H34" i="81" s="1"/>
  <c r="D234" i="81" s="1" a="1"/>
  <c r="D234" i="81" s="1"/>
  <c r="D42" i="81"/>
  <c r="H42" i="81" s="1"/>
  <c r="D242" i="81" s="1" a="1"/>
  <c r="D242" i="81" s="1"/>
  <c r="H11" i="84" s="1"/>
  <c r="D21" i="81"/>
  <c r="H21" i="81" s="1"/>
  <c r="D221" i="81" s="1" a="1"/>
  <c r="D221" i="81" s="1"/>
  <c r="D177" i="72"/>
  <c r="H177" i="72" s="1"/>
  <c r="G256" i="72" s="1" a="1"/>
  <c r="G256" i="72" s="1"/>
  <c r="J256" i="72" s="1"/>
  <c r="D168" i="72"/>
  <c r="H168" i="72" s="1"/>
  <c r="G247" i="72" s="1" a="1"/>
  <c r="G247" i="72" s="1"/>
  <c r="J247" i="72" s="1"/>
  <c r="D37" i="81"/>
  <c r="H37" i="81" s="1"/>
  <c r="D237" i="81" s="1" a="1"/>
  <c r="D237" i="81" s="1"/>
  <c r="G11" i="84" s="1"/>
  <c r="D32" i="81"/>
  <c r="H32" i="81" s="1"/>
  <c r="D232" i="81" s="1" a="1"/>
  <c r="D232" i="81" s="1"/>
  <c r="F11" i="84" s="1"/>
  <c r="D24" i="81"/>
  <c r="H24" i="81" s="1"/>
  <c r="D224" i="81" s="1" a="1"/>
  <c r="D224" i="81" s="1"/>
  <c r="D40" i="81"/>
  <c r="H40" i="81" s="1"/>
  <c r="D240" i="81" s="1" a="1"/>
  <c r="D240" i="81" s="1"/>
  <c r="D38" i="81"/>
  <c r="H38" i="81" s="1"/>
  <c r="D238" i="81" s="1" a="1"/>
  <c r="D238" i="81" s="1"/>
  <c r="D33" i="81"/>
  <c r="H33" i="81" s="1"/>
  <c r="D233" i="81" s="1" a="1"/>
  <c r="D233" i="81" s="1"/>
  <c r="D25" i="81"/>
  <c r="H25" i="81" s="1"/>
  <c r="D225" i="81" s="1" a="1"/>
  <c r="D225" i="81" s="1"/>
  <c r="D31" i="81"/>
  <c r="H31" i="81" s="1"/>
  <c r="D231" i="81" s="1" a="1"/>
  <c r="D231" i="81" s="1"/>
  <c r="D22" i="81"/>
  <c r="H22" i="81" s="1"/>
  <c r="D222" i="81" s="1" a="1"/>
  <c r="D222" i="81" s="1"/>
  <c r="D11" i="84" s="1"/>
  <c r="D180" i="72"/>
  <c r="H180" i="72" s="1"/>
  <c r="G259" i="72" s="1" a="1"/>
  <c r="G259" i="72" s="1"/>
  <c r="J259" i="72" s="1"/>
  <c r="K185" i="71"/>
  <c r="E142" i="86"/>
  <c r="K205" i="69"/>
  <c r="D34" i="83"/>
  <c r="H34" i="83" s="1"/>
  <c r="D234" i="83" s="1" a="1"/>
  <c r="D234" i="83" s="1"/>
  <c r="J141" i="81"/>
  <c r="D28" i="83"/>
  <c r="H28" i="83" s="1"/>
  <c r="D228" i="83" s="1" a="1"/>
  <c r="D228" i="83" s="1"/>
  <c r="D39" i="83"/>
  <c r="H39" i="83" s="1"/>
  <c r="D239" i="83" s="1" a="1"/>
  <c r="D239" i="83" s="1"/>
  <c r="D42" i="83"/>
  <c r="H42" i="83" s="1"/>
  <c r="D242" i="83" s="1" a="1"/>
  <c r="D242" i="83" s="1"/>
  <c r="H27" i="84" s="1"/>
  <c r="D24" i="83"/>
  <c r="H24" i="83" s="1"/>
  <c r="D224" i="83" s="1" a="1"/>
  <c r="D224" i="83" s="1"/>
  <c r="D31" i="83"/>
  <c r="H31" i="83" s="1"/>
  <c r="D231" i="83" s="1" a="1"/>
  <c r="D231" i="83" s="1"/>
  <c r="D168" i="69"/>
  <c r="H168" i="69" s="1"/>
  <c r="G247" i="69" s="1" a="1"/>
  <c r="G247" i="69" s="1"/>
  <c r="J247" i="69" s="1"/>
  <c r="D43" i="90"/>
  <c r="D63" i="86"/>
  <c r="H63" i="86" s="1"/>
  <c r="E229" i="86" s="1" a="1"/>
  <c r="E229" i="86" s="1"/>
  <c r="D56" i="83"/>
  <c r="H56" i="83" s="1"/>
  <c r="E222" i="83" s="1" a="1"/>
  <c r="E222" i="83" s="1"/>
  <c r="D28" i="84" s="1"/>
  <c r="J184" i="86"/>
  <c r="K184" i="86" s="1"/>
  <c r="D69" i="86"/>
  <c r="H69" i="86" s="1"/>
  <c r="E235" i="86" s="1" a="1"/>
  <c r="E235" i="86" s="1"/>
  <c r="D68" i="83"/>
  <c r="H68" i="83" s="1"/>
  <c r="E234" i="83" s="1" a="1"/>
  <c r="E234" i="83" s="1"/>
  <c r="J203" i="82"/>
  <c r="K203" i="82" s="1"/>
  <c r="D179" i="69"/>
  <c r="H179" i="69" s="1"/>
  <c r="G258" i="69" s="1" a="1"/>
  <c r="G258" i="69" s="1"/>
  <c r="J258" i="69" s="1"/>
  <c r="D25" i="83"/>
  <c r="H25" i="83" s="1"/>
  <c r="D225" i="83" s="1" a="1"/>
  <c r="D225" i="83" s="1"/>
  <c r="D37" i="83"/>
  <c r="H37" i="83" s="1"/>
  <c r="D237" i="83" s="1" a="1"/>
  <c r="D237" i="83" s="1"/>
  <c r="G27" i="84" s="1"/>
  <c r="D175" i="69"/>
  <c r="H175" i="69" s="1"/>
  <c r="G254" i="69" s="1" a="1"/>
  <c r="G254" i="69" s="1"/>
  <c r="J254" i="69" s="1"/>
  <c r="D67" i="86"/>
  <c r="H67" i="86" s="1"/>
  <c r="E233" i="86" s="1" a="1"/>
  <c r="E233" i="86" s="1"/>
  <c r="D73" i="86"/>
  <c r="H73" i="86" s="1"/>
  <c r="E239" i="86" s="1" a="1"/>
  <c r="E239" i="86" s="1"/>
  <c r="D56" i="86"/>
  <c r="H56" i="86" s="1"/>
  <c r="E222" i="86" s="1" a="1"/>
  <c r="E222" i="86" s="1"/>
  <c r="D45" i="84" s="1"/>
  <c r="D68" i="86"/>
  <c r="H68" i="86" s="1"/>
  <c r="E234" i="86" s="1" a="1"/>
  <c r="E234" i="86" s="1"/>
  <c r="D30" i="83"/>
  <c r="H30" i="83" s="1"/>
  <c r="D230" i="83" s="1" a="1"/>
  <c r="D230" i="83" s="1"/>
  <c r="D40" i="83"/>
  <c r="H40" i="83" s="1"/>
  <c r="D240" i="83" s="1" a="1"/>
  <c r="D240" i="83" s="1"/>
  <c r="D38" i="83"/>
  <c r="H38" i="83" s="1"/>
  <c r="D238" i="83" s="1" a="1"/>
  <c r="D238" i="83" s="1"/>
  <c r="J142" i="71"/>
  <c r="D60" i="86"/>
  <c r="H60" i="86" s="1"/>
  <c r="E226" i="86" s="1" a="1"/>
  <c r="E226" i="86" s="1"/>
  <c r="D57" i="86"/>
  <c r="H57" i="86" s="1"/>
  <c r="E223" i="86" s="1" a="1"/>
  <c r="E223" i="86" s="1"/>
  <c r="D166" i="72"/>
  <c r="H166" i="72" s="1"/>
  <c r="G245" i="72" s="1" a="1"/>
  <c r="G245" i="72" s="1"/>
  <c r="J245" i="72" s="1"/>
  <c r="D167" i="72"/>
  <c r="H167" i="72" s="1"/>
  <c r="G246" i="72" s="1" a="1"/>
  <c r="G246" i="72" s="1"/>
  <c r="J246" i="72" s="1"/>
  <c r="D174" i="72"/>
  <c r="H174" i="72" s="1"/>
  <c r="G253" i="72" s="1" a="1"/>
  <c r="G253" i="72" s="1"/>
  <c r="J253" i="72" s="1"/>
  <c r="J183" i="86"/>
  <c r="K183" i="86" s="1"/>
  <c r="G100" i="86"/>
  <c r="D180" i="69"/>
  <c r="H180" i="69" s="1"/>
  <c r="G259" i="69" s="1" a="1"/>
  <c r="G259" i="69" s="1"/>
  <c r="J259" i="69" s="1"/>
  <c r="D165" i="72"/>
  <c r="H165" i="72" s="1"/>
  <c r="G244" i="72" s="1" a="1"/>
  <c r="G244" i="72" s="1"/>
  <c r="J244" i="72" s="1"/>
  <c r="D176" i="72"/>
  <c r="H176" i="72" s="1"/>
  <c r="G255" i="72" s="1" a="1"/>
  <c r="G255" i="72" s="1"/>
  <c r="J255" i="72" s="1"/>
  <c r="K205" i="87"/>
  <c r="D72" i="83"/>
  <c r="H72" i="83" s="1"/>
  <c r="E238" i="83" s="1" a="1"/>
  <c r="E238" i="83" s="1"/>
  <c r="J205" i="69"/>
  <c r="D179" i="72"/>
  <c r="H179" i="72" s="1"/>
  <c r="G258" i="72" s="1" a="1"/>
  <c r="G258" i="72" s="1"/>
  <c r="J258" i="72" s="1"/>
  <c r="D183" i="72"/>
  <c r="H183" i="72" s="1"/>
  <c r="G262" i="72" s="1" a="1"/>
  <c r="G262" i="72" s="1"/>
  <c r="J262" i="72" s="1"/>
  <c r="D182" i="72"/>
  <c r="H182" i="72" s="1"/>
  <c r="G261" i="72" s="1" a="1"/>
  <c r="G261" i="72" s="1"/>
  <c r="J261" i="72" s="1"/>
  <c r="D178" i="69"/>
  <c r="H178" i="69" s="1"/>
  <c r="G257" i="69" s="1" a="1"/>
  <c r="G257" i="69" s="1"/>
  <c r="G9" i="70" s="1"/>
  <c r="G11" i="70" s="1"/>
  <c r="D71" i="86"/>
  <c r="H71" i="86" s="1"/>
  <c r="E237" i="86" s="1" a="1"/>
  <c r="E237" i="86" s="1"/>
  <c r="G45" i="84" s="1"/>
  <c r="D65" i="86"/>
  <c r="H65" i="86" s="1"/>
  <c r="E231" i="86" s="1" a="1"/>
  <c r="E231" i="86" s="1"/>
  <c r="D169" i="69"/>
  <c r="H169" i="69" s="1"/>
  <c r="G248" i="69" s="1" a="1"/>
  <c r="G248" i="69" s="1"/>
  <c r="J248" i="69" s="1"/>
  <c r="D166" i="69"/>
  <c r="H166" i="69" s="1"/>
  <c r="G245" i="69" s="1" a="1"/>
  <c r="G245" i="69" s="1"/>
  <c r="J245" i="69" s="1"/>
  <c r="D164" i="69"/>
  <c r="H164" i="69" s="1"/>
  <c r="G243" i="69" s="1" a="1"/>
  <c r="G243" i="69" s="1"/>
  <c r="J243" i="69" s="1"/>
  <c r="D170" i="69"/>
  <c r="H170" i="69" s="1"/>
  <c r="G249" i="69" s="1" a="1"/>
  <c r="G249" i="69" s="1"/>
  <c r="J249" i="69" s="1"/>
  <c r="D163" i="69"/>
  <c r="H163" i="69" s="1"/>
  <c r="G242" i="69" s="1" a="1"/>
  <c r="G242" i="69" s="1"/>
  <c r="J242" i="69" s="1"/>
  <c r="E44" i="84"/>
  <c r="G44" i="84"/>
  <c r="H139" i="83"/>
  <c r="J139" i="83" s="1"/>
  <c r="K139" i="83" s="1"/>
  <c r="J157" i="79"/>
  <c r="D69" i="83"/>
  <c r="H69" i="83" s="1"/>
  <c r="E235" i="83" s="1" a="1"/>
  <c r="E235" i="83" s="1"/>
  <c r="D65" i="83"/>
  <c r="H65" i="83" s="1"/>
  <c r="E231" i="83" s="1" a="1"/>
  <c r="E231" i="83" s="1"/>
  <c r="D64" i="83"/>
  <c r="H64" i="83" s="1"/>
  <c r="E230" i="83" s="1" a="1"/>
  <c r="E230" i="83" s="1"/>
  <c r="D36" i="83"/>
  <c r="H36" i="83" s="1"/>
  <c r="D236" i="83" s="1" a="1"/>
  <c r="D236" i="83" s="1"/>
  <c r="D27" i="83"/>
  <c r="H27" i="83" s="1"/>
  <c r="D227" i="83" s="1" a="1"/>
  <c r="D227" i="83" s="1"/>
  <c r="E27" i="84" s="1"/>
  <c r="D23" i="83"/>
  <c r="H23" i="83" s="1"/>
  <c r="D223" i="83" s="1" a="1"/>
  <c r="D223" i="83" s="1"/>
  <c r="D21" i="83"/>
  <c r="H21" i="83" s="1"/>
  <c r="D221" i="83" s="1" a="1"/>
  <c r="D221" i="83" s="1"/>
  <c r="D33" i="83"/>
  <c r="H33" i="83" s="1"/>
  <c r="D233" i="83" s="1" a="1"/>
  <c r="D233" i="83" s="1"/>
  <c r="D35" i="83"/>
  <c r="H35" i="83" s="1"/>
  <c r="D235" i="83" s="1" a="1"/>
  <c r="D235" i="83" s="1"/>
  <c r="D61" i="81"/>
  <c r="H61" i="81" s="1"/>
  <c r="E227" i="81" s="1" a="1"/>
  <c r="E227" i="81" s="1"/>
  <c r="E12" i="84" s="1"/>
  <c r="J185" i="71"/>
  <c r="D171" i="72"/>
  <c r="H171" i="72" s="1"/>
  <c r="G250" i="72" s="1" a="1"/>
  <c r="G250" i="72" s="1"/>
  <c r="J250" i="72" s="1"/>
  <c r="D175" i="72"/>
  <c r="H175" i="72" s="1"/>
  <c r="G254" i="72" s="1" a="1"/>
  <c r="G254" i="72" s="1"/>
  <c r="J254" i="72" s="1"/>
  <c r="D162" i="72"/>
  <c r="H162" i="72" s="1"/>
  <c r="G241" i="72" s="1" a="1"/>
  <c r="G241" i="72" s="1"/>
  <c r="J241" i="72" s="1"/>
  <c r="D178" i="72"/>
  <c r="H178" i="72" s="1"/>
  <c r="G257" i="72" s="1" a="1"/>
  <c r="G257" i="72" s="1"/>
  <c r="J257" i="72" s="1"/>
  <c r="D172" i="72"/>
  <c r="H172" i="72" s="1"/>
  <c r="G251" i="72" s="1" a="1"/>
  <c r="G251" i="72" s="1"/>
  <c r="J251" i="72" s="1"/>
  <c r="J142" i="88"/>
  <c r="D165" i="69"/>
  <c r="H165" i="69" s="1"/>
  <c r="G244" i="69" s="1" a="1"/>
  <c r="G244" i="69" s="1"/>
  <c r="J244" i="69" s="1"/>
  <c r="D181" i="69"/>
  <c r="H181" i="69" s="1"/>
  <c r="G260" i="69" s="1" a="1"/>
  <c r="G260" i="69" s="1"/>
  <c r="J260" i="69" s="1"/>
  <c r="D162" i="69"/>
  <c r="H162" i="69" s="1"/>
  <c r="G241" i="69" s="1" a="1"/>
  <c r="G241" i="69" s="1"/>
  <c r="J241" i="69" s="1"/>
  <c r="D182" i="69"/>
  <c r="H182" i="69" s="1"/>
  <c r="G261" i="69" s="1" a="1"/>
  <c r="G261" i="69" s="1"/>
  <c r="J261" i="69" s="1"/>
  <c r="D183" i="69"/>
  <c r="H183" i="69" s="1"/>
  <c r="G262" i="69" s="1" a="1"/>
  <c r="G262" i="69" s="1"/>
  <c r="J262" i="69" s="1"/>
  <c r="D176" i="69"/>
  <c r="H176" i="69" s="1"/>
  <c r="G255" i="69" s="1" a="1"/>
  <c r="G255" i="69" s="1"/>
  <c r="J255" i="69" s="1"/>
  <c r="J181" i="86"/>
  <c r="H44" i="84"/>
  <c r="F44" i="84"/>
  <c r="D75" i="86"/>
  <c r="H75" i="86" s="1"/>
  <c r="E241" i="86" s="1" a="1"/>
  <c r="E241" i="86" s="1"/>
  <c r="D76" i="86"/>
  <c r="H76" i="86" s="1"/>
  <c r="E242" i="86" s="1" a="1"/>
  <c r="E242" i="86" s="1"/>
  <c r="H45" i="84" s="1"/>
  <c r="D70" i="86"/>
  <c r="H70" i="86" s="1"/>
  <c r="E236" i="86" s="1" a="1"/>
  <c r="E236" i="86" s="1"/>
  <c r="D66" i="86"/>
  <c r="H66" i="86" s="1"/>
  <c r="E232" i="86" s="1" a="1"/>
  <c r="E232" i="86" s="1"/>
  <c r="F45" i="84" s="1"/>
  <c r="D62" i="86"/>
  <c r="H62" i="86" s="1"/>
  <c r="E228" i="86" s="1" a="1"/>
  <c r="E228" i="86" s="1"/>
  <c r="D44" i="84"/>
  <c r="D74" i="83"/>
  <c r="H74" i="83" s="1"/>
  <c r="E240" i="83" s="1" a="1"/>
  <c r="E240" i="83" s="1"/>
  <c r="D73" i="83"/>
  <c r="H73" i="83" s="1"/>
  <c r="E239" i="83" s="1" a="1"/>
  <c r="E239" i="83" s="1"/>
  <c r="K110" i="82"/>
  <c r="H138" i="83"/>
  <c r="J138" i="83" s="1"/>
  <c r="K138" i="83" s="1"/>
  <c r="D41" i="83"/>
  <c r="H41" i="83" s="1"/>
  <c r="D241" i="83" s="1" a="1"/>
  <c r="D241" i="83" s="1"/>
  <c r="D29" i="83"/>
  <c r="H29" i="83" s="1"/>
  <c r="D229" i="83" s="1" a="1"/>
  <c r="D229" i="83" s="1"/>
  <c r="D22" i="83"/>
  <c r="H22" i="83" s="1"/>
  <c r="D222" i="83" s="1" a="1"/>
  <c r="D222" i="83" s="1"/>
  <c r="D27" i="84" s="1"/>
  <c r="D32" i="83"/>
  <c r="H32" i="83" s="1"/>
  <c r="D232" i="83" s="1" a="1"/>
  <c r="D232" i="83" s="1"/>
  <c r="F27" i="84" s="1"/>
  <c r="K110" i="85"/>
  <c r="D173" i="72"/>
  <c r="H173" i="72" s="1"/>
  <c r="G252" i="72" s="1" a="1"/>
  <c r="G252" i="72" s="1"/>
  <c r="J252" i="72" s="1"/>
  <c r="D181" i="72"/>
  <c r="H181" i="72" s="1"/>
  <c r="G260" i="72" s="1" a="1"/>
  <c r="G260" i="72" s="1"/>
  <c r="J260" i="72" s="1"/>
  <c r="D169" i="72"/>
  <c r="H169" i="72" s="1"/>
  <c r="G248" i="72" s="1" a="1"/>
  <c r="G248" i="72" s="1"/>
  <c r="J248" i="72" s="1"/>
  <c r="D170" i="72"/>
  <c r="H170" i="72" s="1"/>
  <c r="G249" i="72" s="1" a="1"/>
  <c r="G249" i="72" s="1"/>
  <c r="J249" i="72" s="1"/>
  <c r="D164" i="72"/>
  <c r="H164" i="72" s="1"/>
  <c r="G243" i="72" s="1" a="1"/>
  <c r="G243" i="72" s="1"/>
  <c r="J243" i="72" s="1"/>
  <c r="E142" i="71"/>
  <c r="D173" i="69"/>
  <c r="H173" i="69" s="1"/>
  <c r="G252" i="69" s="1" a="1"/>
  <c r="G252" i="69" s="1"/>
  <c r="J252" i="69" s="1"/>
  <c r="D167" i="69"/>
  <c r="H167" i="69" s="1"/>
  <c r="G246" i="69" s="1" a="1"/>
  <c r="G246" i="69" s="1"/>
  <c r="J246" i="69" s="1"/>
  <c r="D174" i="69"/>
  <c r="H174" i="69" s="1"/>
  <c r="G253" i="69" s="1" a="1"/>
  <c r="G253" i="69" s="1"/>
  <c r="J253" i="69" s="1"/>
  <c r="D171" i="69"/>
  <c r="H171" i="69" s="1"/>
  <c r="G250" i="69" s="1" a="1"/>
  <c r="G250" i="69" s="1"/>
  <c r="J250" i="69" s="1"/>
  <c r="J182" i="86"/>
  <c r="K182" i="86" s="1"/>
  <c r="J142" i="86"/>
  <c r="K100" i="86"/>
  <c r="D58" i="86"/>
  <c r="H58" i="86" s="1"/>
  <c r="E224" i="86" s="1" a="1"/>
  <c r="E224" i="86" s="1"/>
  <c r="D59" i="86"/>
  <c r="H59" i="86" s="1"/>
  <c r="E225" i="86" s="1" a="1"/>
  <c r="E225" i="86" s="1"/>
  <c r="D72" i="86"/>
  <c r="H72" i="86" s="1"/>
  <c r="E238" i="86" s="1" a="1"/>
  <c r="E238" i="86" s="1"/>
  <c r="D61" i="86"/>
  <c r="H61" i="86" s="1"/>
  <c r="E227" i="86" s="1" a="1"/>
  <c r="E227" i="86" s="1"/>
  <c r="E45" i="84" s="1"/>
  <c r="D64" i="86"/>
  <c r="H64" i="86" s="1"/>
  <c r="E230" i="86" s="1" a="1"/>
  <c r="E230" i="86" s="1"/>
  <c r="D55" i="86"/>
  <c r="H55" i="86" s="1"/>
  <c r="E221" i="86" s="1" a="1"/>
  <c r="E221" i="86" s="1"/>
  <c r="D175" i="87"/>
  <c r="H175" i="87" s="1"/>
  <c r="G254" i="87" s="1" a="1"/>
  <c r="G254" i="87" s="1"/>
  <c r="D178" i="87"/>
  <c r="H178" i="87" s="1"/>
  <c r="G257" i="87" s="1" a="1"/>
  <c r="G257" i="87" s="1"/>
  <c r="G41" i="70" s="1"/>
  <c r="D183" i="87"/>
  <c r="H183" i="87" s="1"/>
  <c r="G262" i="87" s="1" a="1"/>
  <c r="G262" i="87" s="1"/>
  <c r="D170" i="87"/>
  <c r="H170" i="87" s="1"/>
  <c r="G249" i="87" s="1" a="1"/>
  <c r="G249" i="87" s="1"/>
  <c r="D163" i="87"/>
  <c r="H163" i="87" s="1"/>
  <c r="G242" i="87" s="1" a="1"/>
  <c r="G242" i="87" s="1"/>
  <c r="D41" i="70" s="1"/>
  <c r="D164" i="87"/>
  <c r="H164" i="87" s="1"/>
  <c r="G243" i="87" s="1" a="1"/>
  <c r="G243" i="87" s="1"/>
  <c r="D173" i="87"/>
  <c r="H173" i="87" s="1"/>
  <c r="G252" i="87" s="1" a="1"/>
  <c r="G252" i="87" s="1"/>
  <c r="F41" i="70" s="1"/>
  <c r="D177" i="87"/>
  <c r="H177" i="87" s="1"/>
  <c r="G256" i="87" s="1" a="1"/>
  <c r="G256" i="87" s="1"/>
  <c r="D168" i="87"/>
  <c r="H168" i="87" s="1"/>
  <c r="G247" i="87" s="1" a="1"/>
  <c r="G247" i="87" s="1"/>
  <c r="D171" i="87"/>
  <c r="H171" i="87" s="1"/>
  <c r="G250" i="87" s="1" a="1"/>
  <c r="G250" i="87" s="1"/>
  <c r="D174" i="87"/>
  <c r="H174" i="87" s="1"/>
  <c r="G253" i="87" s="1" a="1"/>
  <c r="G253" i="87" s="1"/>
  <c r="D181" i="87"/>
  <c r="H181" i="87" s="1"/>
  <c r="G260" i="87" s="1" a="1"/>
  <c r="G260" i="87" s="1"/>
  <c r="D182" i="87"/>
  <c r="H182" i="87" s="1"/>
  <c r="G261" i="87" s="1" a="1"/>
  <c r="G261" i="87" s="1"/>
  <c r="D169" i="87"/>
  <c r="H169" i="87" s="1"/>
  <c r="G248" i="87" s="1" a="1"/>
  <c r="G248" i="87" s="1"/>
  <c r="D166" i="87"/>
  <c r="H166" i="87" s="1"/>
  <c r="G245" i="87" s="1" a="1"/>
  <c r="G245" i="87" s="1"/>
  <c r="D179" i="87"/>
  <c r="H179" i="87" s="1"/>
  <c r="G258" i="87" s="1" a="1"/>
  <c r="G258" i="87" s="1"/>
  <c r="D162" i="87"/>
  <c r="H162" i="87" s="1"/>
  <c r="G241" i="87" s="1" a="1"/>
  <c r="G241" i="87" s="1"/>
  <c r="D180" i="87"/>
  <c r="H180" i="87" s="1"/>
  <c r="G259" i="87" s="1" a="1"/>
  <c r="G259" i="87" s="1"/>
  <c r="D167" i="87"/>
  <c r="H167" i="87" s="1"/>
  <c r="G246" i="87" s="1" a="1"/>
  <c r="G246" i="87" s="1"/>
  <c r="D172" i="87"/>
  <c r="H172" i="87" s="1"/>
  <c r="G251" i="87" s="1" a="1"/>
  <c r="G251" i="87" s="1"/>
  <c r="D176" i="87"/>
  <c r="H176" i="87" s="1"/>
  <c r="G255" i="87" s="1" a="1"/>
  <c r="G255" i="87" s="1"/>
  <c r="D165" i="87"/>
  <c r="H165" i="87" s="1"/>
  <c r="G244" i="87" s="1" a="1"/>
  <c r="G244" i="87" s="1"/>
  <c r="G14" i="70"/>
  <c r="J185" i="73"/>
  <c r="K180" i="73"/>
  <c r="K185" i="73" s="1"/>
  <c r="D129" i="87"/>
  <c r="H129" i="87" s="1"/>
  <c r="F255" i="87" s="1" a="1"/>
  <c r="F255" i="87" s="1"/>
  <c r="D121" i="87"/>
  <c r="H121" i="87" s="1"/>
  <c r="F247" i="87" s="1" a="1"/>
  <c r="F247" i="87" s="1"/>
  <c r="E40" i="70" s="1"/>
  <c r="E43" i="70" s="1"/>
  <c r="D136" i="87"/>
  <c r="H136" i="87" s="1"/>
  <c r="F262" i="87" s="1" a="1"/>
  <c r="F262" i="87" s="1"/>
  <c r="H40" i="70" s="1"/>
  <c r="H43" i="70" s="1"/>
  <c r="D122" i="87"/>
  <c r="H122" i="87" s="1"/>
  <c r="F248" i="87" s="1" a="1"/>
  <c r="F248" i="87" s="1"/>
  <c r="D134" i="87"/>
  <c r="H134" i="87" s="1"/>
  <c r="F260" i="87" s="1" a="1"/>
  <c r="F260" i="87" s="1"/>
  <c r="D135" i="87"/>
  <c r="H135" i="87" s="1"/>
  <c r="F261" i="87" s="1" a="1"/>
  <c r="F261" i="87" s="1"/>
  <c r="D127" i="87"/>
  <c r="H127" i="87" s="1"/>
  <c r="F253" i="87" s="1" a="1"/>
  <c r="F253" i="87" s="1"/>
  <c r="D119" i="87"/>
  <c r="H119" i="87" s="1"/>
  <c r="F245" i="87" s="1" a="1"/>
  <c r="F245" i="87" s="1"/>
  <c r="D128" i="87"/>
  <c r="H128" i="87" s="1"/>
  <c r="F254" i="87" s="1" a="1"/>
  <c r="F254" i="87" s="1"/>
  <c r="D124" i="87"/>
  <c r="H124" i="87" s="1"/>
  <c r="F250" i="87" s="1" a="1"/>
  <c r="F250" i="87" s="1"/>
  <c r="D126" i="87"/>
  <c r="H126" i="87" s="1"/>
  <c r="F252" i="87" s="1" a="1"/>
  <c r="F252" i="87" s="1"/>
  <c r="D133" i="87"/>
  <c r="H133" i="87" s="1"/>
  <c r="F259" i="87" s="1" a="1"/>
  <c r="F259" i="87" s="1"/>
  <c r="D125" i="87"/>
  <c r="H125" i="87" s="1"/>
  <c r="F251" i="87" s="1" a="1"/>
  <c r="F251" i="87" s="1"/>
  <c r="D117" i="87"/>
  <c r="H117" i="87" s="1"/>
  <c r="F243" i="87" s="1" a="1"/>
  <c r="F243" i="87" s="1"/>
  <c r="D120" i="87"/>
  <c r="H120" i="87" s="1"/>
  <c r="F246" i="87" s="1" a="1"/>
  <c r="F246" i="87" s="1"/>
  <c r="D132" i="87"/>
  <c r="H132" i="87" s="1"/>
  <c r="F258" i="87" s="1" a="1"/>
  <c r="F258" i="87" s="1"/>
  <c r="D118" i="87"/>
  <c r="H118" i="87" s="1"/>
  <c r="F244" i="87" s="1" a="1"/>
  <c r="F244" i="87" s="1"/>
  <c r="D131" i="87"/>
  <c r="H131" i="87" s="1"/>
  <c r="F257" i="87" s="1" a="1"/>
  <c r="F257" i="87" s="1"/>
  <c r="D123" i="87"/>
  <c r="H123" i="87" s="1"/>
  <c r="F249" i="87" s="1" a="1"/>
  <c r="F249" i="87" s="1"/>
  <c r="D115" i="87"/>
  <c r="H115" i="87" s="1"/>
  <c r="F241" i="87" s="1" a="1"/>
  <c r="F241" i="87" s="1"/>
  <c r="J241" i="87" s="1"/>
  <c r="D130" i="87"/>
  <c r="H130" i="87" s="1"/>
  <c r="F256" i="87" s="1" a="1"/>
  <c r="F256" i="87" s="1"/>
  <c r="D116" i="87"/>
  <c r="H116" i="87" s="1"/>
  <c r="F242" i="87" s="1" a="1"/>
  <c r="F242" i="87" s="1"/>
  <c r="E30" i="70"/>
  <c r="D30" i="70"/>
  <c r="D165" i="73"/>
  <c r="H165" i="73" s="1"/>
  <c r="G239" i="73" s="1" a="1"/>
  <c r="G239" i="73" s="1"/>
  <c r="J239" i="73" s="1"/>
  <c r="D161" i="73"/>
  <c r="H161" i="73" s="1"/>
  <c r="G235" i="73" s="1" a="1"/>
  <c r="G235" i="73" s="1"/>
  <c r="J235" i="73" s="1"/>
  <c r="D157" i="73"/>
  <c r="H157" i="73" s="1"/>
  <c r="G231" i="73" s="1" a="1"/>
  <c r="G231" i="73" s="1"/>
  <c r="J231" i="73" s="1"/>
  <c r="D153" i="73"/>
  <c r="H153" i="73" s="1"/>
  <c r="G227" i="73" s="1" a="1"/>
  <c r="G227" i="73" s="1"/>
  <c r="J227" i="73" s="1"/>
  <c r="D149" i="73"/>
  <c r="H149" i="73" s="1"/>
  <c r="G223" i="73" s="1" a="1"/>
  <c r="G223" i="73" s="1"/>
  <c r="J223" i="73" s="1"/>
  <c r="D167" i="73"/>
  <c r="H167" i="73" s="1"/>
  <c r="G241" i="73" s="1" a="1"/>
  <c r="G241" i="73" s="1"/>
  <c r="J241" i="73" s="1"/>
  <c r="D163" i="73"/>
  <c r="H163" i="73" s="1"/>
  <c r="G237" i="73" s="1" a="1"/>
  <c r="G237" i="73" s="1"/>
  <c r="J237" i="73" s="1"/>
  <c r="D159" i="73"/>
  <c r="H159" i="73" s="1"/>
  <c r="G233" i="73" s="1" a="1"/>
  <c r="G233" i="73" s="1"/>
  <c r="J233" i="73" s="1"/>
  <c r="D155" i="73"/>
  <c r="H155" i="73" s="1"/>
  <c r="G229" i="73" s="1" a="1"/>
  <c r="G229" i="73" s="1"/>
  <c r="J229" i="73" s="1"/>
  <c r="D151" i="73"/>
  <c r="H151" i="73" s="1"/>
  <c r="G225" i="73" s="1" a="1"/>
  <c r="G225" i="73" s="1"/>
  <c r="J225" i="73" s="1"/>
  <c r="D147" i="73"/>
  <c r="H147" i="73" s="1"/>
  <c r="G221" i="73" s="1" a="1"/>
  <c r="G221" i="73" s="1"/>
  <c r="D168" i="73"/>
  <c r="H168" i="73" s="1"/>
  <c r="G242" i="73" s="1" a="1"/>
  <c r="G242" i="73" s="1"/>
  <c r="J242" i="73" s="1"/>
  <c r="D160" i="73"/>
  <c r="H160" i="73" s="1"/>
  <c r="G234" i="73" s="1" a="1"/>
  <c r="G234" i="73" s="1"/>
  <c r="J234" i="73" s="1"/>
  <c r="D152" i="73"/>
  <c r="H152" i="73" s="1"/>
  <c r="G226" i="73" s="1" a="1"/>
  <c r="G226" i="73" s="1"/>
  <c r="J226" i="73" s="1"/>
  <c r="D166" i="73"/>
  <c r="H166" i="73" s="1"/>
  <c r="G240" i="73" s="1" a="1"/>
  <c r="G240" i="73" s="1"/>
  <c r="J240" i="73" s="1"/>
  <c r="D158" i="73"/>
  <c r="H158" i="73" s="1"/>
  <c r="G232" i="73" s="1" a="1"/>
  <c r="G232" i="73" s="1"/>
  <c r="J232" i="73" s="1"/>
  <c r="D150" i="73"/>
  <c r="H150" i="73" s="1"/>
  <c r="G224" i="73" s="1" a="1"/>
  <c r="G224" i="73" s="1"/>
  <c r="D164" i="73"/>
  <c r="H164" i="73" s="1"/>
  <c r="G238" i="73" s="1" a="1"/>
  <c r="G238" i="73" s="1"/>
  <c r="J238" i="73" s="1"/>
  <c r="D148" i="73"/>
  <c r="H148" i="73" s="1"/>
  <c r="G222" i="73" s="1" a="1"/>
  <c r="G222" i="73" s="1"/>
  <c r="D154" i="73"/>
  <c r="H154" i="73" s="1"/>
  <c r="G228" i="73" s="1" a="1"/>
  <c r="G228" i="73" s="1"/>
  <c r="J228" i="73" s="1"/>
  <c r="D156" i="73"/>
  <c r="H156" i="73" s="1"/>
  <c r="G230" i="73" s="1" a="1"/>
  <c r="G230" i="73" s="1"/>
  <c r="D162" i="73"/>
  <c r="H162" i="73" s="1"/>
  <c r="G236" i="73" s="1" a="1"/>
  <c r="G236" i="73" s="1"/>
  <c r="J236" i="73" s="1"/>
  <c r="D62" i="83"/>
  <c r="H62" i="83" s="1"/>
  <c r="E228" i="83" s="1" a="1"/>
  <c r="E228" i="83" s="1"/>
  <c r="D76" i="83"/>
  <c r="H76" i="83" s="1"/>
  <c r="E242" i="83" s="1" a="1"/>
  <c r="E242" i="83" s="1"/>
  <c r="H28" i="84" s="1"/>
  <c r="D63" i="83"/>
  <c r="H63" i="83" s="1"/>
  <c r="E229" i="83" s="1" a="1"/>
  <c r="E229" i="83" s="1"/>
  <c r="D57" i="83"/>
  <c r="H57" i="83" s="1"/>
  <c r="E223" i="83" s="1" a="1"/>
  <c r="E223" i="83" s="1"/>
  <c r="E157" i="82"/>
  <c r="D71" i="81"/>
  <c r="H71" i="81" s="1"/>
  <c r="E237" i="81" s="1" a="1"/>
  <c r="E237" i="81" s="1"/>
  <c r="G12" i="84" s="1"/>
  <c r="D67" i="81"/>
  <c r="H67" i="81" s="1"/>
  <c r="E233" i="81" s="1" a="1"/>
  <c r="E233" i="81" s="1"/>
  <c r="J205" i="72"/>
  <c r="K195" i="72"/>
  <c r="K205" i="72" s="1"/>
  <c r="K185" i="88"/>
  <c r="G30" i="70"/>
  <c r="F30" i="70"/>
  <c r="D69" i="81"/>
  <c r="H69" i="81" s="1"/>
  <c r="E235" i="81" s="1" a="1"/>
  <c r="E235" i="81" s="1"/>
  <c r="D72" i="81"/>
  <c r="H72" i="81" s="1"/>
  <c r="E238" i="81" s="1" a="1"/>
  <c r="E238" i="81" s="1"/>
  <c r="D122" i="88"/>
  <c r="H122" i="88" s="1"/>
  <c r="F238" i="88" s="1" a="1"/>
  <c r="F238" i="88" s="1"/>
  <c r="D117" i="88"/>
  <c r="H117" i="88" s="1"/>
  <c r="F233" i="88" s="1" a="1"/>
  <c r="F233" i="88" s="1"/>
  <c r="D110" i="88"/>
  <c r="H110" i="88" s="1"/>
  <c r="F226" i="88" s="1" a="1"/>
  <c r="F226" i="88" s="1"/>
  <c r="D107" i="88"/>
  <c r="H107" i="88" s="1"/>
  <c r="F223" i="88" s="1" a="1"/>
  <c r="F223" i="88" s="1"/>
  <c r="D115" i="88"/>
  <c r="H115" i="88" s="1"/>
  <c r="F231" i="88" s="1" a="1"/>
  <c r="F231" i="88" s="1"/>
  <c r="D114" i="88"/>
  <c r="H114" i="88" s="1"/>
  <c r="F230" i="88" s="1" a="1"/>
  <c r="F230" i="88" s="1"/>
  <c r="D118" i="88"/>
  <c r="H118" i="88" s="1"/>
  <c r="F234" i="88" s="1" a="1"/>
  <c r="F234" i="88" s="1"/>
  <c r="D126" i="88"/>
  <c r="H126" i="88" s="1"/>
  <c r="F242" i="88" s="1" a="1"/>
  <c r="F242" i="88" s="1"/>
  <c r="D116" i="88"/>
  <c r="H116" i="88" s="1"/>
  <c r="F232" i="88" s="1" a="1"/>
  <c r="F232" i="88" s="1"/>
  <c r="D123" i="88"/>
  <c r="H123" i="88" s="1"/>
  <c r="F239" i="88" s="1" a="1"/>
  <c r="F239" i="88" s="1"/>
  <c r="D105" i="88"/>
  <c r="H105" i="88" s="1"/>
  <c r="F221" i="88" s="1" a="1"/>
  <c r="F221" i="88" s="1"/>
  <c r="D125" i="88"/>
  <c r="H125" i="88" s="1"/>
  <c r="F241" i="88" s="1" a="1"/>
  <c r="F241" i="88" s="1"/>
  <c r="D124" i="88"/>
  <c r="H124" i="88" s="1"/>
  <c r="F240" i="88" s="1" a="1"/>
  <c r="F240" i="88" s="1"/>
  <c r="D106" i="88"/>
  <c r="H106" i="88" s="1"/>
  <c r="F222" i="88" s="1" a="1"/>
  <c r="F222" i="88" s="1"/>
  <c r="D113" i="88"/>
  <c r="H113" i="88" s="1"/>
  <c r="F229" i="88" s="1" a="1"/>
  <c r="F229" i="88" s="1"/>
  <c r="D111" i="88"/>
  <c r="H111" i="88" s="1"/>
  <c r="F227" i="88" s="1" a="1"/>
  <c r="F227" i="88" s="1"/>
  <c r="D108" i="88"/>
  <c r="H108" i="88" s="1"/>
  <c r="F224" i="88" s="1" a="1"/>
  <c r="F224" i="88" s="1"/>
  <c r="D119" i="88"/>
  <c r="H119" i="88" s="1"/>
  <c r="F235" i="88" s="1" a="1"/>
  <c r="F235" i="88" s="1"/>
  <c r="D112" i="88"/>
  <c r="H112" i="88" s="1"/>
  <c r="F228" i="88" s="1" a="1"/>
  <c r="F228" i="88" s="1"/>
  <c r="D109" i="88"/>
  <c r="H109" i="88" s="1"/>
  <c r="F225" i="88" s="1" a="1"/>
  <c r="F225" i="88" s="1"/>
  <c r="D120" i="88"/>
  <c r="H120" i="88" s="1"/>
  <c r="F236" i="88" s="1" a="1"/>
  <c r="F236" i="88" s="1"/>
  <c r="J185" i="88"/>
  <c r="H30" i="70"/>
  <c r="D60" i="83"/>
  <c r="H60" i="83" s="1"/>
  <c r="E226" i="83" s="1" a="1"/>
  <c r="E226" i="83" s="1"/>
  <c r="D58" i="83"/>
  <c r="H58" i="83" s="1"/>
  <c r="E224" i="83" s="1" a="1"/>
  <c r="E224" i="83" s="1"/>
  <c r="D70" i="83"/>
  <c r="H70" i="83" s="1"/>
  <c r="E236" i="83" s="1" a="1"/>
  <c r="E236" i="83" s="1"/>
  <c r="D71" i="83"/>
  <c r="H71" i="83" s="1"/>
  <c r="E237" i="83" s="1" a="1"/>
  <c r="E237" i="83" s="1"/>
  <c r="G28" i="84" s="1"/>
  <c r="D74" i="81"/>
  <c r="H74" i="81" s="1"/>
  <c r="E240" i="81" s="1" a="1"/>
  <c r="E240" i="81" s="1"/>
  <c r="D65" i="81"/>
  <c r="H65" i="81" s="1"/>
  <c r="E231" i="81" s="1" a="1"/>
  <c r="E231" i="81" s="1"/>
  <c r="G110" i="85"/>
  <c r="D121" i="88"/>
  <c r="H121" i="88" s="1"/>
  <c r="F237" i="88" s="1" a="1"/>
  <c r="F237" i="88" s="1"/>
  <c r="E142" i="88"/>
  <c r="J205" i="87"/>
  <c r="G110" i="82"/>
  <c r="H140" i="83"/>
  <c r="J140" i="83" s="1"/>
  <c r="K140" i="83" s="1"/>
  <c r="D64" i="81"/>
  <c r="H64" i="81" s="1"/>
  <c r="E230" i="81" s="1" a="1"/>
  <c r="E230" i="81" s="1"/>
  <c r="D63" i="81"/>
  <c r="H63" i="81" s="1"/>
  <c r="E229" i="81" s="1" a="1"/>
  <c r="E229" i="81" s="1"/>
  <c r="D70" i="81"/>
  <c r="H70" i="81" s="1"/>
  <c r="E236" i="81" s="1" a="1"/>
  <c r="E236" i="81" s="1"/>
  <c r="D60" i="81"/>
  <c r="H60" i="81" s="1"/>
  <c r="E226" i="81" s="1" a="1"/>
  <c r="E226" i="81" s="1"/>
  <c r="J12" i="83"/>
  <c r="J183" i="81"/>
  <c r="K183" i="81" s="1"/>
  <c r="J157" i="82"/>
  <c r="D57" i="81"/>
  <c r="H57" i="81" s="1"/>
  <c r="E223" i="81" s="1" a="1"/>
  <c r="E223" i="81" s="1"/>
  <c r="D68" i="81"/>
  <c r="H68" i="81" s="1"/>
  <c r="E234" i="81" s="1" a="1"/>
  <c r="E234" i="81" s="1"/>
  <c r="D76" i="81"/>
  <c r="H76" i="81" s="1"/>
  <c r="E242" i="81" s="1" a="1"/>
  <c r="E242" i="81" s="1"/>
  <c r="H12" i="84" s="1"/>
  <c r="D75" i="81"/>
  <c r="H75" i="81" s="1"/>
  <c r="E241" i="81" s="1" a="1"/>
  <c r="E241" i="81" s="1"/>
  <c r="H183" i="83"/>
  <c r="G183" i="83"/>
  <c r="I183" i="83" s="1"/>
  <c r="H180" i="83"/>
  <c r="G180" i="83"/>
  <c r="I180" i="83" s="1"/>
  <c r="J157" i="85"/>
  <c r="E157" i="85"/>
  <c r="J184" i="81"/>
  <c r="K184" i="81" s="1"/>
  <c r="J182" i="83"/>
  <c r="K182" i="83" s="1"/>
  <c r="D66" i="83"/>
  <c r="H66" i="83" s="1"/>
  <c r="E232" i="83" s="1" a="1"/>
  <c r="E232" i="83" s="1"/>
  <c r="F28" i="84" s="1"/>
  <c r="D75" i="83"/>
  <c r="H75" i="83" s="1"/>
  <c r="E241" i="83" s="1" a="1"/>
  <c r="E241" i="83" s="1"/>
  <c r="D59" i="83"/>
  <c r="H59" i="83" s="1"/>
  <c r="E225" i="83" s="1" a="1"/>
  <c r="E225" i="83" s="1"/>
  <c r="D61" i="83"/>
  <c r="H61" i="83" s="1"/>
  <c r="E227" i="83" s="1" a="1"/>
  <c r="E227" i="83" s="1"/>
  <c r="E28" i="84" s="1"/>
  <c r="D55" i="83"/>
  <c r="H55" i="83" s="1"/>
  <c r="E221" i="83" s="1" a="1"/>
  <c r="E221" i="83" s="1"/>
  <c r="H137" i="83"/>
  <c r="J137" i="83" s="1"/>
  <c r="K137" i="83" s="1"/>
  <c r="J203" i="85"/>
  <c r="K203" i="85" s="1"/>
  <c r="J181" i="83"/>
  <c r="K181" i="83" s="1"/>
  <c r="D21" i="84"/>
  <c r="H12" i="83"/>
  <c r="D58" i="81"/>
  <c r="H58" i="81" s="1"/>
  <c r="E224" i="81" s="1" a="1"/>
  <c r="E224" i="81" s="1"/>
  <c r="D73" i="81"/>
  <c r="H73" i="81" s="1"/>
  <c r="E239" i="81" s="1" a="1"/>
  <c r="E239" i="81" s="1"/>
  <c r="D55" i="81"/>
  <c r="H55" i="81" s="1"/>
  <c r="E221" i="81" s="1" a="1"/>
  <c r="E221" i="81" s="1"/>
  <c r="D59" i="81"/>
  <c r="H59" i="81" s="1"/>
  <c r="E225" i="81" s="1" a="1"/>
  <c r="E225" i="81" s="1"/>
  <c r="D66" i="81"/>
  <c r="H66" i="81" s="1"/>
  <c r="E232" i="81" s="1" a="1"/>
  <c r="E232" i="81" s="1"/>
  <c r="F12" i="84" s="1"/>
  <c r="D62" i="81"/>
  <c r="H62" i="81" s="1"/>
  <c r="E228" i="81" s="1" a="1"/>
  <c r="E228" i="81" s="1"/>
  <c r="F21" i="84"/>
  <c r="K195" i="79"/>
  <c r="K205" i="79" s="1"/>
  <c r="J205" i="79"/>
  <c r="H94" i="83"/>
  <c r="H99" i="83" s="1"/>
  <c r="D99" i="83"/>
  <c r="J200" i="82"/>
  <c r="K200" i="82" s="1"/>
  <c r="J184" i="83"/>
  <c r="K184" i="83" s="1"/>
  <c r="D185" i="83"/>
  <c r="K180" i="81"/>
  <c r="G21" i="84"/>
  <c r="K195" i="82"/>
  <c r="E157" i="79"/>
  <c r="F117" i="89" l="1"/>
  <c r="D117" i="89"/>
  <c r="M125" i="89"/>
  <c r="M130" i="89"/>
  <c r="M116" i="89"/>
  <c r="E116" i="89"/>
  <c r="E117" i="89" s="1"/>
  <c r="N115" i="89"/>
  <c r="N124" i="89"/>
  <c r="N125" i="89" s="1"/>
  <c r="N126" i="89" s="1"/>
  <c r="D69" i="90"/>
  <c r="D91" i="90"/>
  <c r="D92" i="90" s="1"/>
  <c r="E77" i="103" s="1"/>
  <c r="E40" i="103"/>
  <c r="D100" i="90"/>
  <c r="E85" i="103" s="1"/>
  <c r="E9" i="103"/>
  <c r="D78" i="90"/>
  <c r="E41" i="103" s="1"/>
  <c r="J257" i="69"/>
  <c r="G115" i="89"/>
  <c r="D147" i="86"/>
  <c r="D149" i="86"/>
  <c r="H149" i="86" s="1"/>
  <c r="G223" i="86" s="1" a="1"/>
  <c r="G223" i="86" s="1"/>
  <c r="D150" i="86"/>
  <c r="H150" i="86" s="1"/>
  <c r="G224" i="86" s="1" a="1"/>
  <c r="G224" i="86" s="1"/>
  <c r="D148" i="86"/>
  <c r="H148" i="86" s="1"/>
  <c r="G222" i="86" s="1" a="1"/>
  <c r="G222" i="86" s="1"/>
  <c r="G100" i="81"/>
  <c r="E4" i="103"/>
  <c r="H43" i="90"/>
  <c r="C33" i="117"/>
  <c r="D29" i="117"/>
  <c r="E43" i="90"/>
  <c r="J252" i="107"/>
  <c r="D25" i="70"/>
  <c r="D27" i="70" s="1"/>
  <c r="K188" i="108"/>
  <c r="D67" i="106"/>
  <c r="H67" i="106" s="1"/>
  <c r="E233" i="106" s="1" a="1"/>
  <c r="E233" i="106" s="1"/>
  <c r="E31" i="103"/>
  <c r="D70" i="90"/>
  <c r="D71" i="90" s="1"/>
  <c r="D94" i="90" s="1"/>
  <c r="E30" i="103"/>
  <c r="D172" i="105"/>
  <c r="H172" i="105" s="1"/>
  <c r="G251" i="105" s="1" a="1"/>
  <c r="G251" i="105" s="1"/>
  <c r="D72" i="106"/>
  <c r="H72" i="106" s="1"/>
  <c r="E238" i="106" s="1" a="1"/>
  <c r="E238" i="106" s="1"/>
  <c r="D65" i="106"/>
  <c r="H65" i="106" s="1"/>
  <c r="E231" i="106" s="1" a="1"/>
  <c r="E231" i="106" s="1"/>
  <c r="D182" i="105"/>
  <c r="H182" i="105" s="1"/>
  <c r="G261" i="105" s="1" a="1"/>
  <c r="G261" i="105" s="1"/>
  <c r="D63" i="106"/>
  <c r="H63" i="106" s="1"/>
  <c r="E229" i="106" s="1" a="1"/>
  <c r="E229" i="106" s="1"/>
  <c r="D179" i="105"/>
  <c r="H179" i="105" s="1"/>
  <c r="G258" i="105" s="1" a="1"/>
  <c r="G258" i="105" s="1"/>
  <c r="D165" i="105"/>
  <c r="H165" i="105" s="1"/>
  <c r="G244" i="105" s="1" a="1"/>
  <c r="G244" i="105" s="1"/>
  <c r="D166" i="105"/>
  <c r="H166" i="105" s="1"/>
  <c r="G245" i="105" s="1" a="1"/>
  <c r="G245" i="105" s="1"/>
  <c r="D66" i="90"/>
  <c r="D88" i="90"/>
  <c r="E28" i="103"/>
  <c r="D74" i="106"/>
  <c r="H74" i="106" s="1"/>
  <c r="E240" i="106" s="1" a="1"/>
  <c r="E240" i="106" s="1"/>
  <c r="D181" i="105"/>
  <c r="H181" i="105" s="1"/>
  <c r="G260" i="105" s="1" a="1"/>
  <c r="G260" i="105" s="1"/>
  <c r="D176" i="105"/>
  <c r="H176" i="105" s="1"/>
  <c r="G255" i="105" s="1" a="1"/>
  <c r="G255" i="105" s="1"/>
  <c r="H187" i="108"/>
  <c r="D166" i="108"/>
  <c r="H166" i="108" s="1"/>
  <c r="G240" i="108" s="1" a="1"/>
  <c r="G240" i="108" s="1"/>
  <c r="J240" i="108" s="1"/>
  <c r="D168" i="108"/>
  <c r="H168" i="108" s="1"/>
  <c r="G242" i="108" s="1" a="1"/>
  <c r="G242" i="108" s="1"/>
  <c r="J242" i="108" s="1"/>
  <c r="D160" i="108"/>
  <c r="H160" i="108" s="1"/>
  <c r="G234" i="108" s="1" a="1"/>
  <c r="G234" i="108" s="1"/>
  <c r="J234" i="108" s="1"/>
  <c r="D163" i="108"/>
  <c r="H163" i="108" s="1"/>
  <c r="G237" i="108" s="1" a="1"/>
  <c r="G237" i="108" s="1"/>
  <c r="D156" i="108"/>
  <c r="H156" i="108" s="1"/>
  <c r="G230" i="108" s="1" a="1"/>
  <c r="G230" i="108" s="1"/>
  <c r="J230" i="108" s="1"/>
  <c r="D162" i="108"/>
  <c r="H162" i="108" s="1"/>
  <c r="G236" i="108" s="1" a="1"/>
  <c r="G236" i="108" s="1"/>
  <c r="J236" i="108" s="1"/>
  <c r="D150" i="108"/>
  <c r="H150" i="108" s="1"/>
  <c r="G224" i="108" s="1" a="1"/>
  <c r="G224" i="108" s="1"/>
  <c r="J224" i="108" s="1"/>
  <c r="D154" i="108"/>
  <c r="H154" i="108" s="1"/>
  <c r="G228" i="108" s="1" a="1"/>
  <c r="G228" i="108" s="1"/>
  <c r="J228" i="108" s="1"/>
  <c r="D148" i="108"/>
  <c r="H148" i="108" s="1"/>
  <c r="G222" i="108" s="1" a="1"/>
  <c r="G222" i="108" s="1"/>
  <c r="J222" i="108" s="1"/>
  <c r="D165" i="108"/>
  <c r="H165" i="108" s="1"/>
  <c r="G239" i="108" s="1" a="1"/>
  <c r="G239" i="108" s="1"/>
  <c r="J239" i="108" s="1"/>
  <c r="D149" i="108"/>
  <c r="H149" i="108" s="1"/>
  <c r="G223" i="108" s="1" a="1"/>
  <c r="G223" i="108" s="1"/>
  <c r="J223" i="108" s="1"/>
  <c r="D158" i="108"/>
  <c r="H158" i="108" s="1"/>
  <c r="G232" i="108" s="1" a="1"/>
  <c r="G232" i="108" s="1"/>
  <c r="D153" i="108"/>
  <c r="H153" i="108" s="1"/>
  <c r="G227" i="108" s="1" a="1"/>
  <c r="G227" i="108" s="1"/>
  <c r="J227" i="108" s="1"/>
  <c r="D147" i="108"/>
  <c r="H147" i="108" s="1"/>
  <c r="G221" i="108" s="1" a="1"/>
  <c r="G221" i="108" s="1"/>
  <c r="J221" i="108" s="1"/>
  <c r="D164" i="108"/>
  <c r="H164" i="108" s="1"/>
  <c r="G238" i="108" s="1" a="1"/>
  <c r="G238" i="108" s="1"/>
  <c r="J238" i="108" s="1"/>
  <c r="D157" i="108"/>
  <c r="H157" i="108" s="1"/>
  <c r="G231" i="108" s="1" a="1"/>
  <c r="G231" i="108" s="1"/>
  <c r="J231" i="108" s="1"/>
  <c r="D161" i="108"/>
  <c r="H161" i="108" s="1"/>
  <c r="G235" i="108" s="1" a="1"/>
  <c r="G235" i="108" s="1"/>
  <c r="J235" i="108" s="1"/>
  <c r="D155" i="108"/>
  <c r="H155" i="108" s="1"/>
  <c r="G229" i="108" s="1" a="1"/>
  <c r="G229" i="108" s="1"/>
  <c r="J229" i="108" s="1"/>
  <c r="D167" i="108"/>
  <c r="H167" i="108" s="1"/>
  <c r="G241" i="108" s="1" a="1"/>
  <c r="G241" i="108" s="1"/>
  <c r="J241" i="108" s="1"/>
  <c r="D159" i="108"/>
  <c r="H159" i="108" s="1"/>
  <c r="G233" i="108" s="1" a="1"/>
  <c r="G233" i="108" s="1"/>
  <c r="J233" i="108" s="1"/>
  <c r="D152" i="108"/>
  <c r="H152" i="108" s="1"/>
  <c r="G226" i="108" s="1" a="1"/>
  <c r="G226" i="108" s="1"/>
  <c r="J226" i="108" s="1"/>
  <c r="D151" i="108"/>
  <c r="H151" i="108" s="1"/>
  <c r="G225" i="108" s="1" a="1"/>
  <c r="G225" i="108" s="1"/>
  <c r="J225" i="108" s="1"/>
  <c r="D229" i="107"/>
  <c r="H229" i="107" s="1"/>
  <c r="H258" i="107" s="1" a="1"/>
  <c r="H258" i="107" s="1"/>
  <c r="I258" i="107" s="1"/>
  <c r="D224" i="107"/>
  <c r="H224" i="107" s="1"/>
  <c r="H253" i="107" s="1" a="1"/>
  <c r="H253" i="107" s="1"/>
  <c r="I253" i="107" s="1"/>
  <c r="D216" i="107"/>
  <c r="H216" i="107" s="1"/>
  <c r="H245" i="107" s="1" a="1"/>
  <c r="H245" i="107" s="1"/>
  <c r="I245" i="107" s="1"/>
  <c r="D233" i="107"/>
  <c r="H233" i="107" s="1"/>
  <c r="H262" i="107" s="1" a="1"/>
  <c r="H262" i="107" s="1"/>
  <c r="D215" i="107"/>
  <c r="H215" i="107" s="1"/>
  <c r="H244" i="107" s="1" a="1"/>
  <c r="H244" i="107" s="1"/>
  <c r="I244" i="107" s="1"/>
  <c r="D226" i="107"/>
  <c r="H226" i="107" s="1"/>
  <c r="H255" i="107" s="1" a="1"/>
  <c r="H255" i="107" s="1"/>
  <c r="I255" i="107" s="1"/>
  <c r="D225" i="107"/>
  <c r="H225" i="107" s="1"/>
  <c r="H254" i="107" s="1" a="1"/>
  <c r="H254" i="107" s="1"/>
  <c r="I254" i="107" s="1"/>
  <c r="D221" i="107"/>
  <c r="H221" i="107" s="1"/>
  <c r="H250" i="107" s="1" a="1"/>
  <c r="H250" i="107" s="1"/>
  <c r="I250" i="107" s="1"/>
  <c r="D227" i="107"/>
  <c r="H227" i="107" s="1"/>
  <c r="H256" i="107" s="1" a="1"/>
  <c r="H256" i="107" s="1"/>
  <c r="I256" i="107" s="1"/>
  <c r="D220" i="107"/>
  <c r="H220" i="107" s="1"/>
  <c r="H249" i="107" s="1" a="1"/>
  <c r="H249" i="107" s="1"/>
  <c r="I249" i="107" s="1"/>
  <c r="D222" i="107"/>
  <c r="H222" i="107" s="1"/>
  <c r="H251" i="107" s="1" a="1"/>
  <c r="H251" i="107" s="1"/>
  <c r="I251" i="107" s="1"/>
  <c r="D218" i="107"/>
  <c r="H218" i="107" s="1"/>
  <c r="H247" i="107" s="1" a="1"/>
  <c r="H247" i="107" s="1"/>
  <c r="D217" i="107"/>
  <c r="H217" i="107" s="1"/>
  <c r="H246" i="107" s="1" a="1"/>
  <c r="H246" i="107" s="1"/>
  <c r="I246" i="107" s="1"/>
  <c r="D213" i="107"/>
  <c r="H213" i="107" s="1"/>
  <c r="H242" i="107" s="1" a="1"/>
  <c r="H242" i="107" s="1"/>
  <c r="D219" i="107"/>
  <c r="H219" i="107" s="1"/>
  <c r="H248" i="107" s="1" a="1"/>
  <c r="H248" i="107" s="1"/>
  <c r="I248" i="107" s="1"/>
  <c r="D228" i="107"/>
  <c r="H228" i="107" s="1"/>
  <c r="H257" i="107" s="1" a="1"/>
  <c r="H257" i="107" s="1"/>
  <c r="D232" i="107"/>
  <c r="H232" i="107" s="1"/>
  <c r="H261" i="107" s="1" a="1"/>
  <c r="H261" i="107" s="1"/>
  <c r="I261" i="107" s="1"/>
  <c r="D214" i="107"/>
  <c r="H214" i="107" s="1"/>
  <c r="H243" i="107" s="1" a="1"/>
  <c r="H243" i="107" s="1"/>
  <c r="I243" i="107" s="1"/>
  <c r="D230" i="107"/>
  <c r="H230" i="107" s="1"/>
  <c r="H259" i="107" s="1" a="1"/>
  <c r="H259" i="107" s="1"/>
  <c r="I259" i="107" s="1"/>
  <c r="D223" i="107"/>
  <c r="H223" i="107" s="1"/>
  <c r="H252" i="107" s="1" a="1"/>
  <c r="H252" i="107" s="1"/>
  <c r="D231" i="107"/>
  <c r="H231" i="107" s="1"/>
  <c r="H260" i="107" s="1" a="1"/>
  <c r="H260" i="107" s="1"/>
  <c r="I260" i="107" s="1"/>
  <c r="D212" i="107"/>
  <c r="H212" i="107" s="1"/>
  <c r="H241" i="107" s="1" a="1"/>
  <c r="H241" i="107" s="1"/>
  <c r="I241" i="107" s="1"/>
  <c r="J142" i="106"/>
  <c r="D168" i="105"/>
  <c r="H168" i="105" s="1"/>
  <c r="G247" i="105" s="1" a="1"/>
  <c r="G247" i="105" s="1"/>
  <c r="D175" i="105"/>
  <c r="H175" i="105" s="1"/>
  <c r="G254" i="105" s="1" a="1"/>
  <c r="G254" i="105" s="1"/>
  <c r="D169" i="105"/>
  <c r="H169" i="105" s="1"/>
  <c r="G248" i="105" s="1" a="1"/>
  <c r="G248" i="105" s="1"/>
  <c r="D178" i="105"/>
  <c r="H178" i="105" s="1"/>
  <c r="G257" i="105" s="1" a="1"/>
  <c r="G257" i="105" s="1"/>
  <c r="D171" i="105"/>
  <c r="H171" i="105" s="1"/>
  <c r="G250" i="105" s="1" a="1"/>
  <c r="G250" i="105" s="1"/>
  <c r="J184" i="106"/>
  <c r="K184" i="106" s="1"/>
  <c r="D162" i="105"/>
  <c r="H162" i="105" s="1"/>
  <c r="G241" i="105" s="1" a="1"/>
  <c r="G241" i="105" s="1"/>
  <c r="D180" i="105"/>
  <c r="H180" i="105" s="1"/>
  <c r="G259" i="105" s="1" a="1"/>
  <c r="G259" i="105" s="1"/>
  <c r="D163" i="105"/>
  <c r="H163" i="105" s="1"/>
  <c r="G242" i="105" s="1" a="1"/>
  <c r="G242" i="105" s="1"/>
  <c r="D183" i="105"/>
  <c r="H183" i="105" s="1"/>
  <c r="G262" i="105" s="1" a="1"/>
  <c r="G262" i="105" s="1"/>
  <c r="D177" i="105"/>
  <c r="H177" i="105" s="1"/>
  <c r="G256" i="105" s="1" a="1"/>
  <c r="G256" i="105" s="1"/>
  <c r="D173" i="105"/>
  <c r="H173" i="105" s="1"/>
  <c r="G252" i="105" s="1" a="1"/>
  <c r="G252" i="105" s="1"/>
  <c r="D174" i="105"/>
  <c r="H174" i="105" s="1"/>
  <c r="G253" i="105" s="1" a="1"/>
  <c r="G253" i="105" s="1"/>
  <c r="D170" i="105"/>
  <c r="H170" i="105" s="1"/>
  <c r="G249" i="105" s="1" a="1"/>
  <c r="G249" i="105" s="1"/>
  <c r="D167" i="105"/>
  <c r="H167" i="105" s="1"/>
  <c r="G246" i="105" s="1" a="1"/>
  <c r="G246" i="105" s="1"/>
  <c r="D164" i="105"/>
  <c r="H164" i="105" s="1"/>
  <c r="G243" i="105" s="1" a="1"/>
  <c r="G243" i="105" s="1"/>
  <c r="D160" i="71"/>
  <c r="H160" i="71" s="1"/>
  <c r="G234" i="71" s="1" a="1"/>
  <c r="G234" i="71" s="1"/>
  <c r="J234" i="71" s="1"/>
  <c r="K205" i="105"/>
  <c r="J205" i="105"/>
  <c r="D59" i="106"/>
  <c r="H59" i="106" s="1"/>
  <c r="E225" i="106" s="1" a="1"/>
  <c r="E225" i="106" s="1"/>
  <c r="D69" i="106"/>
  <c r="H69" i="106" s="1"/>
  <c r="E235" i="106" s="1" a="1"/>
  <c r="E235" i="106" s="1"/>
  <c r="D64" i="106"/>
  <c r="H64" i="106" s="1"/>
  <c r="E230" i="106" s="1" a="1"/>
  <c r="E230" i="106" s="1"/>
  <c r="D57" i="106"/>
  <c r="H57" i="106" s="1"/>
  <c r="E223" i="106" s="1" a="1"/>
  <c r="E223" i="106" s="1"/>
  <c r="D60" i="106"/>
  <c r="H60" i="106" s="1"/>
  <c r="E226" i="106" s="1" a="1"/>
  <c r="E226" i="106" s="1"/>
  <c r="D55" i="106"/>
  <c r="H55" i="106" s="1"/>
  <c r="E221" i="106" s="1" a="1"/>
  <c r="E221" i="106" s="1"/>
  <c r="J255" i="87"/>
  <c r="G25" i="70"/>
  <c r="G27" i="70" s="1"/>
  <c r="D132" i="105"/>
  <c r="H132" i="105" s="1"/>
  <c r="F258" i="105" s="1" a="1"/>
  <c r="F258" i="105" s="1"/>
  <c r="D124" i="105"/>
  <c r="H124" i="105" s="1"/>
  <c r="F250" i="105" s="1" a="1"/>
  <c r="F250" i="105" s="1"/>
  <c r="D116" i="105"/>
  <c r="H116" i="105" s="1"/>
  <c r="F242" i="105" s="1" a="1"/>
  <c r="F242" i="105" s="1"/>
  <c r="D129" i="105"/>
  <c r="H129" i="105" s="1"/>
  <c r="F255" i="105" s="1" a="1"/>
  <c r="F255" i="105" s="1"/>
  <c r="D121" i="105"/>
  <c r="H121" i="105" s="1"/>
  <c r="F247" i="105" s="1" a="1"/>
  <c r="F247" i="105" s="1"/>
  <c r="D130" i="105"/>
  <c r="H130" i="105" s="1"/>
  <c r="F256" i="105" s="1" a="1"/>
  <c r="F256" i="105" s="1"/>
  <c r="J256" i="105" s="1"/>
  <c r="D122" i="105"/>
  <c r="H122" i="105" s="1"/>
  <c r="F248" i="105" s="1" a="1"/>
  <c r="F248" i="105" s="1"/>
  <c r="D135" i="105"/>
  <c r="H135" i="105" s="1"/>
  <c r="F261" i="105" s="1" a="1"/>
  <c r="F261" i="105" s="1"/>
  <c r="D127" i="105"/>
  <c r="H127" i="105" s="1"/>
  <c r="F253" i="105" s="1" a="1"/>
  <c r="F253" i="105" s="1"/>
  <c r="D119" i="105"/>
  <c r="H119" i="105" s="1"/>
  <c r="F245" i="105" s="1" a="1"/>
  <c r="F245" i="105" s="1"/>
  <c r="D136" i="105"/>
  <c r="H136" i="105" s="1"/>
  <c r="F262" i="105" s="1" a="1"/>
  <c r="F262" i="105" s="1"/>
  <c r="D128" i="105"/>
  <c r="H128" i="105" s="1"/>
  <c r="F254" i="105" s="1" a="1"/>
  <c r="F254" i="105" s="1"/>
  <c r="D120" i="105"/>
  <c r="H120" i="105" s="1"/>
  <c r="F246" i="105" s="1" a="1"/>
  <c r="F246" i="105" s="1"/>
  <c r="D133" i="105"/>
  <c r="H133" i="105" s="1"/>
  <c r="F259" i="105" s="1" a="1"/>
  <c r="F259" i="105" s="1"/>
  <c r="D125" i="105"/>
  <c r="H125" i="105" s="1"/>
  <c r="F251" i="105" s="1" a="1"/>
  <c r="F251" i="105" s="1"/>
  <c r="D117" i="105"/>
  <c r="H117" i="105" s="1"/>
  <c r="F243" i="105" s="1" a="1"/>
  <c r="F243" i="105" s="1"/>
  <c r="D134" i="105"/>
  <c r="H134" i="105" s="1"/>
  <c r="F260" i="105" s="1" a="1"/>
  <c r="F260" i="105" s="1"/>
  <c r="D126" i="105"/>
  <c r="H126" i="105" s="1"/>
  <c r="F252" i="105" s="1" a="1"/>
  <c r="F252" i="105" s="1"/>
  <c r="D118" i="105"/>
  <c r="H118" i="105" s="1"/>
  <c r="F244" i="105" s="1" a="1"/>
  <c r="F244" i="105" s="1"/>
  <c r="D131" i="105"/>
  <c r="H131" i="105" s="1"/>
  <c r="F257" i="105" s="1" a="1"/>
  <c r="F257" i="105" s="1"/>
  <c r="D123" i="105"/>
  <c r="H123" i="105" s="1"/>
  <c r="F249" i="105" s="1" a="1"/>
  <c r="F249" i="105" s="1"/>
  <c r="J249" i="105" s="1"/>
  <c r="D115" i="105"/>
  <c r="H115" i="105" s="1"/>
  <c r="F241" i="105" s="1" a="1"/>
  <c r="F241" i="105" s="1"/>
  <c r="J241" i="105" s="1"/>
  <c r="D73" i="106"/>
  <c r="H73" i="106" s="1"/>
  <c r="E239" i="106" s="1" a="1"/>
  <c r="E239" i="106" s="1"/>
  <c r="D75" i="106"/>
  <c r="H75" i="106" s="1"/>
  <c r="E241" i="106" s="1" a="1"/>
  <c r="E241" i="106" s="1"/>
  <c r="D58" i="106"/>
  <c r="H58" i="106" s="1"/>
  <c r="E224" i="106" s="1" a="1"/>
  <c r="E224" i="106" s="1"/>
  <c r="D56" i="106"/>
  <c r="H56" i="106" s="1"/>
  <c r="E222" i="106" s="1" a="1"/>
  <c r="E222" i="106" s="1"/>
  <c r="D71" i="106"/>
  <c r="H71" i="106" s="1"/>
  <c r="E237" i="106" s="1" a="1"/>
  <c r="E237" i="106" s="1"/>
  <c r="E142" i="106"/>
  <c r="G100" i="106"/>
  <c r="D125" i="106" s="1"/>
  <c r="H125" i="106" s="1"/>
  <c r="F241" i="106" s="1" a="1"/>
  <c r="F241" i="106" s="1"/>
  <c r="D66" i="106"/>
  <c r="H66" i="106" s="1"/>
  <c r="E232" i="106" s="1" a="1"/>
  <c r="E232" i="106" s="1"/>
  <c r="D62" i="106"/>
  <c r="H62" i="106" s="1"/>
  <c r="E228" i="106" s="1" a="1"/>
  <c r="E228" i="106" s="1"/>
  <c r="D76" i="106"/>
  <c r="H76" i="106" s="1"/>
  <c r="E242" i="106" s="1" a="1"/>
  <c r="E242" i="106" s="1"/>
  <c r="D61" i="106"/>
  <c r="H61" i="106" s="1"/>
  <c r="E227" i="106" s="1" a="1"/>
  <c r="E227" i="106" s="1"/>
  <c r="D70" i="106"/>
  <c r="H70" i="106" s="1"/>
  <c r="E236" i="106" s="1" a="1"/>
  <c r="E236" i="106" s="1"/>
  <c r="K180" i="106"/>
  <c r="D36" i="90"/>
  <c r="E25" i="70"/>
  <c r="E27" i="70" s="1"/>
  <c r="D123" i="79"/>
  <c r="H123" i="79" s="1"/>
  <c r="F249" i="79" s="1" a="1"/>
  <c r="F249" i="79" s="1"/>
  <c r="D130" i="79"/>
  <c r="H130" i="79" s="1"/>
  <c r="F256" i="79" s="1" a="1"/>
  <c r="F256" i="79" s="1"/>
  <c r="D129" i="82"/>
  <c r="H129" i="82" s="1"/>
  <c r="F255" i="82" s="1" a="1"/>
  <c r="F255" i="82" s="1"/>
  <c r="D115" i="79"/>
  <c r="H115" i="79" s="1"/>
  <c r="F241" i="79" s="1" a="1"/>
  <c r="F241" i="79" s="1"/>
  <c r="D125" i="79"/>
  <c r="H125" i="79" s="1"/>
  <c r="F251" i="79" s="1" a="1"/>
  <c r="F251" i="79" s="1"/>
  <c r="D133" i="79"/>
  <c r="H133" i="79" s="1"/>
  <c r="F259" i="79" s="1" a="1"/>
  <c r="F259" i="79" s="1"/>
  <c r="D117" i="79"/>
  <c r="H117" i="79" s="1"/>
  <c r="F243" i="79" s="1" a="1"/>
  <c r="F243" i="79" s="1"/>
  <c r="D126" i="79"/>
  <c r="H126" i="79" s="1"/>
  <c r="F252" i="79" s="1" a="1"/>
  <c r="F252" i="79" s="1"/>
  <c r="F7" i="84" s="1"/>
  <c r="D128" i="79"/>
  <c r="H128" i="79" s="1"/>
  <c r="F254" i="79" s="1" a="1"/>
  <c r="F254" i="79" s="1"/>
  <c r="D120" i="79"/>
  <c r="H120" i="79" s="1"/>
  <c r="F246" i="79" s="1" a="1"/>
  <c r="F246" i="79" s="1"/>
  <c r="D119" i="79"/>
  <c r="H119" i="79" s="1"/>
  <c r="F245" i="79" s="1" a="1"/>
  <c r="F245" i="79" s="1"/>
  <c r="D121" i="79"/>
  <c r="H121" i="79" s="1"/>
  <c r="F247" i="79" s="1" a="1"/>
  <c r="F247" i="79" s="1"/>
  <c r="E7" i="84" s="1"/>
  <c r="D134" i="79"/>
  <c r="H134" i="79" s="1"/>
  <c r="F260" i="79" s="1" a="1"/>
  <c r="F260" i="79" s="1"/>
  <c r="D118" i="79"/>
  <c r="H118" i="79" s="1"/>
  <c r="F244" i="79" s="1" a="1"/>
  <c r="F244" i="79" s="1"/>
  <c r="D116" i="79"/>
  <c r="H116" i="79" s="1"/>
  <c r="F242" i="79" s="1" a="1"/>
  <c r="F242" i="79" s="1"/>
  <c r="D7" i="84" s="1"/>
  <c r="D17" i="84" s="1"/>
  <c r="D136" i="79"/>
  <c r="H136" i="79" s="1"/>
  <c r="F262" i="79" s="1" a="1"/>
  <c r="F262" i="79" s="1"/>
  <c r="H7" i="84" s="1"/>
  <c r="D122" i="79"/>
  <c r="H122" i="79" s="1"/>
  <c r="F248" i="79" s="1" a="1"/>
  <c r="F248" i="79" s="1"/>
  <c r="D135" i="79"/>
  <c r="H135" i="79" s="1"/>
  <c r="F261" i="79" s="1" a="1"/>
  <c r="F261" i="79" s="1"/>
  <c r="D124" i="79"/>
  <c r="H124" i="79" s="1"/>
  <c r="F250" i="79" s="1" a="1"/>
  <c r="F250" i="79" s="1"/>
  <c r="D127" i="79"/>
  <c r="H127" i="79" s="1"/>
  <c r="F253" i="79" s="1" a="1"/>
  <c r="F253" i="79" s="1"/>
  <c r="D132" i="79"/>
  <c r="H132" i="79" s="1"/>
  <c r="F258" i="79" s="1" a="1"/>
  <c r="F258" i="79" s="1"/>
  <c r="D129" i="79"/>
  <c r="H129" i="79" s="1"/>
  <c r="F255" i="79" s="1" a="1"/>
  <c r="F255" i="79" s="1"/>
  <c r="D131" i="79"/>
  <c r="H131" i="79" s="1"/>
  <c r="F257" i="79" s="1" a="1"/>
  <c r="F257" i="79" s="1"/>
  <c r="G7" i="84" s="1"/>
  <c r="J142" i="81"/>
  <c r="D167" i="71"/>
  <c r="H167" i="71" s="1"/>
  <c r="G241" i="71" s="1" a="1"/>
  <c r="G241" i="71" s="1"/>
  <c r="J241" i="71" s="1"/>
  <c r="E142" i="81"/>
  <c r="D121" i="85"/>
  <c r="H121" i="85" s="1"/>
  <c r="F247" i="85" s="1" a="1"/>
  <c r="F247" i="85" s="1"/>
  <c r="E40" i="84" s="1"/>
  <c r="D168" i="71"/>
  <c r="H168" i="71" s="1"/>
  <c r="G242" i="71" s="1" a="1"/>
  <c r="G242" i="71" s="1"/>
  <c r="J242" i="71" s="1"/>
  <c r="D153" i="71"/>
  <c r="H153" i="71" s="1"/>
  <c r="G227" i="71" s="1" a="1"/>
  <c r="G227" i="71" s="1"/>
  <c r="E15" i="70" s="1"/>
  <c r="D152" i="71"/>
  <c r="H152" i="71" s="1"/>
  <c r="G226" i="71" s="1" a="1"/>
  <c r="G226" i="71" s="1"/>
  <c r="J226" i="71" s="1"/>
  <c r="D161" i="71"/>
  <c r="H161" i="71" s="1"/>
  <c r="G235" i="71" s="1" a="1"/>
  <c r="G235" i="71" s="1"/>
  <c r="J235" i="71" s="1"/>
  <c r="H207" i="69"/>
  <c r="E9" i="70"/>
  <c r="E11" i="70" s="1"/>
  <c r="H187" i="71"/>
  <c r="H25" i="70"/>
  <c r="H27" i="70" s="1"/>
  <c r="D148" i="71"/>
  <c r="H148" i="71" s="1"/>
  <c r="G222" i="71" s="1" a="1"/>
  <c r="G222" i="71" s="1"/>
  <c r="D15" i="70" s="1"/>
  <c r="D156" i="71"/>
  <c r="H156" i="71" s="1"/>
  <c r="G230" i="71" s="1" a="1"/>
  <c r="G230" i="71" s="1"/>
  <c r="J230" i="71" s="1"/>
  <c r="D164" i="71"/>
  <c r="H164" i="71" s="1"/>
  <c r="G238" i="71" s="1" a="1"/>
  <c r="G238" i="71" s="1"/>
  <c r="J238" i="71" s="1"/>
  <c r="D149" i="71"/>
  <c r="H149" i="71" s="1"/>
  <c r="G223" i="71" s="1" a="1"/>
  <c r="G223" i="71" s="1"/>
  <c r="J223" i="71" s="1"/>
  <c r="D157" i="71"/>
  <c r="H157" i="71" s="1"/>
  <c r="G231" i="71" s="1" a="1"/>
  <c r="G231" i="71" s="1"/>
  <c r="J231" i="71" s="1"/>
  <c r="D165" i="71"/>
  <c r="H165" i="71" s="1"/>
  <c r="G239" i="71" s="1" a="1"/>
  <c r="G239" i="71" s="1"/>
  <c r="J239" i="71" s="1"/>
  <c r="D154" i="71"/>
  <c r="H154" i="71" s="1"/>
  <c r="G228" i="71" s="1" a="1"/>
  <c r="G228" i="71" s="1"/>
  <c r="J228" i="71" s="1"/>
  <c r="D162" i="71"/>
  <c r="H162" i="71" s="1"/>
  <c r="G236" i="71" s="1" a="1"/>
  <c r="G236" i="71" s="1"/>
  <c r="J236" i="71" s="1"/>
  <c r="D147" i="71"/>
  <c r="H147" i="71" s="1"/>
  <c r="G221" i="71" s="1" a="1"/>
  <c r="G221" i="71" s="1"/>
  <c r="J221" i="71" s="1"/>
  <c r="D155" i="71"/>
  <c r="H155" i="71" s="1"/>
  <c r="G229" i="71" s="1" a="1"/>
  <c r="G229" i="71" s="1"/>
  <c r="J229" i="71" s="1"/>
  <c r="D163" i="71"/>
  <c r="H163" i="71" s="1"/>
  <c r="G237" i="71" s="1" a="1"/>
  <c r="G237" i="71" s="1"/>
  <c r="J237" i="71" s="1"/>
  <c r="D150" i="71"/>
  <c r="H150" i="71" s="1"/>
  <c r="G224" i="71" s="1" a="1"/>
  <c r="G224" i="71" s="1"/>
  <c r="J224" i="71" s="1"/>
  <c r="D158" i="71"/>
  <c r="H158" i="71" s="1"/>
  <c r="G232" i="71" s="1" a="1"/>
  <c r="G232" i="71" s="1"/>
  <c r="F15" i="70" s="1"/>
  <c r="D166" i="71"/>
  <c r="H166" i="71" s="1"/>
  <c r="G240" i="71" s="1" a="1"/>
  <c r="G240" i="71" s="1"/>
  <c r="J240" i="71" s="1"/>
  <c r="D151" i="71"/>
  <c r="H151" i="71" s="1"/>
  <c r="G225" i="71" s="1" a="1"/>
  <c r="G225" i="71" s="1"/>
  <c r="J225" i="71" s="1"/>
  <c r="D159" i="71"/>
  <c r="H159" i="71" s="1"/>
  <c r="G233" i="71" s="1" a="1"/>
  <c r="G233" i="71" s="1"/>
  <c r="J233" i="71" s="1"/>
  <c r="D134" i="85"/>
  <c r="H134" i="85" s="1"/>
  <c r="F260" i="85" s="1" a="1"/>
  <c r="F260" i="85" s="1"/>
  <c r="D115" i="85"/>
  <c r="H115" i="85" s="1"/>
  <c r="F241" i="85" s="1" a="1"/>
  <c r="F241" i="85" s="1"/>
  <c r="D116" i="85"/>
  <c r="H116" i="85" s="1"/>
  <c r="F242" i="85" s="1" a="1"/>
  <c r="F242" i="85" s="1"/>
  <c r="D40" i="84" s="1"/>
  <c r="D115" i="81"/>
  <c r="H115" i="81" s="1"/>
  <c r="F231" i="81" s="1" a="1"/>
  <c r="F231" i="81" s="1"/>
  <c r="H207" i="87"/>
  <c r="D117" i="81"/>
  <c r="H117" i="81" s="1"/>
  <c r="F233" i="81" s="1" a="1"/>
  <c r="F233" i="81" s="1"/>
  <c r="D121" i="81"/>
  <c r="H121" i="81" s="1"/>
  <c r="F237" i="81" s="1" a="1"/>
  <c r="F237" i="81" s="1"/>
  <c r="G13" i="84" s="1"/>
  <c r="D118" i="86"/>
  <c r="H118" i="86" s="1"/>
  <c r="F234" i="86" s="1" a="1"/>
  <c r="F234" i="86" s="1"/>
  <c r="D126" i="81"/>
  <c r="H126" i="81" s="1"/>
  <c r="F242" i="81" s="1" a="1"/>
  <c r="F242" i="81" s="1"/>
  <c r="H13" i="84" s="1"/>
  <c r="D173" i="82"/>
  <c r="H173" i="82" s="1"/>
  <c r="G252" i="82" s="1" a="1"/>
  <c r="G252" i="82" s="1"/>
  <c r="F24" i="84" s="1"/>
  <c r="D131" i="85"/>
  <c r="H131" i="85" s="1"/>
  <c r="F257" i="85" s="1" a="1"/>
  <c r="F257" i="85" s="1"/>
  <c r="G40" i="84" s="1"/>
  <c r="D119" i="82"/>
  <c r="H119" i="82" s="1"/>
  <c r="F245" i="82" s="1" a="1"/>
  <c r="F245" i="82" s="1"/>
  <c r="D135" i="85"/>
  <c r="H135" i="85" s="1"/>
  <c r="F261" i="85" s="1" a="1"/>
  <c r="F261" i="85" s="1"/>
  <c r="D120" i="85"/>
  <c r="H120" i="85" s="1"/>
  <c r="F246" i="85" s="1" a="1"/>
  <c r="F246" i="85" s="1"/>
  <c r="D132" i="82"/>
  <c r="H132" i="82" s="1"/>
  <c r="F258" i="82" s="1" a="1"/>
  <c r="F258" i="82" s="1"/>
  <c r="D118" i="85"/>
  <c r="H118" i="85" s="1"/>
  <c r="F244" i="85" s="1" a="1"/>
  <c r="F244" i="85" s="1"/>
  <c r="D175" i="79"/>
  <c r="H175" i="79" s="1"/>
  <c r="G254" i="79" s="1" a="1"/>
  <c r="G254" i="79" s="1"/>
  <c r="D133" i="85"/>
  <c r="H133" i="85" s="1"/>
  <c r="F259" i="85" s="1" a="1"/>
  <c r="F259" i="85" s="1"/>
  <c r="D119" i="81"/>
  <c r="H119" i="81" s="1"/>
  <c r="F235" i="81" s="1" a="1"/>
  <c r="F235" i="81" s="1"/>
  <c r="D116" i="81"/>
  <c r="H116" i="81" s="1"/>
  <c r="F232" i="81" s="1" a="1"/>
  <c r="F232" i="81" s="1"/>
  <c r="F13" i="84" s="1"/>
  <c r="D114" i="81"/>
  <c r="H114" i="81" s="1"/>
  <c r="F230" i="81" s="1" a="1"/>
  <c r="F230" i="81" s="1"/>
  <c r="D124" i="82"/>
  <c r="H124" i="82" s="1"/>
  <c r="F250" i="82" s="1" a="1"/>
  <c r="F250" i="82" s="1"/>
  <c r="D179" i="82"/>
  <c r="H179" i="82" s="1"/>
  <c r="G258" i="82" s="1" a="1"/>
  <c r="G258" i="82" s="1"/>
  <c r="D112" i="81"/>
  <c r="H112" i="81" s="1"/>
  <c r="F228" i="81" s="1" a="1"/>
  <c r="F228" i="81" s="1"/>
  <c r="D105" i="81"/>
  <c r="H105" i="81" s="1"/>
  <c r="F221" i="81" s="1" a="1"/>
  <c r="F221" i="81" s="1"/>
  <c r="D9" i="70"/>
  <c r="D123" i="86"/>
  <c r="H123" i="86" s="1"/>
  <c r="F239" i="86" s="1" a="1"/>
  <c r="F239" i="86" s="1"/>
  <c r="D125" i="82"/>
  <c r="H125" i="82" s="1"/>
  <c r="F251" i="82" s="1" a="1"/>
  <c r="F251" i="82" s="1"/>
  <c r="D117" i="82"/>
  <c r="H117" i="82" s="1"/>
  <c r="F243" i="82" s="1" a="1"/>
  <c r="F243" i="82" s="1"/>
  <c r="D136" i="82"/>
  <c r="H136" i="82" s="1"/>
  <c r="F262" i="82" s="1" a="1"/>
  <c r="F262" i="82" s="1"/>
  <c r="D108" i="81"/>
  <c r="H108" i="81" s="1"/>
  <c r="F224" i="81" s="1" a="1"/>
  <c r="F224" i="81" s="1"/>
  <c r="D111" i="81"/>
  <c r="H111" i="81" s="1"/>
  <c r="F227" i="81" s="1" a="1"/>
  <c r="F227" i="81" s="1"/>
  <c r="E13" i="84" s="1"/>
  <c r="J258" i="87"/>
  <c r="D117" i="86"/>
  <c r="H117" i="86" s="1"/>
  <c r="F233" i="86" s="1" a="1"/>
  <c r="F233" i="86" s="1"/>
  <c r="D130" i="82"/>
  <c r="H130" i="82" s="1"/>
  <c r="F256" i="82" s="1" a="1"/>
  <c r="F256" i="82" s="1"/>
  <c r="D115" i="82"/>
  <c r="H115" i="82" s="1"/>
  <c r="F241" i="82" s="1" a="1"/>
  <c r="F241" i="82" s="1"/>
  <c r="D128" i="82"/>
  <c r="H128" i="82" s="1"/>
  <c r="F254" i="82" s="1" a="1"/>
  <c r="F254" i="82" s="1"/>
  <c r="D125" i="81"/>
  <c r="H125" i="81" s="1"/>
  <c r="F241" i="81" s="1" a="1"/>
  <c r="F241" i="81" s="1"/>
  <c r="D123" i="81"/>
  <c r="H123" i="81" s="1"/>
  <c r="F239" i="81" s="1" a="1"/>
  <c r="F239" i="81" s="1"/>
  <c r="D106" i="81"/>
  <c r="H106" i="81" s="1"/>
  <c r="F222" i="81" s="1" a="1"/>
  <c r="F222" i="81" s="1"/>
  <c r="D13" i="84" s="1"/>
  <c r="D109" i="81"/>
  <c r="H109" i="81" s="1"/>
  <c r="F225" i="81" s="1" a="1"/>
  <c r="F225" i="81" s="1"/>
  <c r="D118" i="81"/>
  <c r="H118" i="81" s="1"/>
  <c r="F234" i="81" s="1" a="1"/>
  <c r="F234" i="81" s="1"/>
  <c r="D120" i="82"/>
  <c r="H120" i="82" s="1"/>
  <c r="F246" i="82" s="1" a="1"/>
  <c r="F246" i="82" s="1"/>
  <c r="D178" i="82"/>
  <c r="H178" i="82" s="1"/>
  <c r="G257" i="82" s="1" a="1"/>
  <c r="G257" i="82" s="1"/>
  <c r="G24" i="84" s="1"/>
  <c r="D110" i="86"/>
  <c r="H110" i="86" s="1"/>
  <c r="F226" i="86" s="1" a="1"/>
  <c r="F226" i="86" s="1"/>
  <c r="D111" i="86"/>
  <c r="H111" i="86" s="1"/>
  <c r="F227" i="86" s="1" a="1"/>
  <c r="F227" i="86" s="1"/>
  <c r="E46" i="84" s="1"/>
  <c r="D125" i="86"/>
  <c r="H125" i="86" s="1"/>
  <c r="F241" i="86" s="1" a="1"/>
  <c r="F241" i="86" s="1"/>
  <c r="D108" i="86"/>
  <c r="H108" i="86" s="1"/>
  <c r="F224" i="86" s="1" a="1"/>
  <c r="F224" i="86" s="1"/>
  <c r="D116" i="86"/>
  <c r="H116" i="86" s="1"/>
  <c r="F232" i="86" s="1" a="1"/>
  <c r="F232" i="86" s="1"/>
  <c r="F46" i="84" s="1"/>
  <c r="D120" i="86"/>
  <c r="H120" i="86" s="1"/>
  <c r="F236" i="86" s="1" a="1"/>
  <c r="F236" i="86" s="1"/>
  <c r="D124" i="86"/>
  <c r="H124" i="86" s="1"/>
  <c r="F240" i="86" s="1" a="1"/>
  <c r="F240" i="86" s="1"/>
  <c r="D122" i="81"/>
  <c r="H122" i="81" s="1"/>
  <c r="F238" i="81" s="1" a="1"/>
  <c r="F238" i="81" s="1"/>
  <c r="D127" i="82"/>
  <c r="H127" i="82" s="1"/>
  <c r="F253" i="82" s="1" a="1"/>
  <c r="F253" i="82" s="1"/>
  <c r="D118" i="82"/>
  <c r="H118" i="82" s="1"/>
  <c r="F244" i="82" s="1" a="1"/>
  <c r="F244" i="82" s="1"/>
  <c r="D113" i="81"/>
  <c r="H113" i="81" s="1"/>
  <c r="F229" i="81" s="1" a="1"/>
  <c r="F229" i="81" s="1"/>
  <c r="D124" i="81"/>
  <c r="H124" i="81" s="1"/>
  <c r="F240" i="81" s="1" a="1"/>
  <c r="F240" i="81" s="1"/>
  <c r="D110" i="81"/>
  <c r="H110" i="81" s="1"/>
  <c r="F226" i="81" s="1" a="1"/>
  <c r="F226" i="81" s="1"/>
  <c r="D107" i="81"/>
  <c r="H107" i="81" s="1"/>
  <c r="F223" i="81" s="1" a="1"/>
  <c r="F223" i="81" s="1"/>
  <c r="D120" i="81"/>
  <c r="H120" i="81" s="1"/>
  <c r="F236" i="81" s="1" a="1"/>
  <c r="F236" i="81" s="1"/>
  <c r="D166" i="88"/>
  <c r="H166" i="88" s="1"/>
  <c r="G240" i="88" s="1" a="1"/>
  <c r="G240" i="88" s="1"/>
  <c r="J240" i="88" s="1"/>
  <c r="K208" i="69"/>
  <c r="D215" i="69" s="1"/>
  <c r="H215" i="69" s="1"/>
  <c r="H244" i="69" s="1" a="1"/>
  <c r="H244" i="69" s="1"/>
  <c r="I244" i="69" s="1"/>
  <c r="J249" i="87"/>
  <c r="D112" i="86"/>
  <c r="H112" i="86" s="1"/>
  <c r="F228" i="86" s="1" a="1"/>
  <c r="F228" i="86" s="1"/>
  <c r="D115" i="86"/>
  <c r="H115" i="86" s="1"/>
  <c r="F231" i="86" s="1" a="1"/>
  <c r="F231" i="86" s="1"/>
  <c r="K188" i="71"/>
  <c r="H9" i="70"/>
  <c r="H11" i="70" s="1"/>
  <c r="F9" i="70"/>
  <c r="F11" i="70" s="1"/>
  <c r="D153" i="88"/>
  <c r="H153" i="88" s="1"/>
  <c r="G227" i="88" s="1" a="1"/>
  <c r="G227" i="88" s="1"/>
  <c r="E47" i="70" s="1"/>
  <c r="E49" i="70" s="1"/>
  <c r="D167" i="82"/>
  <c r="H167" i="82" s="1"/>
  <c r="G246" i="82" s="1" a="1"/>
  <c r="G246" i="82" s="1"/>
  <c r="D165" i="88"/>
  <c r="H165" i="88" s="1"/>
  <c r="G239" i="88" s="1" a="1"/>
  <c r="G239" i="88" s="1"/>
  <c r="J239" i="88" s="1"/>
  <c r="D151" i="88"/>
  <c r="H151" i="88" s="1"/>
  <c r="G225" i="88" s="1" a="1"/>
  <c r="G225" i="88" s="1"/>
  <c r="J225" i="88" s="1"/>
  <c r="D168" i="88"/>
  <c r="H168" i="88" s="1"/>
  <c r="G242" i="88" s="1" a="1"/>
  <c r="G242" i="88" s="1"/>
  <c r="J242" i="88" s="1"/>
  <c r="J245" i="87"/>
  <c r="D161" i="86"/>
  <c r="H161" i="86" s="1"/>
  <c r="G235" i="86" s="1" a="1"/>
  <c r="G235" i="86" s="1"/>
  <c r="D164" i="86"/>
  <c r="H164" i="86" s="1"/>
  <c r="G238" i="86" s="1" a="1"/>
  <c r="G238" i="86" s="1"/>
  <c r="D163" i="86"/>
  <c r="H163" i="86" s="1"/>
  <c r="G237" i="86" s="1" a="1"/>
  <c r="G237" i="86" s="1"/>
  <c r="H147" i="86"/>
  <c r="G221" i="86" s="1" a="1"/>
  <c r="G221" i="86" s="1"/>
  <c r="D154" i="86"/>
  <c r="H154" i="86" s="1"/>
  <c r="G228" i="86" s="1" a="1"/>
  <c r="G228" i="86" s="1"/>
  <c r="D157" i="86"/>
  <c r="H157" i="86" s="1"/>
  <c r="G231" i="86" s="1" a="1"/>
  <c r="G231" i="86" s="1"/>
  <c r="D160" i="86"/>
  <c r="H160" i="86" s="1"/>
  <c r="G234" i="86" s="1" a="1"/>
  <c r="G234" i="86" s="1"/>
  <c r="D159" i="86"/>
  <c r="H159" i="86" s="1"/>
  <c r="G233" i="86" s="1" a="1"/>
  <c r="G233" i="86" s="1"/>
  <c r="D166" i="86"/>
  <c r="H166" i="86" s="1"/>
  <c r="G240" i="86" s="1" a="1"/>
  <c r="G240" i="86" s="1"/>
  <c r="D153" i="86"/>
  <c r="H153" i="86" s="1"/>
  <c r="G227" i="86" s="1" a="1"/>
  <c r="G227" i="86" s="1"/>
  <c r="D152" i="86"/>
  <c r="H152" i="86" s="1"/>
  <c r="G226" i="86" s="1" a="1"/>
  <c r="G226" i="86" s="1"/>
  <c r="D155" i="86"/>
  <c r="H155" i="86" s="1"/>
  <c r="G229" i="86" s="1" a="1"/>
  <c r="G229" i="86" s="1"/>
  <c r="D162" i="86"/>
  <c r="H162" i="86" s="1"/>
  <c r="G236" i="86" s="1" a="1"/>
  <c r="G236" i="86" s="1"/>
  <c r="D168" i="86"/>
  <c r="H168" i="86" s="1"/>
  <c r="G242" i="86" s="1" a="1"/>
  <c r="G242" i="86" s="1"/>
  <c r="D165" i="86"/>
  <c r="H165" i="86" s="1"/>
  <c r="G239" i="86" s="1" a="1"/>
  <c r="G239" i="86" s="1"/>
  <c r="D167" i="86"/>
  <c r="H167" i="86" s="1"/>
  <c r="G241" i="86" s="1" a="1"/>
  <c r="G241" i="86" s="1"/>
  <c r="D151" i="86"/>
  <c r="H151" i="86" s="1"/>
  <c r="G225" i="86" s="1" a="1"/>
  <c r="G225" i="86" s="1"/>
  <c r="D158" i="86"/>
  <c r="H158" i="86" s="1"/>
  <c r="G232" i="86" s="1" a="1"/>
  <c r="G232" i="86" s="1"/>
  <c r="F47" i="84" s="1"/>
  <c r="D156" i="86"/>
  <c r="H156" i="86" s="1"/>
  <c r="G230" i="86" s="1" a="1"/>
  <c r="G230" i="86" s="1"/>
  <c r="D131" i="82"/>
  <c r="H131" i="82" s="1"/>
  <c r="F257" i="82" s="1" a="1"/>
  <c r="F257" i="82" s="1"/>
  <c r="G23" i="84" s="1"/>
  <c r="D133" i="82"/>
  <c r="H133" i="82" s="1"/>
  <c r="F259" i="82" s="1" a="1"/>
  <c r="F259" i="82" s="1"/>
  <c r="D121" i="82"/>
  <c r="H121" i="82" s="1"/>
  <c r="F247" i="82" s="1" a="1"/>
  <c r="F247" i="82" s="1"/>
  <c r="E23" i="84" s="1"/>
  <c r="D126" i="82"/>
  <c r="H126" i="82" s="1"/>
  <c r="F252" i="82" s="1" a="1"/>
  <c r="F252" i="82" s="1"/>
  <c r="F23" i="84" s="1"/>
  <c r="D123" i="82"/>
  <c r="H123" i="82" s="1"/>
  <c r="F249" i="82" s="1" a="1"/>
  <c r="F249" i="82" s="1"/>
  <c r="D171" i="82"/>
  <c r="H171" i="82" s="1"/>
  <c r="G250" i="82" s="1" a="1"/>
  <c r="G250" i="82" s="1"/>
  <c r="D183" i="82"/>
  <c r="H183" i="82" s="1"/>
  <c r="G262" i="82" s="1" a="1"/>
  <c r="G262" i="82" s="1"/>
  <c r="H24" i="84" s="1"/>
  <c r="D176" i="82"/>
  <c r="H176" i="82" s="1"/>
  <c r="G255" i="82" s="1" a="1"/>
  <c r="G255" i="82" s="1"/>
  <c r="D136" i="85"/>
  <c r="H136" i="85" s="1"/>
  <c r="F262" i="85" s="1" a="1"/>
  <c r="F262" i="85" s="1"/>
  <c r="H40" i="84" s="1"/>
  <c r="D147" i="88"/>
  <c r="H147" i="88" s="1"/>
  <c r="G221" i="88" s="1" a="1"/>
  <c r="G221" i="88" s="1"/>
  <c r="J221" i="88" s="1"/>
  <c r="D161" i="88"/>
  <c r="H161" i="88" s="1"/>
  <c r="G235" i="88" s="1" a="1"/>
  <c r="G235" i="88" s="1"/>
  <c r="J235" i="88" s="1"/>
  <c r="F25" i="70"/>
  <c r="F27" i="70" s="1"/>
  <c r="J253" i="87"/>
  <c r="D107" i="86"/>
  <c r="H107" i="86" s="1"/>
  <c r="F223" i="86" s="1" a="1"/>
  <c r="F223" i="86" s="1"/>
  <c r="D122" i="86"/>
  <c r="H122" i="86" s="1"/>
  <c r="F238" i="86" s="1" a="1"/>
  <c r="F238" i="86" s="1"/>
  <c r="D126" i="86"/>
  <c r="H126" i="86" s="1"/>
  <c r="F242" i="86" s="1" a="1"/>
  <c r="F242" i="86" s="1"/>
  <c r="D106" i="86"/>
  <c r="H106" i="86" s="1"/>
  <c r="F222" i="86" s="1" a="1"/>
  <c r="F222" i="86" s="1"/>
  <c r="D121" i="86"/>
  <c r="H121" i="86" s="1"/>
  <c r="F237" i="86" s="1" a="1"/>
  <c r="F237" i="86" s="1"/>
  <c r="D150" i="88"/>
  <c r="H150" i="88" s="1"/>
  <c r="G224" i="88" s="1" a="1"/>
  <c r="G224" i="88" s="1"/>
  <c r="J224" i="88" s="1"/>
  <c r="D154" i="88"/>
  <c r="H154" i="88" s="1"/>
  <c r="G228" i="88" s="1" a="1"/>
  <c r="G228" i="88" s="1"/>
  <c r="J228" i="88" s="1"/>
  <c r="D175" i="82"/>
  <c r="H175" i="82" s="1"/>
  <c r="G254" i="82" s="1" a="1"/>
  <c r="G254" i="82" s="1"/>
  <c r="D122" i="82"/>
  <c r="H122" i="82" s="1"/>
  <c r="F248" i="82" s="1" a="1"/>
  <c r="F248" i="82" s="1"/>
  <c r="D116" i="82"/>
  <c r="H116" i="82" s="1"/>
  <c r="F242" i="82" s="1" a="1"/>
  <c r="F242" i="82" s="1"/>
  <c r="D23" i="84" s="1"/>
  <c r="D135" i="82"/>
  <c r="H135" i="82" s="1"/>
  <c r="F261" i="82" s="1" a="1"/>
  <c r="F261" i="82" s="1"/>
  <c r="D134" i="82"/>
  <c r="H134" i="82" s="1"/>
  <c r="F260" i="82" s="1" a="1"/>
  <c r="F260" i="82" s="1"/>
  <c r="D170" i="82"/>
  <c r="H170" i="82" s="1"/>
  <c r="G249" i="82" s="1" a="1"/>
  <c r="G249" i="82" s="1"/>
  <c r="D182" i="82"/>
  <c r="H182" i="82" s="1"/>
  <c r="G261" i="82" s="1" a="1"/>
  <c r="G261" i="82" s="1"/>
  <c r="D166" i="82"/>
  <c r="H166" i="82" s="1"/>
  <c r="G245" i="82" s="1" a="1"/>
  <c r="G245" i="82" s="1"/>
  <c r="D155" i="88"/>
  <c r="H155" i="88" s="1"/>
  <c r="G229" i="88" s="1" a="1"/>
  <c r="G229" i="88" s="1"/>
  <c r="J229" i="88" s="1"/>
  <c r="D167" i="88"/>
  <c r="H167" i="88" s="1"/>
  <c r="G241" i="88" s="1" a="1"/>
  <c r="G241" i="88" s="1"/>
  <c r="J241" i="88" s="1"/>
  <c r="D159" i="88"/>
  <c r="H159" i="88" s="1"/>
  <c r="G233" i="88" s="1" a="1"/>
  <c r="G233" i="88" s="1"/>
  <c r="J233" i="88" s="1"/>
  <c r="J243" i="87"/>
  <c r="J250" i="87"/>
  <c r="J251" i="87"/>
  <c r="J256" i="87"/>
  <c r="K181" i="86"/>
  <c r="K185" i="86" s="1"/>
  <c r="J185" i="86"/>
  <c r="D119" i="86"/>
  <c r="H119" i="86" s="1"/>
  <c r="F235" i="86" s="1" a="1"/>
  <c r="F235" i="86" s="1"/>
  <c r="D114" i="86"/>
  <c r="H114" i="86" s="1"/>
  <c r="F230" i="86" s="1" a="1"/>
  <c r="F230" i="86" s="1"/>
  <c r="D109" i="86"/>
  <c r="H109" i="86" s="1"/>
  <c r="F225" i="86" s="1" a="1"/>
  <c r="F225" i="86" s="1"/>
  <c r="D105" i="86"/>
  <c r="H105" i="86" s="1"/>
  <c r="F221" i="86" s="1" a="1"/>
  <c r="F221" i="86" s="1"/>
  <c r="D113" i="86"/>
  <c r="H113" i="86" s="1"/>
  <c r="F229" i="86" s="1" a="1"/>
  <c r="F229" i="86" s="1"/>
  <c r="D128" i="85"/>
  <c r="H128" i="85" s="1"/>
  <c r="F254" i="85" s="1" a="1"/>
  <c r="F254" i="85" s="1"/>
  <c r="D127" i="85"/>
  <c r="H127" i="85" s="1"/>
  <c r="F253" i="85" s="1" a="1"/>
  <c r="F253" i="85" s="1"/>
  <c r="D126" i="85"/>
  <c r="H126" i="85" s="1"/>
  <c r="F252" i="85" s="1" a="1"/>
  <c r="F252" i="85" s="1"/>
  <c r="F40" i="84" s="1"/>
  <c r="F46" i="70"/>
  <c r="K188" i="88"/>
  <c r="H187" i="88"/>
  <c r="K208" i="72"/>
  <c r="H207" i="72"/>
  <c r="K208" i="87"/>
  <c r="K188" i="73"/>
  <c r="H187" i="73"/>
  <c r="D129" i="85"/>
  <c r="H129" i="85" s="1"/>
  <c r="F255" i="85" s="1" a="1"/>
  <c r="F255" i="85" s="1"/>
  <c r="D174" i="82"/>
  <c r="H174" i="82" s="1"/>
  <c r="G253" i="82" s="1" a="1"/>
  <c r="G253" i="82" s="1"/>
  <c r="D165" i="82"/>
  <c r="H165" i="82" s="1"/>
  <c r="G244" i="82" s="1" a="1"/>
  <c r="G244" i="82" s="1"/>
  <c r="D163" i="82"/>
  <c r="H163" i="82" s="1"/>
  <c r="G242" i="82" s="1" a="1"/>
  <c r="G242" i="82" s="1"/>
  <c r="D24" i="84" s="1"/>
  <c r="D181" i="82"/>
  <c r="H181" i="82" s="1"/>
  <c r="G260" i="82" s="1" a="1"/>
  <c r="G260" i="82" s="1"/>
  <c r="D169" i="82"/>
  <c r="H169" i="82" s="1"/>
  <c r="G248" i="82" s="1" a="1"/>
  <c r="G248" i="82" s="1"/>
  <c r="D180" i="82"/>
  <c r="H180" i="82" s="1"/>
  <c r="G259" i="82" s="1" a="1"/>
  <c r="G259" i="82" s="1"/>
  <c r="D130" i="85"/>
  <c r="H130" i="85" s="1"/>
  <c r="F256" i="85" s="1" a="1"/>
  <c r="F256" i="85" s="1"/>
  <c r="D119" i="85"/>
  <c r="H119" i="85" s="1"/>
  <c r="F245" i="85" s="1" a="1"/>
  <c r="F245" i="85" s="1"/>
  <c r="D123" i="85"/>
  <c r="H123" i="85" s="1"/>
  <c r="F249" i="85" s="1" a="1"/>
  <c r="F249" i="85" s="1"/>
  <c r="D117" i="85"/>
  <c r="H117" i="85" s="1"/>
  <c r="F243" i="85" s="1" a="1"/>
  <c r="F243" i="85" s="1"/>
  <c r="E46" i="70"/>
  <c r="H46" i="70"/>
  <c r="E32" i="103"/>
  <c r="F31" i="70"/>
  <c r="F33" i="70" s="1"/>
  <c r="H31" i="70"/>
  <c r="H33" i="70" s="1"/>
  <c r="E31" i="70"/>
  <c r="E33" i="70" s="1"/>
  <c r="D162" i="88"/>
  <c r="H162" i="88" s="1"/>
  <c r="G236" i="88" s="1" a="1"/>
  <c r="G236" i="88" s="1"/>
  <c r="J236" i="88" s="1"/>
  <c r="D156" i="88"/>
  <c r="H156" i="88" s="1"/>
  <c r="G230" i="88" s="1" a="1"/>
  <c r="G230" i="88" s="1"/>
  <c r="J230" i="88" s="1"/>
  <c r="D148" i="88"/>
  <c r="H148" i="88" s="1"/>
  <c r="G222" i="88" s="1" a="1"/>
  <c r="G222" i="88" s="1"/>
  <c r="D160" i="88"/>
  <c r="H160" i="88" s="1"/>
  <c r="G234" i="88" s="1" a="1"/>
  <c r="G234" i="88" s="1"/>
  <c r="J234" i="88" s="1"/>
  <c r="D157" i="88"/>
  <c r="H157" i="88" s="1"/>
  <c r="G231" i="88" s="1" a="1"/>
  <c r="G231" i="88" s="1"/>
  <c r="J231" i="88" s="1"/>
  <c r="F40" i="70"/>
  <c r="F43" i="70" s="1"/>
  <c r="J252" i="87"/>
  <c r="J246" i="87"/>
  <c r="J262" i="87"/>
  <c r="H41" i="70"/>
  <c r="K141" i="83"/>
  <c r="D31" i="70"/>
  <c r="D33" i="70" s="1"/>
  <c r="G31" i="70"/>
  <c r="G33" i="70" s="1"/>
  <c r="J230" i="73"/>
  <c r="D40" i="70"/>
  <c r="D43" i="70" s="1"/>
  <c r="J242" i="87"/>
  <c r="G40" i="70"/>
  <c r="G43" i="70" s="1"/>
  <c r="J257" i="87"/>
  <c r="J259" i="87"/>
  <c r="J248" i="87"/>
  <c r="D124" i="85"/>
  <c r="H124" i="85" s="1"/>
  <c r="F250" i="85" s="1" a="1"/>
  <c r="F250" i="85" s="1"/>
  <c r="D164" i="82"/>
  <c r="H164" i="82" s="1"/>
  <c r="G243" i="82" s="1" a="1"/>
  <c r="G243" i="82" s="1"/>
  <c r="D177" i="82"/>
  <c r="H177" i="82" s="1"/>
  <c r="G256" i="82" s="1" a="1"/>
  <c r="G256" i="82" s="1"/>
  <c r="D168" i="82"/>
  <c r="H168" i="82" s="1"/>
  <c r="G247" i="82" s="1" a="1"/>
  <c r="G247" i="82" s="1"/>
  <c r="E24" i="84" s="1"/>
  <c r="D172" i="82"/>
  <c r="H172" i="82" s="1"/>
  <c r="G251" i="82" s="1" a="1"/>
  <c r="G251" i="82" s="1"/>
  <c r="D162" i="82"/>
  <c r="H162" i="82" s="1"/>
  <c r="G241" i="82" s="1" a="1"/>
  <c r="G241" i="82" s="1"/>
  <c r="D125" i="85"/>
  <c r="H125" i="85" s="1"/>
  <c r="F251" i="85" s="1" a="1"/>
  <c r="F251" i="85" s="1"/>
  <c r="D122" i="85"/>
  <c r="H122" i="85" s="1"/>
  <c r="F248" i="85" s="1" a="1"/>
  <c r="F248" i="85" s="1"/>
  <c r="D132" i="85"/>
  <c r="H132" i="85" s="1"/>
  <c r="F258" i="85" s="1" a="1"/>
  <c r="F258" i="85" s="1"/>
  <c r="G46" i="70"/>
  <c r="D46" i="70"/>
  <c r="J224" i="73"/>
  <c r="J221" i="73"/>
  <c r="J222" i="73"/>
  <c r="D164" i="88"/>
  <c r="H164" i="88" s="1"/>
  <c r="G238" i="88" s="1" a="1"/>
  <c r="G238" i="88" s="1"/>
  <c r="J238" i="88" s="1"/>
  <c r="D158" i="88"/>
  <c r="H158" i="88" s="1"/>
  <c r="G232" i="88" s="1" a="1"/>
  <c r="G232" i="88" s="1"/>
  <c r="J232" i="88" s="1"/>
  <c r="D149" i="88"/>
  <c r="H149" i="88" s="1"/>
  <c r="G223" i="88" s="1" a="1"/>
  <c r="G223" i="88" s="1"/>
  <c r="J223" i="88" s="1"/>
  <c r="D163" i="88"/>
  <c r="H163" i="88" s="1"/>
  <c r="G237" i="88" s="1" a="1"/>
  <c r="G237" i="88" s="1"/>
  <c r="D152" i="88"/>
  <c r="H152" i="88" s="1"/>
  <c r="G226" i="88" s="1" a="1"/>
  <c r="G226" i="88" s="1"/>
  <c r="J226" i="88" s="1"/>
  <c r="J244" i="87"/>
  <c r="J260" i="87"/>
  <c r="J261" i="87"/>
  <c r="J247" i="87"/>
  <c r="E41" i="70"/>
  <c r="J254" i="87"/>
  <c r="D183" i="85"/>
  <c r="H183" i="85" s="1"/>
  <c r="G262" i="85" s="1" a="1"/>
  <c r="G262" i="85" s="1"/>
  <c r="J205" i="85"/>
  <c r="J205" i="82"/>
  <c r="K185" i="81"/>
  <c r="J183" i="83"/>
  <c r="K183" i="83" s="1"/>
  <c r="K205" i="82"/>
  <c r="K100" i="83"/>
  <c r="K205" i="85"/>
  <c r="J180" i="83"/>
  <c r="K180" i="83" s="1"/>
  <c r="D173" i="79"/>
  <c r="H173" i="79" s="1"/>
  <c r="G252" i="79" s="1" a="1"/>
  <c r="G252" i="79" s="1"/>
  <c r="F8" i="84" s="1"/>
  <c r="D177" i="79"/>
  <c r="H177" i="79" s="1"/>
  <c r="G256" i="79" s="1" a="1"/>
  <c r="G256" i="79" s="1"/>
  <c r="D183" i="79"/>
  <c r="H183" i="79" s="1"/>
  <c r="G262" i="79" s="1" a="1"/>
  <c r="G262" i="79" s="1"/>
  <c r="H8" i="84" s="1"/>
  <c r="D167" i="79"/>
  <c r="H167" i="79" s="1"/>
  <c r="G246" i="79" s="1" a="1"/>
  <c r="G246" i="79" s="1"/>
  <c r="D163" i="79"/>
  <c r="H163" i="79" s="1"/>
  <c r="G242" i="79" s="1" a="1"/>
  <c r="G242" i="79" s="1"/>
  <c r="D8" i="84" s="1"/>
  <c r="D164" i="79"/>
  <c r="H164" i="79" s="1"/>
  <c r="G243" i="79" s="1" a="1"/>
  <c r="G243" i="79" s="1"/>
  <c r="D178" i="79"/>
  <c r="H178" i="79" s="1"/>
  <c r="G257" i="79" s="1" a="1"/>
  <c r="G257" i="79" s="1"/>
  <c r="G8" i="84" s="1"/>
  <c r="D176" i="79"/>
  <c r="H176" i="79" s="1"/>
  <c r="G255" i="79" s="1" a="1"/>
  <c r="G255" i="79" s="1"/>
  <c r="D182" i="79"/>
  <c r="H182" i="79" s="1"/>
  <c r="G261" i="79" s="1" a="1"/>
  <c r="G261" i="79" s="1"/>
  <c r="D172" i="79"/>
  <c r="H172" i="79" s="1"/>
  <c r="G251" i="79" s="1" a="1"/>
  <c r="G251" i="79" s="1"/>
  <c r="D166" i="79"/>
  <c r="H166" i="79" s="1"/>
  <c r="G245" i="79" s="1" a="1"/>
  <c r="G245" i="79" s="1"/>
  <c r="D171" i="79"/>
  <c r="H171" i="79" s="1"/>
  <c r="G250" i="79" s="1" a="1"/>
  <c r="G250" i="79" s="1"/>
  <c r="D165" i="79"/>
  <c r="H165" i="79" s="1"/>
  <c r="G244" i="79" s="1" a="1"/>
  <c r="G244" i="79" s="1"/>
  <c r="D168" i="79"/>
  <c r="H168" i="79" s="1"/>
  <c r="G247" i="79" s="1" a="1"/>
  <c r="G247" i="79" s="1"/>
  <c r="E8" i="84" s="1"/>
  <c r="D162" i="79"/>
  <c r="H162" i="79" s="1"/>
  <c r="G241" i="79" s="1" a="1"/>
  <c r="G241" i="79" s="1"/>
  <c r="D170" i="79"/>
  <c r="H170" i="79" s="1"/>
  <c r="G249" i="79" s="1" a="1"/>
  <c r="G249" i="79" s="1"/>
  <c r="J185" i="81"/>
  <c r="G100" i="83"/>
  <c r="K208" i="79"/>
  <c r="H207" i="79"/>
  <c r="D180" i="79"/>
  <c r="H180" i="79" s="1"/>
  <c r="G259" i="79" s="1" a="1"/>
  <c r="G259" i="79" s="1"/>
  <c r="D174" i="79"/>
  <c r="H174" i="79" s="1"/>
  <c r="G253" i="79" s="1" a="1"/>
  <c r="G253" i="79" s="1"/>
  <c r="D179" i="79"/>
  <c r="H179" i="79" s="1"/>
  <c r="G258" i="79" s="1" a="1"/>
  <c r="G258" i="79" s="1"/>
  <c r="D169" i="79"/>
  <c r="H169" i="79" s="1"/>
  <c r="G248" i="79" s="1" a="1"/>
  <c r="G248" i="79" s="1"/>
  <c r="D181" i="79"/>
  <c r="H181" i="79" s="1"/>
  <c r="G260" i="79" s="1" a="1"/>
  <c r="G260" i="79" s="1"/>
  <c r="D169" i="85"/>
  <c r="H169" i="85" s="1"/>
  <c r="G248" i="85" s="1" a="1"/>
  <c r="G248" i="85" s="1"/>
  <c r="D166" i="85"/>
  <c r="H166" i="85" s="1"/>
  <c r="G245" i="85" s="1" a="1"/>
  <c r="G245" i="85" s="1"/>
  <c r="D174" i="85"/>
  <c r="H174" i="85" s="1"/>
  <c r="G253" i="85" s="1" a="1"/>
  <c r="G253" i="85" s="1"/>
  <c r="D162" i="85"/>
  <c r="H162" i="85" s="1"/>
  <c r="G241" i="85" s="1" a="1"/>
  <c r="G241" i="85" s="1"/>
  <c r="D173" i="85"/>
  <c r="H173" i="85" s="1"/>
  <c r="G252" i="85" s="1" a="1"/>
  <c r="G252" i="85" s="1"/>
  <c r="D180" i="85"/>
  <c r="H180" i="85" s="1"/>
  <c r="G259" i="85" s="1" a="1"/>
  <c r="G259" i="85" s="1"/>
  <c r="D176" i="85"/>
  <c r="H176" i="85" s="1"/>
  <c r="G255" i="85" s="1" a="1"/>
  <c r="G255" i="85" s="1"/>
  <c r="D163" i="85"/>
  <c r="H163" i="85" s="1"/>
  <c r="G242" i="85" s="1" a="1"/>
  <c r="G242" i="85" s="1"/>
  <c r="D172" i="85"/>
  <c r="H172" i="85" s="1"/>
  <c r="G251" i="85" s="1" a="1"/>
  <c r="G251" i="85" s="1"/>
  <c r="D181" i="85"/>
  <c r="H181" i="85" s="1"/>
  <c r="G260" i="85" s="1" a="1"/>
  <c r="G260" i="85" s="1"/>
  <c r="D168" i="85"/>
  <c r="H168" i="85" s="1"/>
  <c r="G247" i="85" s="1" a="1"/>
  <c r="G247" i="85" s="1"/>
  <c r="D177" i="85"/>
  <c r="H177" i="85" s="1"/>
  <c r="G256" i="85" s="1" a="1"/>
  <c r="G256" i="85" s="1"/>
  <c r="D179" i="85"/>
  <c r="H179" i="85" s="1"/>
  <c r="G258" i="85" s="1" a="1"/>
  <c r="G258" i="85" s="1"/>
  <c r="D182" i="85"/>
  <c r="H182" i="85" s="1"/>
  <c r="G261" i="85" s="1" a="1"/>
  <c r="G261" i="85" s="1"/>
  <c r="D171" i="85"/>
  <c r="H171" i="85" s="1"/>
  <c r="G250" i="85" s="1" a="1"/>
  <c r="G250" i="85" s="1"/>
  <c r="D167" i="85"/>
  <c r="H167" i="85" s="1"/>
  <c r="G246" i="85" s="1" a="1"/>
  <c r="G246" i="85" s="1"/>
  <c r="D178" i="85"/>
  <c r="H178" i="85" s="1"/>
  <c r="G257" i="85" s="1" a="1"/>
  <c r="G257" i="85" s="1"/>
  <c r="D164" i="85"/>
  <c r="H164" i="85" s="1"/>
  <c r="G243" i="85" s="1" a="1"/>
  <c r="G243" i="85" s="1"/>
  <c r="D165" i="85"/>
  <c r="H165" i="85" s="1"/>
  <c r="G244" i="85" s="1" a="1"/>
  <c r="G244" i="85" s="1"/>
  <c r="D170" i="85"/>
  <c r="H170" i="85" s="1"/>
  <c r="G249" i="85" s="1" a="1"/>
  <c r="G249" i="85" s="1"/>
  <c r="D175" i="85"/>
  <c r="H175" i="85" s="1"/>
  <c r="G254" i="85" s="1" a="1"/>
  <c r="G254" i="85" s="1"/>
  <c r="J141" i="83"/>
  <c r="G116" i="89" l="1"/>
  <c r="G117" i="89"/>
  <c r="M131" i="89"/>
  <c r="M117" i="89"/>
  <c r="N116" i="89"/>
  <c r="P116" i="89" s="1"/>
  <c r="N130" i="89"/>
  <c r="P124" i="89"/>
  <c r="P115" i="89"/>
  <c r="M126" i="89"/>
  <c r="P126" i="89" s="1"/>
  <c r="K127" i="89" s="1"/>
  <c r="P125" i="89"/>
  <c r="I9" i="103"/>
  <c r="F9" i="103"/>
  <c r="E3" i="103"/>
  <c r="D101" i="90"/>
  <c r="E86" i="103" s="1"/>
  <c r="D99" i="90"/>
  <c r="E84" i="103" s="1"/>
  <c r="D11" i="70"/>
  <c r="D196" i="108"/>
  <c r="H196" i="108" s="1"/>
  <c r="H225" i="108" s="1" a="1"/>
  <c r="H225" i="108" s="1"/>
  <c r="D33" i="117"/>
  <c r="C31" i="117"/>
  <c r="C34" i="117"/>
  <c r="E76" i="103"/>
  <c r="E33" i="103"/>
  <c r="D90" i="90"/>
  <c r="E75" i="103" s="1"/>
  <c r="D211" i="108"/>
  <c r="H211" i="108" s="1"/>
  <c r="H240" i="108" s="1" a="1"/>
  <c r="H240" i="108" s="1"/>
  <c r="I240" i="108" s="1"/>
  <c r="D195" i="108"/>
  <c r="H195" i="108" s="1"/>
  <c r="H224" i="108" s="1" a="1"/>
  <c r="H224" i="108" s="1"/>
  <c r="I224" i="108" s="1"/>
  <c r="D194" i="108"/>
  <c r="H194" i="108" s="1"/>
  <c r="H223" i="108" s="1" a="1"/>
  <c r="H223" i="108" s="1"/>
  <c r="D213" i="108"/>
  <c r="H213" i="108" s="1"/>
  <c r="H242" i="108" s="1" a="1"/>
  <c r="H242" i="108" s="1"/>
  <c r="D213" i="69"/>
  <c r="H213" i="69" s="1"/>
  <c r="H242" i="69" s="1" a="1"/>
  <c r="H242" i="69" s="1"/>
  <c r="I242" i="69" s="1"/>
  <c r="H15" i="70"/>
  <c r="D200" i="108"/>
  <c r="H200" i="108" s="1"/>
  <c r="H229" i="108" s="1" a="1"/>
  <c r="H229" i="108" s="1"/>
  <c r="I229" i="108" s="1"/>
  <c r="J227" i="71"/>
  <c r="D212" i="108"/>
  <c r="H212" i="108" s="1"/>
  <c r="H241" i="108" s="1" a="1"/>
  <c r="H241" i="108" s="1"/>
  <c r="I241" i="108" s="1"/>
  <c r="D206" i="108"/>
  <c r="H206" i="108" s="1"/>
  <c r="H235" i="108" s="1" a="1"/>
  <c r="H235" i="108" s="1"/>
  <c r="I235" i="108" s="1"/>
  <c r="D205" i="108"/>
  <c r="H205" i="108" s="1"/>
  <c r="H234" i="108" s="1" a="1"/>
  <c r="H234" i="108" s="1"/>
  <c r="I234" i="108" s="1"/>
  <c r="D201" i="108"/>
  <c r="H201" i="108" s="1"/>
  <c r="H230" i="108" s="1" a="1"/>
  <c r="H230" i="108" s="1"/>
  <c r="I230" i="108" s="1"/>
  <c r="D193" i="108"/>
  <c r="H193" i="108" s="1"/>
  <c r="H222" i="108" s="1" a="1"/>
  <c r="H222" i="108" s="1"/>
  <c r="D202" i="108"/>
  <c r="H202" i="108" s="1"/>
  <c r="H231" i="108" s="1" a="1"/>
  <c r="H231" i="108" s="1"/>
  <c r="I231" i="108" s="1"/>
  <c r="D204" i="108"/>
  <c r="H204" i="108" s="1"/>
  <c r="H233" i="108" s="1" a="1"/>
  <c r="H233" i="108" s="1"/>
  <c r="I233" i="108" s="1"/>
  <c r="D209" i="108"/>
  <c r="H209" i="108" s="1"/>
  <c r="H238" i="108" s="1" a="1"/>
  <c r="H238" i="108" s="1"/>
  <c r="I238" i="108" s="1"/>
  <c r="D210" i="108"/>
  <c r="H210" i="108" s="1"/>
  <c r="H239" i="108" s="1" a="1"/>
  <c r="H239" i="108" s="1"/>
  <c r="D199" i="108"/>
  <c r="H199" i="108" s="1"/>
  <c r="H228" i="108" s="1" a="1"/>
  <c r="H228" i="108" s="1"/>
  <c r="I228" i="108" s="1"/>
  <c r="D198" i="108"/>
  <c r="H198" i="108" s="1"/>
  <c r="H227" i="108" s="1" a="1"/>
  <c r="H227" i="108" s="1"/>
  <c r="D208" i="108"/>
  <c r="H208" i="108" s="1"/>
  <c r="H237" i="108" s="1" a="1"/>
  <c r="H237" i="108" s="1"/>
  <c r="D207" i="108"/>
  <c r="H207" i="108" s="1"/>
  <c r="H236" i="108" s="1" a="1"/>
  <c r="H236" i="108" s="1"/>
  <c r="I236" i="108" s="1"/>
  <c r="D203" i="108"/>
  <c r="H203" i="108" s="1"/>
  <c r="H232" i="108" s="1" a="1"/>
  <c r="H232" i="108" s="1"/>
  <c r="D197" i="108"/>
  <c r="H197" i="108" s="1"/>
  <c r="H226" i="108" s="1" a="1"/>
  <c r="H226" i="108" s="1"/>
  <c r="I226" i="108" s="1"/>
  <c r="D192" i="108"/>
  <c r="H192" i="108" s="1"/>
  <c r="H221" i="108" s="1" a="1"/>
  <c r="H221" i="108" s="1"/>
  <c r="I221" i="108" s="1"/>
  <c r="J251" i="105"/>
  <c r="D79" i="90"/>
  <c r="E42" i="103" s="1"/>
  <c r="D168" i="106"/>
  <c r="H168" i="106" s="1"/>
  <c r="G242" i="106" s="1" a="1"/>
  <c r="G242" i="106" s="1"/>
  <c r="J245" i="105"/>
  <c r="J261" i="105"/>
  <c r="D153" i="106"/>
  <c r="H153" i="106" s="1"/>
  <c r="G227" i="106" s="1" a="1"/>
  <c r="G227" i="106" s="1"/>
  <c r="J250" i="105"/>
  <c r="J260" i="105"/>
  <c r="J253" i="105"/>
  <c r="J258" i="105"/>
  <c r="J185" i="106"/>
  <c r="K208" i="105"/>
  <c r="J246" i="85"/>
  <c r="J244" i="82"/>
  <c r="K185" i="106"/>
  <c r="K188" i="106" s="1"/>
  <c r="J254" i="105"/>
  <c r="J255" i="105"/>
  <c r="J244" i="105"/>
  <c r="D164" i="106"/>
  <c r="H164" i="106" s="1"/>
  <c r="G238" i="106" s="1" a="1"/>
  <c r="G238" i="106" s="1"/>
  <c r="E29" i="103"/>
  <c r="D154" i="106"/>
  <c r="H154" i="106" s="1"/>
  <c r="G228" i="106" s="1" a="1"/>
  <c r="G228" i="106" s="1"/>
  <c r="D156" i="106"/>
  <c r="H156" i="106" s="1"/>
  <c r="G230" i="106" s="1" a="1"/>
  <c r="G230" i="106" s="1"/>
  <c r="J259" i="105"/>
  <c r="J243" i="79"/>
  <c r="D163" i="106"/>
  <c r="H163" i="106" s="1"/>
  <c r="G237" i="106" s="1" a="1"/>
  <c r="G237" i="106" s="1"/>
  <c r="D167" i="106"/>
  <c r="H167" i="106" s="1"/>
  <c r="G241" i="106" s="1" a="1"/>
  <c r="G241" i="106" s="1"/>
  <c r="J241" i="106" s="1"/>
  <c r="D157" i="106"/>
  <c r="H157" i="106" s="1"/>
  <c r="G231" i="106" s="1" a="1"/>
  <c r="G231" i="106" s="1"/>
  <c r="D159" i="106"/>
  <c r="H159" i="106" s="1"/>
  <c r="G233" i="106" s="1" a="1"/>
  <c r="G233" i="106" s="1"/>
  <c r="J259" i="82"/>
  <c r="D147" i="106"/>
  <c r="H147" i="106" s="1"/>
  <c r="G221" i="106" s="1" a="1"/>
  <c r="G221" i="106" s="1"/>
  <c r="J243" i="105"/>
  <c r="D87" i="90"/>
  <c r="E72" i="103" s="1"/>
  <c r="E73" i="103"/>
  <c r="D89" i="90"/>
  <c r="E74" i="103" s="1"/>
  <c r="I223" i="108"/>
  <c r="F66" i="70"/>
  <c r="G66" i="70"/>
  <c r="I252" i="107"/>
  <c r="I257" i="107"/>
  <c r="I247" i="107"/>
  <c r="I262" i="107"/>
  <c r="J232" i="108"/>
  <c r="I225" i="108"/>
  <c r="H66" i="70"/>
  <c r="J237" i="108"/>
  <c r="D67" i="70"/>
  <c r="I242" i="107"/>
  <c r="I239" i="108"/>
  <c r="E66" i="70"/>
  <c r="I227" i="108"/>
  <c r="D66" i="70"/>
  <c r="I222" i="108"/>
  <c r="J246" i="105"/>
  <c r="J248" i="105"/>
  <c r="J256" i="85"/>
  <c r="H207" i="105"/>
  <c r="J261" i="85"/>
  <c r="J260" i="85"/>
  <c r="J232" i="71"/>
  <c r="D166" i="106"/>
  <c r="H166" i="106" s="1"/>
  <c r="G240" i="106" s="1" a="1"/>
  <c r="G240" i="106" s="1"/>
  <c r="D151" i="106"/>
  <c r="H151" i="106" s="1"/>
  <c r="G225" i="106" s="1" a="1"/>
  <c r="G225" i="106" s="1"/>
  <c r="D158" i="106"/>
  <c r="H158" i="106" s="1"/>
  <c r="G232" i="106" s="1" a="1"/>
  <c r="G232" i="106" s="1"/>
  <c r="D161" i="106"/>
  <c r="H161" i="106" s="1"/>
  <c r="G235" i="106" s="1" a="1"/>
  <c r="G235" i="106" s="1"/>
  <c r="J234" i="86"/>
  <c r="D231" i="69"/>
  <c r="H231" i="69" s="1"/>
  <c r="H260" i="69" s="1" a="1"/>
  <c r="H260" i="69" s="1"/>
  <c r="I260" i="69" s="1"/>
  <c r="J252" i="105"/>
  <c r="D160" i="106"/>
  <c r="H160" i="106" s="1"/>
  <c r="G234" i="106" s="1" a="1"/>
  <c r="G234" i="106" s="1"/>
  <c r="D149" i="106"/>
  <c r="H149" i="106" s="1"/>
  <c r="G223" i="106" s="1" a="1"/>
  <c r="G223" i="106" s="1"/>
  <c r="D152" i="106"/>
  <c r="H152" i="106" s="1"/>
  <c r="G226" i="106" s="1" a="1"/>
  <c r="G226" i="106" s="1"/>
  <c r="D162" i="106"/>
  <c r="H162" i="106" s="1"/>
  <c r="G236" i="106" s="1" a="1"/>
  <c r="G236" i="106" s="1"/>
  <c r="J230" i="86"/>
  <c r="J228" i="86"/>
  <c r="D148" i="106"/>
  <c r="H148" i="106" s="1"/>
  <c r="G222" i="106" s="1" a="1"/>
  <c r="G222" i="106" s="1"/>
  <c r="D150" i="106"/>
  <c r="H150" i="106" s="1"/>
  <c r="G224" i="106" s="1" a="1"/>
  <c r="G224" i="106" s="1"/>
  <c r="D165" i="106"/>
  <c r="H165" i="106" s="1"/>
  <c r="G239" i="106" s="1" a="1"/>
  <c r="G239" i="106" s="1"/>
  <c r="D155" i="106"/>
  <c r="H155" i="106" s="1"/>
  <c r="G229" i="106" s="1" a="1"/>
  <c r="G229" i="106" s="1"/>
  <c r="J257" i="105"/>
  <c r="J238" i="86"/>
  <c r="D114" i="106"/>
  <c r="H114" i="106" s="1"/>
  <c r="F230" i="106" s="1" a="1"/>
  <c r="F230" i="106" s="1"/>
  <c r="D120" i="106"/>
  <c r="H120" i="106" s="1"/>
  <c r="F236" i="106" s="1" a="1"/>
  <c r="F236" i="106" s="1"/>
  <c r="D123" i="106"/>
  <c r="H123" i="106" s="1"/>
  <c r="F239" i="106" s="1" a="1"/>
  <c r="F239" i="106" s="1"/>
  <c r="D119" i="106"/>
  <c r="H119" i="106" s="1"/>
  <c r="F235" i="106" s="1" a="1"/>
  <c r="F235" i="106" s="1"/>
  <c r="D113" i="106"/>
  <c r="H113" i="106" s="1"/>
  <c r="F229" i="106" s="1" a="1"/>
  <c r="F229" i="106" s="1"/>
  <c r="D117" i="106"/>
  <c r="H117" i="106" s="1"/>
  <c r="F233" i="106" s="1" a="1"/>
  <c r="F233" i="106" s="1"/>
  <c r="D118" i="106"/>
  <c r="H118" i="106" s="1"/>
  <c r="F234" i="106" s="1" a="1"/>
  <c r="F234" i="106" s="1"/>
  <c r="D122" i="106"/>
  <c r="H122" i="106" s="1"/>
  <c r="F238" i="106" s="1" a="1"/>
  <c r="F238" i="106" s="1"/>
  <c r="D116" i="106"/>
  <c r="H116" i="106" s="1"/>
  <c r="F232" i="106" s="1" a="1"/>
  <c r="F232" i="106" s="1"/>
  <c r="D105" i="106"/>
  <c r="H105" i="106" s="1"/>
  <c r="F221" i="106" s="1" a="1"/>
  <c r="F221" i="106" s="1"/>
  <c r="D110" i="106"/>
  <c r="H110" i="106" s="1"/>
  <c r="F226" i="106" s="1" a="1"/>
  <c r="F226" i="106" s="1"/>
  <c r="D112" i="106"/>
  <c r="H112" i="106" s="1"/>
  <c r="F228" i="106" s="1" a="1"/>
  <c r="F228" i="106" s="1"/>
  <c r="D109" i="106"/>
  <c r="H109" i="106" s="1"/>
  <c r="F225" i="106" s="1" a="1"/>
  <c r="F225" i="106" s="1"/>
  <c r="D126" i="106"/>
  <c r="H126" i="106" s="1"/>
  <c r="F242" i="106" s="1" a="1"/>
  <c r="F242" i="106" s="1"/>
  <c r="D108" i="106"/>
  <c r="H108" i="106" s="1"/>
  <c r="F224" i="106" s="1" a="1"/>
  <c r="F224" i="106" s="1"/>
  <c r="D111" i="106"/>
  <c r="H111" i="106" s="1"/>
  <c r="F227" i="106" s="1" a="1"/>
  <c r="F227" i="106" s="1"/>
  <c r="D115" i="106"/>
  <c r="H115" i="106" s="1"/>
  <c r="F231" i="106" s="1" a="1"/>
  <c r="F231" i="106" s="1"/>
  <c r="D124" i="106"/>
  <c r="H124" i="106" s="1"/>
  <c r="F240" i="106" s="1" a="1"/>
  <c r="F240" i="106" s="1"/>
  <c r="D107" i="106"/>
  <c r="H107" i="106" s="1"/>
  <c r="F223" i="106" s="1" a="1"/>
  <c r="F223" i="106" s="1"/>
  <c r="D106" i="106"/>
  <c r="H106" i="106" s="1"/>
  <c r="F222" i="106" s="1" a="1"/>
  <c r="F222" i="106" s="1"/>
  <c r="D121" i="106"/>
  <c r="H121" i="106" s="1"/>
  <c r="F237" i="106" s="1" a="1"/>
  <c r="F237" i="106" s="1"/>
  <c r="J262" i="105"/>
  <c r="J242" i="105"/>
  <c r="J247" i="105"/>
  <c r="J233" i="86"/>
  <c r="J229" i="86"/>
  <c r="J224" i="86"/>
  <c r="J231" i="86"/>
  <c r="J241" i="85"/>
  <c r="J250" i="82"/>
  <c r="J258" i="82"/>
  <c r="J255" i="82"/>
  <c r="J256" i="82"/>
  <c r="J249" i="79"/>
  <c r="K185" i="83"/>
  <c r="J241" i="79"/>
  <c r="J256" i="79"/>
  <c r="D165" i="81"/>
  <c r="H165" i="81" s="1"/>
  <c r="G239" i="81" s="1" a="1"/>
  <c r="G239" i="81" s="1"/>
  <c r="J239" i="81" s="1"/>
  <c r="J244" i="79"/>
  <c r="J251" i="79"/>
  <c r="J260" i="79"/>
  <c r="D153" i="81"/>
  <c r="H153" i="81" s="1"/>
  <c r="G227" i="81" s="1" a="1"/>
  <c r="G227" i="81" s="1"/>
  <c r="J227" i="81" s="1"/>
  <c r="J259" i="79"/>
  <c r="J248" i="79"/>
  <c r="D168" i="81"/>
  <c r="H168" i="81" s="1"/>
  <c r="G242" i="81" s="1" a="1"/>
  <c r="G242" i="81" s="1"/>
  <c r="H14" i="84" s="1"/>
  <c r="J254" i="79"/>
  <c r="J261" i="79"/>
  <c r="D150" i="81"/>
  <c r="H150" i="81" s="1"/>
  <c r="G224" i="81" s="1" a="1"/>
  <c r="G224" i="81" s="1"/>
  <c r="J224" i="81" s="1"/>
  <c r="J258" i="79"/>
  <c r="D149" i="81"/>
  <c r="H149" i="81" s="1"/>
  <c r="G223" i="81" s="1" a="1"/>
  <c r="G223" i="81" s="1"/>
  <c r="J223" i="81" s="1"/>
  <c r="D155" i="81"/>
  <c r="H155" i="81" s="1"/>
  <c r="G229" i="81" s="1" a="1"/>
  <c r="G229" i="81" s="1"/>
  <c r="J229" i="81" s="1"/>
  <c r="J250" i="79"/>
  <c r="D147" i="81"/>
  <c r="H147" i="81" s="1"/>
  <c r="G221" i="81" s="1" a="1"/>
  <c r="G221" i="81" s="1"/>
  <c r="J221" i="81" s="1"/>
  <c r="J245" i="79"/>
  <c r="D166" i="81"/>
  <c r="H166" i="81" s="1"/>
  <c r="G240" i="81" s="1" a="1"/>
  <c r="G240" i="81" s="1"/>
  <c r="J240" i="81" s="1"/>
  <c r="J253" i="79"/>
  <c r="J255" i="79"/>
  <c r="J246" i="79"/>
  <c r="D154" i="81"/>
  <c r="H154" i="81" s="1"/>
  <c r="G228" i="81" s="1" a="1"/>
  <c r="G228" i="81" s="1"/>
  <c r="J228" i="81" s="1"/>
  <c r="D152" i="81"/>
  <c r="H152" i="81" s="1"/>
  <c r="G226" i="81" s="1" a="1"/>
  <c r="G226" i="81" s="1"/>
  <c r="J226" i="81" s="1"/>
  <c r="D156" i="81"/>
  <c r="H156" i="81" s="1"/>
  <c r="G230" i="81" s="1" a="1"/>
  <c r="G230" i="81" s="1"/>
  <c r="J230" i="81" s="1"/>
  <c r="D159" i="81"/>
  <c r="H159" i="81" s="1"/>
  <c r="G233" i="81" s="1" a="1"/>
  <c r="G233" i="81" s="1"/>
  <c r="J233" i="81" s="1"/>
  <c r="D163" i="81"/>
  <c r="H163" i="81" s="1"/>
  <c r="G237" i="81" s="1" a="1"/>
  <c r="G237" i="81" s="1"/>
  <c r="G14" i="84" s="1"/>
  <c r="D162" i="81"/>
  <c r="H162" i="81" s="1"/>
  <c r="G236" i="81" s="1" a="1"/>
  <c r="G236" i="81" s="1"/>
  <c r="J236" i="81" s="1"/>
  <c r="D167" i="81"/>
  <c r="H167" i="81" s="1"/>
  <c r="G241" i="81" s="1" a="1"/>
  <c r="G241" i="81" s="1"/>
  <c r="J241" i="81" s="1"/>
  <c r="D161" i="81"/>
  <c r="H161" i="81" s="1"/>
  <c r="G235" i="81" s="1" a="1"/>
  <c r="G235" i="81" s="1"/>
  <c r="J235" i="81" s="1"/>
  <c r="D164" i="81"/>
  <c r="H164" i="81" s="1"/>
  <c r="G238" i="81" s="1" a="1"/>
  <c r="G238" i="81" s="1"/>
  <c r="J238" i="81" s="1"/>
  <c r="D158" i="81"/>
  <c r="H158" i="81" s="1"/>
  <c r="G232" i="81" s="1" a="1"/>
  <c r="G232" i="81" s="1"/>
  <c r="J232" i="81" s="1"/>
  <c r="D160" i="81"/>
  <c r="H160" i="81" s="1"/>
  <c r="G234" i="81" s="1" a="1"/>
  <c r="G234" i="81" s="1"/>
  <c r="J234" i="81" s="1"/>
  <c r="D151" i="81"/>
  <c r="H151" i="81" s="1"/>
  <c r="G225" i="81" s="1" a="1"/>
  <c r="G225" i="81" s="1"/>
  <c r="J225" i="81" s="1"/>
  <c r="D157" i="81"/>
  <c r="H157" i="81" s="1"/>
  <c r="G231" i="81" s="1" a="1"/>
  <c r="G231" i="81" s="1"/>
  <c r="J231" i="81" s="1"/>
  <c r="D148" i="81"/>
  <c r="H148" i="81" s="1"/>
  <c r="G222" i="81" s="1" a="1"/>
  <c r="G222" i="81" s="1"/>
  <c r="D14" i="84" s="1"/>
  <c r="J222" i="71"/>
  <c r="G15" i="70"/>
  <c r="D209" i="71"/>
  <c r="H209" i="71" s="1"/>
  <c r="H238" i="71" s="1" a="1"/>
  <c r="H238" i="71" s="1"/>
  <c r="I238" i="71" s="1"/>
  <c r="D212" i="71"/>
  <c r="H212" i="71" s="1"/>
  <c r="H241" i="71" s="1" a="1"/>
  <c r="H241" i="71" s="1"/>
  <c r="I241" i="71" s="1"/>
  <c r="D213" i="71"/>
  <c r="H213" i="71" s="1"/>
  <c r="H242" i="71" s="1" a="1"/>
  <c r="H242" i="71" s="1"/>
  <c r="H16" i="70" s="1"/>
  <c r="D217" i="69"/>
  <c r="H217" i="69" s="1"/>
  <c r="H246" i="69" s="1" a="1"/>
  <c r="H246" i="69" s="1"/>
  <c r="I246" i="69" s="1"/>
  <c r="D198" i="71"/>
  <c r="H198" i="71" s="1"/>
  <c r="H227" i="71" s="1" a="1"/>
  <c r="H227" i="71" s="1"/>
  <c r="E16" i="70" s="1"/>
  <c r="E17" i="70" s="1"/>
  <c r="D216" i="69"/>
  <c r="H216" i="69" s="1"/>
  <c r="H245" i="69" s="1" a="1"/>
  <c r="H245" i="69" s="1"/>
  <c r="I245" i="69" s="1"/>
  <c r="D222" i="69"/>
  <c r="H222" i="69" s="1"/>
  <c r="H251" i="69" s="1" a="1"/>
  <c r="H251" i="69" s="1"/>
  <c r="I251" i="69" s="1"/>
  <c r="D214" i="69"/>
  <c r="H214" i="69" s="1"/>
  <c r="H243" i="69" s="1" a="1"/>
  <c r="H243" i="69" s="1"/>
  <c r="I243" i="69" s="1"/>
  <c r="H47" i="70"/>
  <c r="H49" i="70" s="1"/>
  <c r="D232" i="69"/>
  <c r="H232" i="69" s="1"/>
  <c r="H261" i="69" s="1" a="1"/>
  <c r="H261" i="69" s="1"/>
  <c r="I261" i="69" s="1"/>
  <c r="D224" i="69"/>
  <c r="H224" i="69" s="1"/>
  <c r="H253" i="69" s="1" a="1"/>
  <c r="H253" i="69" s="1"/>
  <c r="I253" i="69" s="1"/>
  <c r="D228" i="69"/>
  <c r="H228" i="69" s="1"/>
  <c r="H257" i="69" s="1" a="1"/>
  <c r="H257" i="69" s="1"/>
  <c r="G10" i="70" s="1"/>
  <c r="D218" i="69"/>
  <c r="H218" i="69" s="1"/>
  <c r="H247" i="69" s="1" a="1"/>
  <c r="H247" i="69" s="1"/>
  <c r="E10" i="70" s="1"/>
  <c r="D220" i="69"/>
  <c r="H220" i="69" s="1"/>
  <c r="H249" i="69" s="1" a="1"/>
  <c r="H249" i="69" s="1"/>
  <c r="I249" i="69" s="1"/>
  <c r="D233" i="69"/>
  <c r="H233" i="69" s="1"/>
  <c r="H262" i="69" s="1" a="1"/>
  <c r="H262" i="69" s="1"/>
  <c r="H10" i="70" s="1"/>
  <c r="D226" i="69"/>
  <c r="H226" i="69" s="1"/>
  <c r="H255" i="69" s="1" a="1"/>
  <c r="H255" i="69" s="1"/>
  <c r="I255" i="69" s="1"/>
  <c r="D219" i="69"/>
  <c r="H219" i="69" s="1"/>
  <c r="H248" i="69" s="1" a="1"/>
  <c r="H248" i="69" s="1"/>
  <c r="I248" i="69" s="1"/>
  <c r="D223" i="69"/>
  <c r="H223" i="69" s="1"/>
  <c r="H252" i="69" s="1" a="1"/>
  <c r="H252" i="69" s="1"/>
  <c r="I252" i="69" s="1"/>
  <c r="D212" i="69"/>
  <c r="H212" i="69" s="1"/>
  <c r="H241" i="69" s="1" a="1"/>
  <c r="H241" i="69" s="1"/>
  <c r="I241" i="69" s="1"/>
  <c r="D227" i="69"/>
  <c r="H227" i="69" s="1"/>
  <c r="H256" i="69" s="1" a="1"/>
  <c r="H256" i="69" s="1"/>
  <c r="I256" i="69" s="1"/>
  <c r="D230" i="69"/>
  <c r="H230" i="69" s="1"/>
  <c r="H259" i="69" s="1" a="1"/>
  <c r="H259" i="69" s="1"/>
  <c r="I259" i="69" s="1"/>
  <c r="D225" i="69"/>
  <c r="H225" i="69" s="1"/>
  <c r="H254" i="69" s="1" a="1"/>
  <c r="H254" i="69" s="1"/>
  <c r="I254" i="69" s="1"/>
  <c r="D194" i="71"/>
  <c r="H194" i="71" s="1"/>
  <c r="H223" i="71" s="1" a="1"/>
  <c r="H223" i="71" s="1"/>
  <c r="I223" i="71" s="1"/>
  <c r="D225" i="87"/>
  <c r="H225" i="87" s="1"/>
  <c r="H254" i="87" s="1" a="1"/>
  <c r="H254" i="87" s="1"/>
  <c r="I254" i="87" s="1"/>
  <c r="J245" i="82"/>
  <c r="J259" i="85"/>
  <c r="J247" i="82"/>
  <c r="J262" i="82"/>
  <c r="H23" i="84"/>
  <c r="J225" i="86"/>
  <c r="J236" i="86"/>
  <c r="J244" i="85"/>
  <c r="J227" i="88"/>
  <c r="J254" i="82"/>
  <c r="J251" i="82"/>
  <c r="J223" i="86"/>
  <c r="J239" i="86"/>
  <c r="J226" i="86"/>
  <c r="J241" i="86"/>
  <c r="J243" i="82"/>
  <c r="D202" i="71"/>
  <c r="H202" i="71" s="1"/>
  <c r="H231" i="71" s="1" a="1"/>
  <c r="H231" i="71" s="1"/>
  <c r="I231" i="71" s="1"/>
  <c r="J249" i="85"/>
  <c r="D204" i="71"/>
  <c r="H204" i="71" s="1"/>
  <c r="H233" i="71" s="1" a="1"/>
  <c r="H233" i="71" s="1"/>
  <c r="I233" i="71" s="1"/>
  <c r="J248" i="82"/>
  <c r="J249" i="82"/>
  <c r="J250" i="85"/>
  <c r="J241" i="82"/>
  <c r="D192" i="71"/>
  <c r="H192" i="71" s="1"/>
  <c r="H221" i="71" s="1" a="1"/>
  <c r="H221" i="71" s="1"/>
  <c r="I221" i="71" s="1"/>
  <c r="D197" i="71"/>
  <c r="H197" i="71" s="1"/>
  <c r="H226" i="71" s="1" a="1"/>
  <c r="H226" i="71" s="1"/>
  <c r="I226" i="71" s="1"/>
  <c r="D195" i="71"/>
  <c r="H195" i="71" s="1"/>
  <c r="H224" i="71" s="1" a="1"/>
  <c r="H224" i="71" s="1"/>
  <c r="I224" i="71" s="1"/>
  <c r="D196" i="71"/>
  <c r="H196" i="71" s="1"/>
  <c r="H225" i="71" s="1" a="1"/>
  <c r="H225" i="71" s="1"/>
  <c r="I225" i="71" s="1"/>
  <c r="D201" i="71"/>
  <c r="H201" i="71" s="1"/>
  <c r="H230" i="71" s="1" a="1"/>
  <c r="H230" i="71" s="1"/>
  <c r="I230" i="71" s="1"/>
  <c r="D210" i="71"/>
  <c r="H210" i="71" s="1"/>
  <c r="H239" i="71" s="1" a="1"/>
  <c r="H239" i="71" s="1"/>
  <c r="I239" i="71" s="1"/>
  <c r="J260" i="82"/>
  <c r="D203" i="71"/>
  <c r="H203" i="71" s="1"/>
  <c r="H232" i="71" s="1" a="1"/>
  <c r="H232" i="71" s="1"/>
  <c r="F16" i="70" s="1"/>
  <c r="F17" i="70" s="1"/>
  <c r="J261" i="82"/>
  <c r="J240" i="86"/>
  <c r="J246" i="82"/>
  <c r="D208" i="71"/>
  <c r="H208" i="71" s="1"/>
  <c r="H237" i="71" s="1" a="1"/>
  <c r="H237" i="71" s="1"/>
  <c r="G16" i="70" s="1"/>
  <c r="D206" i="71"/>
  <c r="H206" i="71" s="1"/>
  <c r="H235" i="71" s="1" a="1"/>
  <c r="H235" i="71" s="1"/>
  <c r="I235" i="71" s="1"/>
  <c r="J253" i="82"/>
  <c r="D200" i="71"/>
  <c r="H200" i="71" s="1"/>
  <c r="H229" i="71" s="1" a="1"/>
  <c r="H229" i="71" s="1"/>
  <c r="I229" i="71" s="1"/>
  <c r="J252" i="82"/>
  <c r="D193" i="71"/>
  <c r="H193" i="71" s="1"/>
  <c r="H222" i="71" s="1" a="1"/>
  <c r="H222" i="71" s="1"/>
  <c r="D16" i="70" s="1"/>
  <c r="D17" i="70" s="1"/>
  <c r="D205" i="71"/>
  <c r="H205" i="71" s="1"/>
  <c r="H234" i="71" s="1" a="1"/>
  <c r="H234" i="71" s="1"/>
  <c r="I234" i="71" s="1"/>
  <c r="D211" i="71"/>
  <c r="H211" i="71" s="1"/>
  <c r="H240" i="71" s="1" a="1"/>
  <c r="H240" i="71" s="1"/>
  <c r="I240" i="71" s="1"/>
  <c r="D199" i="71"/>
  <c r="H199" i="71" s="1"/>
  <c r="H228" i="71" s="1" a="1"/>
  <c r="H228" i="71" s="1"/>
  <c r="I228" i="71" s="1"/>
  <c r="D207" i="71"/>
  <c r="H207" i="71" s="1"/>
  <c r="H236" i="71" s="1" a="1"/>
  <c r="H236" i="71" s="1"/>
  <c r="I236" i="71" s="1"/>
  <c r="D221" i="69"/>
  <c r="H221" i="69" s="1"/>
  <c r="H250" i="69" s="1" a="1"/>
  <c r="H250" i="69" s="1"/>
  <c r="I250" i="69" s="1"/>
  <c r="D229" i="69"/>
  <c r="H229" i="69" s="1"/>
  <c r="H258" i="69" s="1" a="1"/>
  <c r="H258" i="69" s="1"/>
  <c r="I258" i="69" s="1"/>
  <c r="H187" i="86"/>
  <c r="K188" i="86"/>
  <c r="H47" i="84"/>
  <c r="E47" i="84"/>
  <c r="J243" i="85"/>
  <c r="J245" i="85"/>
  <c r="J262" i="79"/>
  <c r="J235" i="86"/>
  <c r="J257" i="82"/>
  <c r="E34" i="103"/>
  <c r="D72" i="90"/>
  <c r="G47" i="84"/>
  <c r="D46" i="84"/>
  <c r="J222" i="86"/>
  <c r="J255" i="85"/>
  <c r="J232" i="86"/>
  <c r="H46" i="84"/>
  <c r="J242" i="86"/>
  <c r="E142" i="83"/>
  <c r="J254" i="85"/>
  <c r="J251" i="85"/>
  <c r="J248" i="85"/>
  <c r="D116" i="83"/>
  <c r="H116" i="83" s="1"/>
  <c r="F232" i="83" s="1" a="1"/>
  <c r="F232" i="83" s="1"/>
  <c r="F29" i="84" s="1"/>
  <c r="J242" i="82"/>
  <c r="J185" i="83"/>
  <c r="J221" i="86"/>
  <c r="G46" i="84"/>
  <c r="J237" i="86"/>
  <c r="J227" i="86"/>
  <c r="D47" i="84"/>
  <c r="J242" i="85"/>
  <c r="D41" i="84"/>
  <c r="D223" i="87"/>
  <c r="H223" i="87" s="1"/>
  <c r="H252" i="87" s="1" a="1"/>
  <c r="H252" i="87" s="1"/>
  <c r="D212" i="87"/>
  <c r="H212" i="87" s="1"/>
  <c r="H241" i="87" s="1" a="1"/>
  <c r="H241" i="87" s="1"/>
  <c r="I241" i="87" s="1"/>
  <c r="D228" i="87"/>
  <c r="H228" i="87" s="1"/>
  <c r="H257" i="87" s="1" a="1"/>
  <c r="H257" i="87" s="1"/>
  <c r="D226" i="87"/>
  <c r="H226" i="87" s="1"/>
  <c r="H255" i="87" s="1" a="1"/>
  <c r="H255" i="87" s="1"/>
  <c r="I255" i="87" s="1"/>
  <c r="D232" i="87"/>
  <c r="H232" i="87" s="1"/>
  <c r="H261" i="87" s="1" a="1"/>
  <c r="H261" i="87" s="1"/>
  <c r="I261" i="87" s="1"/>
  <c r="J262" i="85"/>
  <c r="H41" i="84"/>
  <c r="D218" i="87"/>
  <c r="H218" i="87" s="1"/>
  <c r="H247" i="87" s="1" a="1"/>
  <c r="H247" i="87" s="1"/>
  <c r="D231" i="87"/>
  <c r="H231" i="87" s="1"/>
  <c r="H260" i="87" s="1" a="1"/>
  <c r="H260" i="87" s="1"/>
  <c r="I260" i="87" s="1"/>
  <c r="D216" i="87"/>
  <c r="H216" i="87" s="1"/>
  <c r="H245" i="87" s="1" a="1"/>
  <c r="H245" i="87" s="1"/>
  <c r="I245" i="87" s="1"/>
  <c r="D215" i="87"/>
  <c r="H215" i="87" s="1"/>
  <c r="H244" i="87" s="1" a="1"/>
  <c r="H244" i="87" s="1"/>
  <c r="I244" i="87" s="1"/>
  <c r="D222" i="87"/>
  <c r="H222" i="87" s="1"/>
  <c r="H251" i="87" s="1" a="1"/>
  <c r="H251" i="87" s="1"/>
  <c r="I251" i="87" s="1"/>
  <c r="D230" i="87"/>
  <c r="H230" i="87" s="1"/>
  <c r="H259" i="87" s="1" a="1"/>
  <c r="H259" i="87" s="1"/>
  <c r="I259" i="87" s="1"/>
  <c r="H207" i="82"/>
  <c r="D200" i="88"/>
  <c r="H200" i="88" s="1"/>
  <c r="H229" i="88" s="1" a="1"/>
  <c r="H229" i="88" s="1"/>
  <c r="I229" i="88" s="1"/>
  <c r="D205" i="88"/>
  <c r="H205" i="88" s="1"/>
  <c r="H234" i="88" s="1" a="1"/>
  <c r="H234" i="88" s="1"/>
  <c r="I234" i="88" s="1"/>
  <c r="D197" i="88"/>
  <c r="H197" i="88" s="1"/>
  <c r="H226" i="88" s="1" a="1"/>
  <c r="H226" i="88" s="1"/>
  <c r="I226" i="88" s="1"/>
  <c r="D209" i="88"/>
  <c r="H209" i="88" s="1"/>
  <c r="H238" i="88" s="1" a="1"/>
  <c r="H238" i="88" s="1"/>
  <c r="I238" i="88" s="1"/>
  <c r="D199" i="88"/>
  <c r="H199" i="88" s="1"/>
  <c r="H228" i="88" s="1" a="1"/>
  <c r="H228" i="88" s="1"/>
  <c r="I228" i="88" s="1"/>
  <c r="D208" i="88"/>
  <c r="H208" i="88" s="1"/>
  <c r="H237" i="88" s="1" a="1"/>
  <c r="H237" i="88" s="1"/>
  <c r="G48" i="70" s="1"/>
  <c r="D213" i="88"/>
  <c r="H213" i="88" s="1"/>
  <c r="H242" i="88" s="1" a="1"/>
  <c r="H242" i="88" s="1"/>
  <c r="D201" i="88"/>
  <c r="H201" i="88" s="1"/>
  <c r="H230" i="88" s="1" a="1"/>
  <c r="H230" i="88" s="1"/>
  <c r="I230" i="88" s="1"/>
  <c r="D196" i="88"/>
  <c r="H196" i="88" s="1"/>
  <c r="H225" i="88" s="1" a="1"/>
  <c r="H225" i="88" s="1"/>
  <c r="I225" i="88" s="1"/>
  <c r="D210" i="88"/>
  <c r="H210" i="88" s="1"/>
  <c r="H239" i="88" s="1" a="1"/>
  <c r="H239" i="88" s="1"/>
  <c r="I239" i="88" s="1"/>
  <c r="D193" i="88"/>
  <c r="H193" i="88" s="1"/>
  <c r="H222" i="88" s="1" a="1"/>
  <c r="H222" i="88" s="1"/>
  <c r="D48" i="70" s="1"/>
  <c r="D211" i="88"/>
  <c r="H211" i="88" s="1"/>
  <c r="H240" i="88" s="1" a="1"/>
  <c r="H240" i="88" s="1"/>
  <c r="I240" i="88" s="1"/>
  <c r="D195" i="88"/>
  <c r="H195" i="88" s="1"/>
  <c r="H224" i="88" s="1" a="1"/>
  <c r="H224" i="88" s="1"/>
  <c r="I224" i="88" s="1"/>
  <c r="D194" i="88"/>
  <c r="H194" i="88" s="1"/>
  <c r="H223" i="88" s="1" a="1"/>
  <c r="H223" i="88" s="1"/>
  <c r="I223" i="88" s="1"/>
  <c r="D206" i="88"/>
  <c r="H206" i="88" s="1"/>
  <c r="H235" i="88" s="1" a="1"/>
  <c r="H235" i="88" s="1"/>
  <c r="I235" i="88" s="1"/>
  <c r="D198" i="88"/>
  <c r="H198" i="88" s="1"/>
  <c r="H227" i="88" s="1" a="1"/>
  <c r="H227" i="88" s="1"/>
  <c r="D204" i="88"/>
  <c r="H204" i="88" s="1"/>
  <c r="H233" i="88" s="1" a="1"/>
  <c r="H233" i="88" s="1"/>
  <c r="I233" i="88" s="1"/>
  <c r="D192" i="88"/>
  <c r="H192" i="88" s="1"/>
  <c r="H221" i="88" s="1" a="1"/>
  <c r="H221" i="88" s="1"/>
  <c r="I221" i="88" s="1"/>
  <c r="D207" i="88"/>
  <c r="H207" i="88" s="1"/>
  <c r="H236" i="88" s="1" a="1"/>
  <c r="H236" i="88" s="1"/>
  <c r="I236" i="88" s="1"/>
  <c r="D203" i="88"/>
  <c r="H203" i="88" s="1"/>
  <c r="H232" i="88" s="1" a="1"/>
  <c r="H232" i="88" s="1"/>
  <c r="F48" i="70" s="1"/>
  <c r="D202" i="88"/>
  <c r="H202" i="88" s="1"/>
  <c r="H231" i="88" s="1" a="1"/>
  <c r="H231" i="88" s="1"/>
  <c r="I231" i="88" s="1"/>
  <c r="D212" i="88"/>
  <c r="H212" i="88" s="1"/>
  <c r="H241" i="88" s="1" a="1"/>
  <c r="H241" i="88" s="1"/>
  <c r="I241" i="88" s="1"/>
  <c r="D213" i="87"/>
  <c r="H213" i="87" s="1"/>
  <c r="H242" i="87" s="1" a="1"/>
  <c r="H242" i="87" s="1"/>
  <c r="D221" i="87"/>
  <c r="H221" i="87" s="1"/>
  <c r="H250" i="87" s="1" a="1"/>
  <c r="H250" i="87" s="1"/>
  <c r="I250" i="87" s="1"/>
  <c r="D214" i="87"/>
  <c r="H214" i="87" s="1"/>
  <c r="H243" i="87" s="1" a="1"/>
  <c r="H243" i="87" s="1"/>
  <c r="I243" i="87" s="1"/>
  <c r="D220" i="87"/>
  <c r="H220" i="87" s="1"/>
  <c r="H249" i="87" s="1" a="1"/>
  <c r="H249" i="87" s="1"/>
  <c r="I249" i="87" s="1"/>
  <c r="D233" i="87"/>
  <c r="H233" i="87" s="1"/>
  <c r="H262" i="87" s="1" a="1"/>
  <c r="H262" i="87" s="1"/>
  <c r="D74" i="90"/>
  <c r="D47" i="70"/>
  <c r="D49" i="70" s="1"/>
  <c r="D226" i="72"/>
  <c r="H226" i="72" s="1"/>
  <c r="H255" i="72" s="1" a="1"/>
  <c r="H255" i="72" s="1"/>
  <c r="I255" i="72" s="1"/>
  <c r="D218" i="72"/>
  <c r="H218" i="72" s="1"/>
  <c r="H247" i="72" s="1" a="1"/>
  <c r="H247" i="72" s="1"/>
  <c r="D229" i="72"/>
  <c r="H229" i="72" s="1"/>
  <c r="H258" i="72" s="1" a="1"/>
  <c r="H258" i="72" s="1"/>
  <c r="I258" i="72" s="1"/>
  <c r="D221" i="72"/>
  <c r="H221" i="72" s="1"/>
  <c r="H250" i="72" s="1" a="1"/>
  <c r="H250" i="72" s="1"/>
  <c r="I250" i="72" s="1"/>
  <c r="D213" i="72"/>
  <c r="H213" i="72" s="1"/>
  <c r="H242" i="72" s="1" a="1"/>
  <c r="H242" i="72" s="1"/>
  <c r="D230" i="72"/>
  <c r="H230" i="72" s="1"/>
  <c r="H259" i="72" s="1" a="1"/>
  <c r="H259" i="72" s="1"/>
  <c r="I259" i="72" s="1"/>
  <c r="D214" i="72"/>
  <c r="H214" i="72" s="1"/>
  <c r="H243" i="72" s="1" a="1"/>
  <c r="H243" i="72" s="1"/>
  <c r="I243" i="72" s="1"/>
  <c r="D225" i="72"/>
  <c r="H225" i="72" s="1"/>
  <c r="H254" i="72" s="1" a="1"/>
  <c r="H254" i="72" s="1"/>
  <c r="I254" i="72" s="1"/>
  <c r="D228" i="72"/>
  <c r="H228" i="72" s="1"/>
  <c r="H257" i="72" s="1" a="1"/>
  <c r="H257" i="72" s="1"/>
  <c r="D220" i="72"/>
  <c r="H220" i="72" s="1"/>
  <c r="H249" i="72" s="1" a="1"/>
  <c r="H249" i="72" s="1"/>
  <c r="I249" i="72" s="1"/>
  <c r="D212" i="72"/>
  <c r="H212" i="72" s="1"/>
  <c r="H241" i="72" s="1" a="1"/>
  <c r="H241" i="72" s="1"/>
  <c r="I241" i="72" s="1"/>
  <c r="D231" i="72"/>
  <c r="H231" i="72" s="1"/>
  <c r="H260" i="72" s="1" a="1"/>
  <c r="H260" i="72" s="1"/>
  <c r="I260" i="72" s="1"/>
  <c r="D223" i="72"/>
  <c r="H223" i="72" s="1"/>
  <c r="H252" i="72" s="1" a="1"/>
  <c r="H252" i="72" s="1"/>
  <c r="D215" i="72"/>
  <c r="H215" i="72" s="1"/>
  <c r="H244" i="72" s="1" a="1"/>
  <c r="H244" i="72" s="1"/>
  <c r="I244" i="72" s="1"/>
  <c r="D232" i="72"/>
  <c r="H232" i="72" s="1"/>
  <c r="H261" i="72" s="1" a="1"/>
  <c r="H261" i="72" s="1"/>
  <c r="I261" i="72" s="1"/>
  <c r="D224" i="72"/>
  <c r="H224" i="72" s="1"/>
  <c r="H253" i="72" s="1" a="1"/>
  <c r="H253" i="72" s="1"/>
  <c r="I253" i="72" s="1"/>
  <c r="D216" i="72"/>
  <c r="H216" i="72" s="1"/>
  <c r="H245" i="72" s="1" a="1"/>
  <c r="H245" i="72" s="1"/>
  <c r="I245" i="72" s="1"/>
  <c r="D227" i="72"/>
  <c r="H227" i="72" s="1"/>
  <c r="H256" i="72" s="1" a="1"/>
  <c r="H256" i="72" s="1"/>
  <c r="I256" i="72" s="1"/>
  <c r="D219" i="72"/>
  <c r="H219" i="72" s="1"/>
  <c r="H248" i="72" s="1" a="1"/>
  <c r="H248" i="72" s="1"/>
  <c r="I248" i="72" s="1"/>
  <c r="D222" i="72"/>
  <c r="H222" i="72" s="1"/>
  <c r="H251" i="72" s="1" a="1"/>
  <c r="H251" i="72" s="1"/>
  <c r="I251" i="72" s="1"/>
  <c r="D233" i="72"/>
  <c r="H233" i="72" s="1"/>
  <c r="H262" i="72" s="1" a="1"/>
  <c r="H262" i="72" s="1"/>
  <c r="D217" i="72"/>
  <c r="H217" i="72" s="1"/>
  <c r="H246" i="72" s="1" a="1"/>
  <c r="H246" i="72" s="1"/>
  <c r="I246" i="72" s="1"/>
  <c r="D229" i="87"/>
  <c r="H229" i="87" s="1"/>
  <c r="H258" i="87" s="1" a="1"/>
  <c r="H258" i="87" s="1"/>
  <c r="I258" i="87" s="1"/>
  <c r="J247" i="85"/>
  <c r="E41" i="84"/>
  <c r="K188" i="81"/>
  <c r="F47" i="70"/>
  <c r="F49" i="70" s="1"/>
  <c r="J257" i="85"/>
  <c r="G41" i="84"/>
  <c r="J258" i="85"/>
  <c r="J252" i="85"/>
  <c r="F41" i="84"/>
  <c r="G47" i="70"/>
  <c r="G49" i="70" s="1"/>
  <c r="J222" i="88"/>
  <c r="J237" i="88"/>
  <c r="E5" i="103"/>
  <c r="D10" i="70"/>
  <c r="D210" i="73"/>
  <c r="H210" i="73" s="1"/>
  <c r="H239" i="73" s="1" a="1"/>
  <c r="H239" i="73" s="1"/>
  <c r="I239" i="73" s="1"/>
  <c r="D202" i="73"/>
  <c r="H202" i="73" s="1"/>
  <c r="H231" i="73" s="1" a="1"/>
  <c r="H231" i="73" s="1"/>
  <c r="I231" i="73" s="1"/>
  <c r="D194" i="73"/>
  <c r="H194" i="73" s="1"/>
  <c r="H223" i="73" s="1" a="1"/>
  <c r="H223" i="73" s="1"/>
  <c r="I223" i="73" s="1"/>
  <c r="D208" i="73"/>
  <c r="H208" i="73" s="1"/>
  <c r="H237" i="73" s="1" a="1"/>
  <c r="H237" i="73" s="1"/>
  <c r="D200" i="73"/>
  <c r="H200" i="73" s="1"/>
  <c r="H229" i="73" s="1" a="1"/>
  <c r="H229" i="73" s="1"/>
  <c r="I229" i="73" s="1"/>
  <c r="D192" i="73"/>
  <c r="H192" i="73" s="1"/>
  <c r="H221" i="73" s="1" a="1"/>
  <c r="H221" i="73" s="1"/>
  <c r="I221" i="73" s="1"/>
  <c r="D198" i="73"/>
  <c r="H198" i="73" s="1"/>
  <c r="H227" i="73" s="1" a="1"/>
  <c r="H227" i="73" s="1"/>
  <c r="D212" i="73"/>
  <c r="H212" i="73" s="1"/>
  <c r="H241" i="73" s="1" a="1"/>
  <c r="H241" i="73" s="1"/>
  <c r="I241" i="73" s="1"/>
  <c r="D196" i="73"/>
  <c r="H196" i="73" s="1"/>
  <c r="H225" i="73" s="1" a="1"/>
  <c r="H225" i="73" s="1"/>
  <c r="I225" i="73" s="1"/>
  <c r="D206" i="73"/>
  <c r="H206" i="73" s="1"/>
  <c r="H235" i="73" s="1" a="1"/>
  <c r="H235" i="73" s="1"/>
  <c r="I235" i="73" s="1"/>
  <c r="D204" i="73"/>
  <c r="H204" i="73" s="1"/>
  <c r="H233" i="73" s="1" a="1"/>
  <c r="H233" i="73" s="1"/>
  <c r="I233" i="73" s="1"/>
  <c r="D203" i="73"/>
  <c r="H203" i="73" s="1"/>
  <c r="H232" i="73" s="1" a="1"/>
  <c r="H232" i="73" s="1"/>
  <c r="D205" i="73"/>
  <c r="H205" i="73" s="1"/>
  <c r="H234" i="73" s="1" a="1"/>
  <c r="H234" i="73" s="1"/>
  <c r="I234" i="73" s="1"/>
  <c r="D211" i="73"/>
  <c r="H211" i="73" s="1"/>
  <c r="H240" i="73" s="1" a="1"/>
  <c r="H240" i="73" s="1"/>
  <c r="I240" i="73" s="1"/>
  <c r="D197" i="73"/>
  <c r="H197" i="73" s="1"/>
  <c r="H226" i="73" s="1" a="1"/>
  <c r="H226" i="73" s="1"/>
  <c r="I226" i="73" s="1"/>
  <c r="D201" i="73"/>
  <c r="H201" i="73" s="1"/>
  <c r="H230" i="73" s="1" a="1"/>
  <c r="H230" i="73" s="1"/>
  <c r="I230" i="73" s="1"/>
  <c r="D207" i="73"/>
  <c r="H207" i="73" s="1"/>
  <c r="H236" i="73" s="1" a="1"/>
  <c r="H236" i="73" s="1"/>
  <c r="I236" i="73" s="1"/>
  <c r="D193" i="73"/>
  <c r="H193" i="73" s="1"/>
  <c r="H222" i="73" s="1" a="1"/>
  <c r="H222" i="73" s="1"/>
  <c r="D209" i="73"/>
  <c r="H209" i="73" s="1"/>
  <c r="H238" i="73" s="1" a="1"/>
  <c r="H238" i="73" s="1"/>
  <c r="I238" i="73" s="1"/>
  <c r="D195" i="73"/>
  <c r="H195" i="73" s="1"/>
  <c r="H224" i="73" s="1" a="1"/>
  <c r="H224" i="73" s="1"/>
  <c r="I224" i="73" s="1"/>
  <c r="D213" i="73"/>
  <c r="H213" i="73" s="1"/>
  <c r="H242" i="73" s="1" a="1"/>
  <c r="H242" i="73" s="1"/>
  <c r="D199" i="73"/>
  <c r="H199" i="73" s="1"/>
  <c r="H228" i="73" s="1" a="1"/>
  <c r="H228" i="73" s="1"/>
  <c r="I228" i="73" s="1"/>
  <c r="D224" i="87"/>
  <c r="H224" i="87" s="1"/>
  <c r="H253" i="87" s="1" a="1"/>
  <c r="H253" i="87" s="1"/>
  <c r="I253" i="87" s="1"/>
  <c r="D217" i="87"/>
  <c r="H217" i="87" s="1"/>
  <c r="H246" i="87" s="1" a="1"/>
  <c r="H246" i="87" s="1"/>
  <c r="I246" i="87" s="1"/>
  <c r="D227" i="87"/>
  <c r="H227" i="87" s="1"/>
  <c r="H256" i="87" s="1" a="1"/>
  <c r="H256" i="87" s="1"/>
  <c r="I256" i="87" s="1"/>
  <c r="D219" i="87"/>
  <c r="H219" i="87" s="1"/>
  <c r="H248" i="87" s="1" a="1"/>
  <c r="H248" i="87" s="1"/>
  <c r="I248" i="87" s="1"/>
  <c r="K208" i="85"/>
  <c r="J142" i="83"/>
  <c r="H187" i="81"/>
  <c r="K208" i="82"/>
  <c r="H207" i="85"/>
  <c r="J257" i="79"/>
  <c r="D228" i="79"/>
  <c r="H228" i="79" s="1"/>
  <c r="H257" i="79" s="1" a="1"/>
  <c r="H257" i="79" s="1"/>
  <c r="D227" i="79"/>
  <c r="H227" i="79" s="1"/>
  <c r="H256" i="79" s="1" a="1"/>
  <c r="H256" i="79" s="1"/>
  <c r="I256" i="79" s="1"/>
  <c r="D232" i="79"/>
  <c r="H232" i="79" s="1"/>
  <c r="H261" i="79" s="1" a="1"/>
  <c r="H261" i="79" s="1"/>
  <c r="I261" i="79" s="1"/>
  <c r="D214" i="79"/>
  <c r="H214" i="79" s="1"/>
  <c r="H243" i="79" s="1" a="1"/>
  <c r="H243" i="79" s="1"/>
  <c r="I243" i="79" s="1"/>
  <c r="D215" i="79"/>
  <c r="H215" i="79" s="1"/>
  <c r="H244" i="79" s="1" a="1"/>
  <c r="H244" i="79" s="1"/>
  <c r="I244" i="79" s="1"/>
  <c r="D217" i="79"/>
  <c r="H217" i="79" s="1"/>
  <c r="H246" i="79" s="1" a="1"/>
  <c r="H246" i="79" s="1"/>
  <c r="I246" i="79" s="1"/>
  <c r="D220" i="79"/>
  <c r="H220" i="79" s="1"/>
  <c r="H249" i="79" s="1" a="1"/>
  <c r="H249" i="79" s="1"/>
  <c r="I249" i="79" s="1"/>
  <c r="D221" i="79"/>
  <c r="H221" i="79" s="1"/>
  <c r="H250" i="79" s="1" a="1"/>
  <c r="H250" i="79" s="1"/>
  <c r="I250" i="79" s="1"/>
  <c r="D218" i="79"/>
  <c r="H218" i="79" s="1"/>
  <c r="H247" i="79" s="1" a="1"/>
  <c r="H247" i="79" s="1"/>
  <c r="D233" i="79"/>
  <c r="H233" i="79" s="1"/>
  <c r="H262" i="79" s="1" a="1"/>
  <c r="H262" i="79" s="1"/>
  <c r="D224" i="79"/>
  <c r="H224" i="79" s="1"/>
  <c r="H253" i="79" s="1" a="1"/>
  <c r="H253" i="79" s="1"/>
  <c r="I253" i="79" s="1"/>
  <c r="D212" i="79"/>
  <c r="H212" i="79" s="1"/>
  <c r="H241" i="79" s="1" a="1"/>
  <c r="H241" i="79" s="1"/>
  <c r="I241" i="79" s="1"/>
  <c r="D226" i="79"/>
  <c r="H226" i="79" s="1"/>
  <c r="H255" i="79" s="1" a="1"/>
  <c r="H255" i="79" s="1"/>
  <c r="I255" i="79" s="1"/>
  <c r="D229" i="79"/>
  <c r="H229" i="79" s="1"/>
  <c r="H258" i="79" s="1" a="1"/>
  <c r="H258" i="79" s="1"/>
  <c r="I258" i="79" s="1"/>
  <c r="D222" i="79"/>
  <c r="H222" i="79" s="1"/>
  <c r="H251" i="79" s="1" a="1"/>
  <c r="H251" i="79" s="1"/>
  <c r="I251" i="79" s="1"/>
  <c r="D230" i="79"/>
  <c r="H230" i="79" s="1"/>
  <c r="H259" i="79" s="1" a="1"/>
  <c r="H259" i="79" s="1"/>
  <c r="I259" i="79" s="1"/>
  <c r="D225" i="79"/>
  <c r="H225" i="79" s="1"/>
  <c r="H254" i="79" s="1" a="1"/>
  <c r="H254" i="79" s="1"/>
  <c r="I254" i="79" s="1"/>
  <c r="D213" i="79"/>
  <c r="H213" i="79" s="1"/>
  <c r="H242" i="79" s="1" a="1"/>
  <c r="H242" i="79" s="1"/>
  <c r="D216" i="79"/>
  <c r="H216" i="79" s="1"/>
  <c r="H245" i="79" s="1" a="1"/>
  <c r="H245" i="79" s="1"/>
  <c r="I245" i="79" s="1"/>
  <c r="D219" i="79"/>
  <c r="H219" i="79" s="1"/>
  <c r="H248" i="79" s="1" a="1"/>
  <c r="H248" i="79" s="1"/>
  <c r="I248" i="79" s="1"/>
  <c r="D223" i="79"/>
  <c r="H223" i="79" s="1"/>
  <c r="H252" i="79" s="1" a="1"/>
  <c r="H252" i="79" s="1"/>
  <c r="D231" i="79"/>
  <c r="H231" i="79" s="1"/>
  <c r="H260" i="79" s="1" a="1"/>
  <c r="H260" i="79" s="1"/>
  <c r="I260" i="79" s="1"/>
  <c r="J247" i="79"/>
  <c r="J252" i="79"/>
  <c r="J253" i="85"/>
  <c r="D105" i="83"/>
  <c r="H105" i="83" s="1"/>
  <c r="F221" i="83" s="1" a="1"/>
  <c r="F221" i="83" s="1"/>
  <c r="D109" i="83"/>
  <c r="H109" i="83" s="1"/>
  <c r="F225" i="83" s="1" a="1"/>
  <c r="F225" i="83" s="1"/>
  <c r="D120" i="83"/>
  <c r="H120" i="83" s="1"/>
  <c r="F236" i="83" s="1" a="1"/>
  <c r="F236" i="83" s="1"/>
  <c r="D107" i="83"/>
  <c r="H107" i="83" s="1"/>
  <c r="F223" i="83" s="1" a="1"/>
  <c r="F223" i="83" s="1"/>
  <c r="D110" i="83"/>
  <c r="H110" i="83" s="1"/>
  <c r="F226" i="83" s="1" a="1"/>
  <c r="F226" i="83" s="1"/>
  <c r="D115" i="83"/>
  <c r="H115" i="83" s="1"/>
  <c r="F231" i="83" s="1" a="1"/>
  <c r="F231" i="83" s="1"/>
  <c r="D125" i="83"/>
  <c r="H125" i="83" s="1"/>
  <c r="F241" i="83" s="1" a="1"/>
  <c r="F241" i="83" s="1"/>
  <c r="D114" i="83"/>
  <c r="H114" i="83" s="1"/>
  <c r="F230" i="83" s="1" a="1"/>
  <c r="F230" i="83" s="1"/>
  <c r="D113" i="83"/>
  <c r="H113" i="83" s="1"/>
  <c r="F229" i="83" s="1" a="1"/>
  <c r="F229" i="83" s="1"/>
  <c r="D119" i="83"/>
  <c r="H119" i="83" s="1"/>
  <c r="F235" i="83" s="1" a="1"/>
  <c r="F235" i="83" s="1"/>
  <c r="D121" i="83"/>
  <c r="H121" i="83" s="1"/>
  <c r="F237" i="83" s="1" a="1"/>
  <c r="F237" i="83" s="1"/>
  <c r="D106" i="83"/>
  <c r="H106" i="83" s="1"/>
  <c r="F222" i="83" s="1" a="1"/>
  <c r="F222" i="83" s="1"/>
  <c r="D108" i="83"/>
  <c r="H108" i="83" s="1"/>
  <c r="F224" i="83" s="1" a="1"/>
  <c r="F224" i="83" s="1"/>
  <c r="D122" i="83"/>
  <c r="H122" i="83" s="1"/>
  <c r="F238" i="83" s="1" a="1"/>
  <c r="F238" i="83" s="1"/>
  <c r="D118" i="83"/>
  <c r="H118" i="83" s="1"/>
  <c r="F234" i="83" s="1" a="1"/>
  <c r="F234" i="83" s="1"/>
  <c r="D111" i="83"/>
  <c r="H111" i="83" s="1"/>
  <c r="F227" i="83" s="1" a="1"/>
  <c r="F227" i="83" s="1"/>
  <c r="D123" i="83"/>
  <c r="H123" i="83" s="1"/>
  <c r="F239" i="83" s="1" a="1"/>
  <c r="F239" i="83" s="1"/>
  <c r="D126" i="83"/>
  <c r="H126" i="83" s="1"/>
  <c r="F242" i="83" s="1" a="1"/>
  <c r="F242" i="83" s="1"/>
  <c r="H29" i="84" s="1"/>
  <c r="D124" i="83"/>
  <c r="H124" i="83" s="1"/>
  <c r="F240" i="83" s="1" a="1"/>
  <c r="F240" i="83" s="1"/>
  <c r="D112" i="83"/>
  <c r="H112" i="83" s="1"/>
  <c r="F228" i="83" s="1" a="1"/>
  <c r="F228" i="83" s="1"/>
  <c r="D117" i="83"/>
  <c r="H117" i="83" s="1"/>
  <c r="F233" i="83" s="1" a="1"/>
  <c r="F233" i="83" s="1"/>
  <c r="J242" i="79"/>
  <c r="P130" i="89" l="1"/>
  <c r="N131" i="89"/>
  <c r="N117" i="89"/>
  <c r="P117" i="89" s="1"/>
  <c r="E37" i="103"/>
  <c r="D97" i="90"/>
  <c r="E82" i="103" s="1"/>
  <c r="D75" i="90"/>
  <c r="E38" i="103" s="1"/>
  <c r="G17" i="70"/>
  <c r="H17" i="70"/>
  <c r="J238" i="106"/>
  <c r="C32" i="117"/>
  <c r="C36" i="117" s="1"/>
  <c r="C35" i="117"/>
  <c r="D34" i="117"/>
  <c r="D31" i="117"/>
  <c r="J234" i="106"/>
  <c r="I242" i="108"/>
  <c r="I237" i="108"/>
  <c r="I232" i="108"/>
  <c r="F10" i="70"/>
  <c r="D80" i="90"/>
  <c r="D103" i="90" s="1"/>
  <c r="J235" i="106"/>
  <c r="D215" i="105"/>
  <c r="H215" i="105" s="1"/>
  <c r="H244" i="105" s="1" a="1"/>
  <c r="H244" i="105" s="1"/>
  <c r="I244" i="105" s="1"/>
  <c r="D233" i="105"/>
  <c r="H233" i="105" s="1"/>
  <c r="H262" i="105" s="1" a="1"/>
  <c r="H262" i="105" s="1"/>
  <c r="I262" i="105" s="1"/>
  <c r="H187" i="106"/>
  <c r="D212" i="106" s="1"/>
  <c r="H212" i="106" s="1"/>
  <c r="H241" i="106" s="1" a="1"/>
  <c r="H241" i="106" s="1"/>
  <c r="I241" i="106" s="1"/>
  <c r="J221" i="106"/>
  <c r="J231" i="106"/>
  <c r="J230" i="106"/>
  <c r="D218" i="105"/>
  <c r="H218" i="105" s="1"/>
  <c r="H247" i="105" s="1" a="1"/>
  <c r="H247" i="105" s="1"/>
  <c r="D222" i="105"/>
  <c r="H222" i="105" s="1"/>
  <c r="H251" i="105" s="1" a="1"/>
  <c r="H251" i="105" s="1"/>
  <c r="I251" i="105" s="1"/>
  <c r="D219" i="105"/>
  <c r="H219" i="105" s="1"/>
  <c r="H248" i="105" s="1" a="1"/>
  <c r="H248" i="105" s="1"/>
  <c r="I248" i="105" s="1"/>
  <c r="J236" i="106"/>
  <c r="D212" i="105"/>
  <c r="H212" i="105" s="1"/>
  <c r="H241" i="105" s="1" a="1"/>
  <c r="H241" i="105" s="1"/>
  <c r="I241" i="105" s="1"/>
  <c r="D232" i="105"/>
  <c r="H232" i="105" s="1"/>
  <c r="H261" i="105" s="1" a="1"/>
  <c r="H261" i="105" s="1"/>
  <c r="I261" i="105" s="1"/>
  <c r="J228" i="106"/>
  <c r="J233" i="106"/>
  <c r="I227" i="71"/>
  <c r="E59" i="89"/>
  <c r="E71" i="89" s="1"/>
  <c r="E179" i="89" s="1"/>
  <c r="D61" i="89"/>
  <c r="D73" i="89" s="1"/>
  <c r="D181" i="89" s="1"/>
  <c r="I262" i="69"/>
  <c r="D228" i="105"/>
  <c r="H228" i="105" s="1"/>
  <c r="H257" i="105" s="1" a="1"/>
  <c r="H257" i="105" s="1"/>
  <c r="I257" i="105" s="1"/>
  <c r="D231" i="105"/>
  <c r="H231" i="105" s="1"/>
  <c r="H260" i="105" s="1" a="1"/>
  <c r="H260" i="105" s="1"/>
  <c r="I260" i="105" s="1"/>
  <c r="D217" i="105"/>
  <c r="H217" i="105" s="1"/>
  <c r="H246" i="105" s="1" a="1"/>
  <c r="H246" i="105" s="1"/>
  <c r="I246" i="105" s="1"/>
  <c r="D221" i="105"/>
  <c r="H221" i="105" s="1"/>
  <c r="H250" i="105" s="1" a="1"/>
  <c r="H250" i="105" s="1"/>
  <c r="I250" i="105" s="1"/>
  <c r="D220" i="105"/>
  <c r="H220" i="105" s="1"/>
  <c r="H249" i="105" s="1" a="1"/>
  <c r="H249" i="105" s="1"/>
  <c r="I249" i="105" s="1"/>
  <c r="J240" i="106"/>
  <c r="D214" i="105"/>
  <c r="H214" i="105" s="1"/>
  <c r="H243" i="105" s="1" a="1"/>
  <c r="H243" i="105" s="1"/>
  <c r="I243" i="105" s="1"/>
  <c r="D227" i="105"/>
  <c r="H227" i="105" s="1"/>
  <c r="H256" i="105" s="1" a="1"/>
  <c r="H256" i="105" s="1"/>
  <c r="I256" i="105" s="1"/>
  <c r="D226" i="105"/>
  <c r="H226" i="105" s="1"/>
  <c r="H255" i="105" s="1" a="1"/>
  <c r="H255" i="105" s="1"/>
  <c r="I255" i="105" s="1"/>
  <c r="D230" i="105"/>
  <c r="H230" i="105" s="1"/>
  <c r="H259" i="105" s="1" a="1"/>
  <c r="H259" i="105" s="1"/>
  <c r="I259" i="105" s="1"/>
  <c r="D229" i="105"/>
  <c r="H229" i="105" s="1"/>
  <c r="H258" i="105" s="1" a="1"/>
  <c r="H258" i="105" s="1"/>
  <c r="I258" i="105" s="1"/>
  <c r="D223" i="105"/>
  <c r="H223" i="105" s="1"/>
  <c r="H252" i="105" s="1" a="1"/>
  <c r="H252" i="105" s="1"/>
  <c r="I252" i="105" s="1"/>
  <c r="D216" i="105"/>
  <c r="H216" i="105" s="1"/>
  <c r="H245" i="105" s="1" a="1"/>
  <c r="H245" i="105" s="1"/>
  <c r="I245" i="105" s="1"/>
  <c r="D213" i="105"/>
  <c r="H213" i="105" s="1"/>
  <c r="H242" i="105" s="1" a="1"/>
  <c r="H242" i="105" s="1"/>
  <c r="I242" i="105" s="1"/>
  <c r="D224" i="105"/>
  <c r="H224" i="105" s="1"/>
  <c r="H253" i="105" s="1" a="1"/>
  <c r="H253" i="105" s="1"/>
  <c r="I253" i="105" s="1"/>
  <c r="D225" i="105"/>
  <c r="H225" i="105" s="1"/>
  <c r="H254" i="105" s="1" a="1"/>
  <c r="H254" i="105" s="1"/>
  <c r="I254" i="105" s="1"/>
  <c r="D58" i="89"/>
  <c r="D70" i="89" s="1"/>
  <c r="D178" i="89" s="1"/>
  <c r="I242" i="71"/>
  <c r="J224" i="106"/>
  <c r="J226" i="106"/>
  <c r="J239" i="106"/>
  <c r="J223" i="106"/>
  <c r="J229" i="106"/>
  <c r="J225" i="106"/>
  <c r="I232" i="71"/>
  <c r="J242" i="106"/>
  <c r="J237" i="106"/>
  <c r="J232" i="106"/>
  <c r="J222" i="106"/>
  <c r="J227" i="106"/>
  <c r="H187" i="83"/>
  <c r="J237" i="81"/>
  <c r="D229" i="85"/>
  <c r="H229" i="85" s="1"/>
  <c r="H258" i="85" s="1" a="1"/>
  <c r="H258" i="85" s="1"/>
  <c r="I258" i="85" s="1"/>
  <c r="J242" i="81"/>
  <c r="E14" i="84"/>
  <c r="J222" i="81"/>
  <c r="F14" i="84"/>
  <c r="I257" i="69"/>
  <c r="I247" i="69"/>
  <c r="I222" i="71"/>
  <c r="D150" i="83"/>
  <c r="H150" i="83" s="1"/>
  <c r="G224" i="83" s="1" a="1"/>
  <c r="G224" i="83" s="1"/>
  <c r="J224" i="83" s="1"/>
  <c r="K188" i="83"/>
  <c r="D152" i="83"/>
  <c r="H152" i="83" s="1"/>
  <c r="G226" i="83" s="1" a="1"/>
  <c r="G226" i="83" s="1"/>
  <c r="J226" i="83" s="1"/>
  <c r="D222" i="82"/>
  <c r="H222" i="82" s="1"/>
  <c r="H251" i="82" s="1" a="1"/>
  <c r="H251" i="82" s="1"/>
  <c r="I251" i="82" s="1"/>
  <c r="D227" i="82"/>
  <c r="H227" i="82" s="1"/>
  <c r="H256" i="82" s="1" a="1"/>
  <c r="H256" i="82" s="1"/>
  <c r="I256" i="82" s="1"/>
  <c r="D228" i="82"/>
  <c r="H228" i="82" s="1"/>
  <c r="H257" i="82" s="1" a="1"/>
  <c r="H257" i="82" s="1"/>
  <c r="I257" i="82" s="1"/>
  <c r="D157" i="83"/>
  <c r="H157" i="83" s="1"/>
  <c r="G231" i="83" s="1" a="1"/>
  <c r="G231" i="83" s="1"/>
  <c r="J231" i="83" s="1"/>
  <c r="D218" i="82"/>
  <c r="H218" i="82" s="1"/>
  <c r="H247" i="82" s="1" a="1"/>
  <c r="H247" i="82" s="1"/>
  <c r="E25" i="84" s="1"/>
  <c r="D165" i="83"/>
  <c r="H165" i="83" s="1"/>
  <c r="G239" i="83" s="1" a="1"/>
  <c r="G239" i="83" s="1"/>
  <c r="J239" i="83" s="1"/>
  <c r="D217" i="82"/>
  <c r="H217" i="82" s="1"/>
  <c r="H246" i="82" s="1" a="1"/>
  <c r="H246" i="82" s="1"/>
  <c r="I246" i="82" s="1"/>
  <c r="D215" i="82"/>
  <c r="H215" i="82" s="1"/>
  <c r="H244" i="82" s="1" a="1"/>
  <c r="H244" i="82" s="1"/>
  <c r="I244" i="82" s="1"/>
  <c r="I232" i="88"/>
  <c r="D216" i="82"/>
  <c r="H216" i="82" s="1"/>
  <c r="H245" i="82" s="1" a="1"/>
  <c r="H245" i="82" s="1"/>
  <c r="I245" i="82" s="1"/>
  <c r="D164" i="83"/>
  <c r="H164" i="83" s="1"/>
  <c r="G238" i="83" s="1" a="1"/>
  <c r="G238" i="83" s="1"/>
  <c r="J238" i="83" s="1"/>
  <c r="D232" i="82"/>
  <c r="H232" i="82" s="1"/>
  <c r="H261" i="82" s="1" a="1"/>
  <c r="H261" i="82" s="1"/>
  <c r="I261" i="82" s="1"/>
  <c r="D162" i="83"/>
  <c r="H162" i="83" s="1"/>
  <c r="G236" i="83" s="1" a="1"/>
  <c r="G236" i="83" s="1"/>
  <c r="J236" i="83" s="1"/>
  <c r="I237" i="71"/>
  <c r="D221" i="82"/>
  <c r="H221" i="82" s="1"/>
  <c r="H250" i="82" s="1" a="1"/>
  <c r="H250" i="82" s="1"/>
  <c r="I250" i="82" s="1"/>
  <c r="D211" i="81"/>
  <c r="H211" i="81" s="1"/>
  <c r="H240" i="81" s="1" a="1"/>
  <c r="H240" i="81" s="1"/>
  <c r="I240" i="81" s="1"/>
  <c r="E35" i="103"/>
  <c r="D151" i="83"/>
  <c r="H151" i="83" s="1"/>
  <c r="G225" i="83" s="1" a="1"/>
  <c r="G225" i="83" s="1"/>
  <c r="J225" i="83" s="1"/>
  <c r="D153" i="83"/>
  <c r="H153" i="83" s="1"/>
  <c r="G227" i="83" s="1" a="1"/>
  <c r="G227" i="83" s="1"/>
  <c r="E30" i="84" s="1"/>
  <c r="D166" i="83"/>
  <c r="H166" i="83" s="1"/>
  <c r="G240" i="83" s="1" a="1"/>
  <c r="G240" i="83" s="1"/>
  <c r="J240" i="83" s="1"/>
  <c r="D168" i="83"/>
  <c r="H168" i="83" s="1"/>
  <c r="G242" i="83" s="1" a="1"/>
  <c r="G242" i="83" s="1"/>
  <c r="H30" i="84" s="1"/>
  <c r="D148" i="83"/>
  <c r="H148" i="83" s="1"/>
  <c r="G222" i="83" s="1" a="1"/>
  <c r="G222" i="83" s="1"/>
  <c r="D30" i="84" s="1"/>
  <c r="D161" i="83"/>
  <c r="H161" i="83" s="1"/>
  <c r="G235" i="83" s="1" a="1"/>
  <c r="G235" i="83" s="1"/>
  <c r="J235" i="83" s="1"/>
  <c r="D167" i="83"/>
  <c r="H167" i="83" s="1"/>
  <c r="G241" i="83" s="1" a="1"/>
  <c r="G241" i="83" s="1"/>
  <c r="J241" i="83" s="1"/>
  <c r="D197" i="81"/>
  <c r="H197" i="81" s="1"/>
  <c r="H226" i="81" s="1" a="1"/>
  <c r="H226" i="81" s="1"/>
  <c r="I226" i="81" s="1"/>
  <c r="D95" i="90"/>
  <c r="E80" i="103" s="1"/>
  <c r="D93" i="90"/>
  <c r="E78" i="103" s="1"/>
  <c r="E79" i="103"/>
  <c r="D208" i="86"/>
  <c r="H208" i="86" s="1"/>
  <c r="H237" i="86" s="1" a="1"/>
  <c r="H237" i="86" s="1"/>
  <c r="D158" i="83"/>
  <c r="H158" i="83" s="1"/>
  <c r="G232" i="83" s="1" a="1"/>
  <c r="G232" i="83" s="1"/>
  <c r="F30" i="84" s="1"/>
  <c r="D160" i="83"/>
  <c r="H160" i="83" s="1"/>
  <c r="G234" i="83" s="1" a="1"/>
  <c r="G234" i="83" s="1"/>
  <c r="J234" i="83" s="1"/>
  <c r="D154" i="83"/>
  <c r="H154" i="83" s="1"/>
  <c r="G228" i="83" s="1" a="1"/>
  <c r="G228" i="83" s="1"/>
  <c r="J228" i="83" s="1"/>
  <c r="D156" i="83"/>
  <c r="H156" i="83" s="1"/>
  <c r="G230" i="83" s="1" a="1"/>
  <c r="G230" i="83" s="1"/>
  <c r="J230" i="83" s="1"/>
  <c r="D149" i="83"/>
  <c r="H149" i="83" s="1"/>
  <c r="G223" i="83" s="1" a="1"/>
  <c r="G223" i="83" s="1"/>
  <c r="J223" i="83" s="1"/>
  <c r="D159" i="83"/>
  <c r="H159" i="83" s="1"/>
  <c r="G233" i="83" s="1" a="1"/>
  <c r="G233" i="83" s="1"/>
  <c r="J233" i="83" s="1"/>
  <c r="D163" i="83"/>
  <c r="H163" i="83" s="1"/>
  <c r="G237" i="83" s="1" a="1"/>
  <c r="G237" i="83" s="1"/>
  <c r="G30" i="84" s="1"/>
  <c r="D155" i="83"/>
  <c r="H155" i="83" s="1"/>
  <c r="G229" i="83" s="1" a="1"/>
  <c r="G229" i="83" s="1"/>
  <c r="J229" i="83" s="1"/>
  <c r="D147" i="83"/>
  <c r="H147" i="83" s="1"/>
  <c r="G221" i="83" s="1" a="1"/>
  <c r="G221" i="83" s="1"/>
  <c r="J221" i="83" s="1"/>
  <c r="D233" i="85"/>
  <c r="H233" i="85" s="1"/>
  <c r="H262" i="85" s="1" a="1"/>
  <c r="H262" i="85" s="1"/>
  <c r="H42" i="84" s="1"/>
  <c r="D220" i="82"/>
  <c r="H220" i="82" s="1"/>
  <c r="H249" i="82" s="1" a="1"/>
  <c r="H249" i="82" s="1"/>
  <c r="I249" i="82" s="1"/>
  <c r="D207" i="86"/>
  <c r="H207" i="86" s="1"/>
  <c r="H236" i="86" s="1" a="1"/>
  <c r="H236" i="86" s="1"/>
  <c r="I236" i="86" s="1"/>
  <c r="D197" i="86"/>
  <c r="H197" i="86" s="1"/>
  <c r="H226" i="86" s="1" a="1"/>
  <c r="H226" i="86" s="1"/>
  <c r="I226" i="86" s="1"/>
  <c r="D199" i="86"/>
  <c r="H199" i="86" s="1"/>
  <c r="H228" i="86" s="1" a="1"/>
  <c r="H228" i="86" s="1"/>
  <c r="I228" i="86" s="1"/>
  <c r="D211" i="86"/>
  <c r="H211" i="86" s="1"/>
  <c r="H240" i="86" s="1" a="1"/>
  <c r="H240" i="86" s="1"/>
  <c r="I240" i="86" s="1"/>
  <c r="D204" i="86"/>
  <c r="H204" i="86" s="1"/>
  <c r="H233" i="86" s="1" a="1"/>
  <c r="H233" i="86" s="1"/>
  <c r="I233" i="86" s="1"/>
  <c r="D206" i="86"/>
  <c r="H206" i="86" s="1"/>
  <c r="H235" i="86" s="1" a="1"/>
  <c r="H235" i="86" s="1"/>
  <c r="I235" i="86" s="1"/>
  <c r="D192" i="86"/>
  <c r="H192" i="86" s="1"/>
  <c r="H221" i="86" s="1" a="1"/>
  <c r="H221" i="86" s="1"/>
  <c r="I221" i="86" s="1"/>
  <c r="D198" i="86"/>
  <c r="H198" i="86" s="1"/>
  <c r="H227" i="86" s="1" a="1"/>
  <c r="H227" i="86" s="1"/>
  <c r="D210" i="86"/>
  <c r="H210" i="86" s="1"/>
  <c r="H239" i="86" s="1" a="1"/>
  <c r="H239" i="86" s="1"/>
  <c r="I239" i="86" s="1"/>
  <c r="D202" i="86"/>
  <c r="H202" i="86" s="1"/>
  <c r="H231" i="86" s="1" a="1"/>
  <c r="H231" i="86" s="1"/>
  <c r="I231" i="86" s="1"/>
  <c r="D196" i="86"/>
  <c r="H196" i="86" s="1"/>
  <c r="H225" i="86" s="1" a="1"/>
  <c r="H225" i="86" s="1"/>
  <c r="I225" i="86" s="1"/>
  <c r="D200" i="86"/>
  <c r="H200" i="86" s="1"/>
  <c r="H229" i="86" s="1" a="1"/>
  <c r="H229" i="86" s="1"/>
  <c r="I229" i="86" s="1"/>
  <c r="D201" i="86"/>
  <c r="H201" i="86" s="1"/>
  <c r="H230" i="86" s="1" a="1"/>
  <c r="H230" i="86" s="1"/>
  <c r="I230" i="86" s="1"/>
  <c r="D209" i="86"/>
  <c r="H209" i="86" s="1"/>
  <c r="H238" i="86" s="1" a="1"/>
  <c r="H238" i="86" s="1"/>
  <c r="I238" i="86" s="1"/>
  <c r="D212" i="86"/>
  <c r="H212" i="86" s="1"/>
  <c r="H241" i="86" s="1" a="1"/>
  <c r="H241" i="86" s="1"/>
  <c r="I241" i="86" s="1"/>
  <c r="D195" i="86"/>
  <c r="H195" i="86" s="1"/>
  <c r="H224" i="86" s="1" a="1"/>
  <c r="H224" i="86" s="1"/>
  <c r="I224" i="86" s="1"/>
  <c r="D213" i="86"/>
  <c r="H213" i="86" s="1"/>
  <c r="H242" i="86" s="1" a="1"/>
  <c r="H242" i="86" s="1"/>
  <c r="D203" i="86"/>
  <c r="H203" i="86" s="1"/>
  <c r="H232" i="86" s="1" a="1"/>
  <c r="H232" i="86" s="1"/>
  <c r="D194" i="86"/>
  <c r="H194" i="86" s="1"/>
  <c r="H223" i="86" s="1" a="1"/>
  <c r="H223" i="86" s="1"/>
  <c r="I223" i="86" s="1"/>
  <c r="D205" i="86"/>
  <c r="H205" i="86" s="1"/>
  <c r="H234" i="86" s="1" a="1"/>
  <c r="H234" i="86" s="1"/>
  <c r="I234" i="86" s="1"/>
  <c r="D193" i="86"/>
  <c r="H193" i="86" s="1"/>
  <c r="H222" i="86" s="1" a="1"/>
  <c r="H222" i="86" s="1"/>
  <c r="E32" i="70"/>
  <c r="I227" i="73"/>
  <c r="I262" i="87"/>
  <c r="H42" i="70"/>
  <c r="I242" i="87"/>
  <c r="D42" i="70"/>
  <c r="H48" i="70"/>
  <c r="I242" i="88"/>
  <c r="I252" i="87"/>
  <c r="F42" i="70"/>
  <c r="D232" i="85"/>
  <c r="H232" i="85" s="1"/>
  <c r="H261" i="85" s="1" a="1"/>
  <c r="H261" i="85" s="1"/>
  <c r="I261" i="85" s="1"/>
  <c r="D32" i="70"/>
  <c r="I222" i="73"/>
  <c r="G26" i="70"/>
  <c r="I257" i="72"/>
  <c r="D229" i="82"/>
  <c r="H229" i="82" s="1"/>
  <c r="H258" i="82" s="1" a="1"/>
  <c r="H258" i="82" s="1"/>
  <c r="I258" i="82" s="1"/>
  <c r="D231" i="82"/>
  <c r="H231" i="82" s="1"/>
  <c r="H260" i="82" s="1" a="1"/>
  <c r="H260" i="82" s="1"/>
  <c r="I260" i="82" s="1"/>
  <c r="D223" i="82"/>
  <c r="H223" i="82" s="1"/>
  <c r="H252" i="82" s="1" a="1"/>
  <c r="H252" i="82" s="1"/>
  <c r="F25" i="84" s="1"/>
  <c r="D212" i="82"/>
  <c r="H212" i="82" s="1"/>
  <c r="H241" i="82" s="1" a="1"/>
  <c r="H241" i="82" s="1"/>
  <c r="I241" i="82" s="1"/>
  <c r="D230" i="85"/>
  <c r="H230" i="85" s="1"/>
  <c r="H259" i="85" s="1" a="1"/>
  <c r="H259" i="85" s="1"/>
  <c r="I259" i="85" s="1"/>
  <c r="D230" i="82"/>
  <c r="H230" i="82" s="1"/>
  <c r="H259" i="82" s="1" a="1"/>
  <c r="H259" i="82" s="1"/>
  <c r="I259" i="82" s="1"/>
  <c r="D226" i="82"/>
  <c r="H226" i="82" s="1"/>
  <c r="H255" i="82" s="1" a="1"/>
  <c r="H255" i="82" s="1"/>
  <c r="I255" i="82" s="1"/>
  <c r="D204" i="81"/>
  <c r="H204" i="81" s="1"/>
  <c r="H233" i="81" s="1" a="1"/>
  <c r="H233" i="81" s="1"/>
  <c r="I233" i="81" s="1"/>
  <c r="D193" i="81"/>
  <c r="H193" i="81" s="1"/>
  <c r="H222" i="81" s="1" a="1"/>
  <c r="H222" i="81" s="1"/>
  <c r="I222" i="81" s="1"/>
  <c r="D219" i="82"/>
  <c r="H219" i="82" s="1"/>
  <c r="H248" i="82" s="1" a="1"/>
  <c r="H248" i="82" s="1"/>
  <c r="I248" i="82" s="1"/>
  <c r="H32" i="70"/>
  <c r="I242" i="73"/>
  <c r="I257" i="87"/>
  <c r="G42" i="70"/>
  <c r="E26" i="70"/>
  <c r="I247" i="72"/>
  <c r="D202" i="81"/>
  <c r="H202" i="81" s="1"/>
  <c r="H231" i="81" s="1" a="1"/>
  <c r="H231" i="81" s="1"/>
  <c r="I231" i="81" s="1"/>
  <c r="H26" i="70"/>
  <c r="I262" i="72"/>
  <c r="F26" i="70"/>
  <c r="I252" i="72"/>
  <c r="D26" i="70"/>
  <c r="I242" i="72"/>
  <c r="D233" i="82"/>
  <c r="H233" i="82" s="1"/>
  <c r="H262" i="82" s="1" a="1"/>
  <c r="H262" i="82" s="1"/>
  <c r="H25" i="84" s="1"/>
  <c r="D214" i="82"/>
  <c r="H214" i="82" s="1"/>
  <c r="H243" i="82" s="1" a="1"/>
  <c r="H243" i="82" s="1"/>
  <c r="I243" i="82" s="1"/>
  <c r="D213" i="82"/>
  <c r="H213" i="82" s="1"/>
  <c r="H242" i="82" s="1" a="1"/>
  <c r="H242" i="82" s="1"/>
  <c r="I242" i="82" s="1"/>
  <c r="D225" i="82"/>
  <c r="H225" i="82" s="1"/>
  <c r="H254" i="82" s="1" a="1"/>
  <c r="H254" i="82" s="1"/>
  <c r="I254" i="82" s="1"/>
  <c r="D224" i="82"/>
  <c r="H224" i="82" s="1"/>
  <c r="H253" i="82" s="1" a="1"/>
  <c r="H253" i="82" s="1"/>
  <c r="I253" i="82" s="1"/>
  <c r="D206" i="81"/>
  <c r="H206" i="81" s="1"/>
  <c r="H235" i="81" s="1" a="1"/>
  <c r="H235" i="81" s="1"/>
  <c r="I235" i="81" s="1"/>
  <c r="F32" i="70"/>
  <c r="I232" i="73"/>
  <c r="G32" i="70"/>
  <c r="I237" i="73"/>
  <c r="I237" i="88"/>
  <c r="I222" i="88"/>
  <c r="E48" i="70"/>
  <c r="I227" i="88"/>
  <c r="I247" i="87"/>
  <c r="E42" i="70"/>
  <c r="D231" i="85"/>
  <c r="H231" i="85" s="1"/>
  <c r="H260" i="85" s="1" a="1"/>
  <c r="H260" i="85" s="1"/>
  <c r="I260" i="85" s="1"/>
  <c r="D220" i="85"/>
  <c r="H220" i="85" s="1"/>
  <c r="H249" i="85" s="1" a="1"/>
  <c r="H249" i="85" s="1"/>
  <c r="I249" i="85" s="1"/>
  <c r="D215" i="85"/>
  <c r="H215" i="85" s="1"/>
  <c r="H244" i="85" s="1" a="1"/>
  <c r="H244" i="85" s="1"/>
  <c r="I244" i="85" s="1"/>
  <c r="D228" i="85"/>
  <c r="H228" i="85" s="1"/>
  <c r="H257" i="85" s="1" a="1"/>
  <c r="H257" i="85" s="1"/>
  <c r="D213" i="85"/>
  <c r="H213" i="85" s="1"/>
  <c r="H242" i="85" s="1" a="1"/>
  <c r="H242" i="85" s="1"/>
  <c r="D226" i="85"/>
  <c r="H226" i="85" s="1"/>
  <c r="H255" i="85" s="1" a="1"/>
  <c r="H255" i="85" s="1"/>
  <c r="I255" i="85" s="1"/>
  <c r="D216" i="85"/>
  <c r="H216" i="85" s="1"/>
  <c r="H245" i="85" s="1" a="1"/>
  <c r="H245" i="85" s="1"/>
  <c r="I245" i="85" s="1"/>
  <c r="D218" i="85"/>
  <c r="H218" i="85" s="1"/>
  <c r="H247" i="85" s="1" a="1"/>
  <c r="H247" i="85" s="1"/>
  <c r="D225" i="85"/>
  <c r="H225" i="85" s="1"/>
  <c r="H254" i="85" s="1" a="1"/>
  <c r="H254" i="85" s="1"/>
  <c r="I254" i="85" s="1"/>
  <c r="D212" i="85"/>
  <c r="H212" i="85" s="1"/>
  <c r="H241" i="85" s="1" a="1"/>
  <c r="H241" i="85" s="1"/>
  <c r="I241" i="85" s="1"/>
  <c r="D227" i="85"/>
  <c r="H227" i="85" s="1"/>
  <c r="H256" i="85" s="1" a="1"/>
  <c r="H256" i="85" s="1"/>
  <c r="I256" i="85" s="1"/>
  <c r="D198" i="81"/>
  <c r="H198" i="81" s="1"/>
  <c r="H227" i="81" s="1" a="1"/>
  <c r="H227" i="81" s="1"/>
  <c r="I227" i="81" s="1"/>
  <c r="D192" i="81"/>
  <c r="H192" i="81" s="1"/>
  <c r="H221" i="81" s="1" a="1"/>
  <c r="H221" i="81" s="1"/>
  <c r="I221" i="81" s="1"/>
  <c r="D194" i="81"/>
  <c r="H194" i="81" s="1"/>
  <c r="H223" i="81" s="1" a="1"/>
  <c r="H223" i="81" s="1"/>
  <c r="I223" i="81" s="1"/>
  <c r="D210" i="81"/>
  <c r="H210" i="81" s="1"/>
  <c r="H239" i="81" s="1" a="1"/>
  <c r="H239" i="81" s="1"/>
  <c r="I239" i="81" s="1"/>
  <c r="D212" i="81"/>
  <c r="H212" i="81" s="1"/>
  <c r="H241" i="81" s="1" a="1"/>
  <c r="H241" i="81" s="1"/>
  <c r="I241" i="81" s="1"/>
  <c r="D200" i="81"/>
  <c r="H200" i="81" s="1"/>
  <c r="H229" i="81" s="1" a="1"/>
  <c r="H229" i="81" s="1"/>
  <c r="I229" i="81" s="1"/>
  <c r="D222" i="85"/>
  <c r="H222" i="85" s="1"/>
  <c r="H251" i="85" s="1" a="1"/>
  <c r="H251" i="85" s="1"/>
  <c r="I251" i="85" s="1"/>
  <c r="D221" i="85"/>
  <c r="H221" i="85" s="1"/>
  <c r="H250" i="85" s="1" a="1"/>
  <c r="H250" i="85" s="1"/>
  <c r="I250" i="85" s="1"/>
  <c r="D196" i="81"/>
  <c r="H196" i="81" s="1"/>
  <c r="H225" i="81" s="1" a="1"/>
  <c r="H225" i="81" s="1"/>
  <c r="I225" i="81" s="1"/>
  <c r="D209" i="81"/>
  <c r="H209" i="81" s="1"/>
  <c r="H238" i="81" s="1" a="1"/>
  <c r="H238" i="81" s="1"/>
  <c r="I238" i="81" s="1"/>
  <c r="D213" i="81"/>
  <c r="H213" i="81" s="1"/>
  <c r="H242" i="81" s="1" a="1"/>
  <c r="H242" i="81" s="1"/>
  <c r="I242" i="81" s="1"/>
  <c r="D201" i="81"/>
  <c r="H201" i="81" s="1"/>
  <c r="H230" i="81" s="1" a="1"/>
  <c r="H230" i="81" s="1"/>
  <c r="I230" i="81" s="1"/>
  <c r="D208" i="81"/>
  <c r="H208" i="81" s="1"/>
  <c r="H237" i="81" s="1" a="1"/>
  <c r="H237" i="81" s="1"/>
  <c r="I237" i="81" s="1"/>
  <c r="D205" i="81"/>
  <c r="H205" i="81" s="1"/>
  <c r="H234" i="81" s="1" a="1"/>
  <c r="H234" i="81" s="1"/>
  <c r="I234" i="81" s="1"/>
  <c r="D223" i="85"/>
  <c r="H223" i="85" s="1"/>
  <c r="H252" i="85" s="1" a="1"/>
  <c r="H252" i="85" s="1"/>
  <c r="D214" i="85"/>
  <c r="H214" i="85" s="1"/>
  <c r="H243" i="85" s="1" a="1"/>
  <c r="H243" i="85" s="1"/>
  <c r="I243" i="85" s="1"/>
  <c r="D224" i="85"/>
  <c r="H224" i="85" s="1"/>
  <c r="H253" i="85" s="1" a="1"/>
  <c r="H253" i="85" s="1"/>
  <c r="I253" i="85" s="1"/>
  <c r="D217" i="85"/>
  <c r="H217" i="85" s="1"/>
  <c r="H246" i="85" s="1" a="1"/>
  <c r="H246" i="85" s="1"/>
  <c r="I246" i="85" s="1"/>
  <c r="D219" i="85"/>
  <c r="H219" i="85" s="1"/>
  <c r="H248" i="85" s="1" a="1"/>
  <c r="H248" i="85" s="1"/>
  <c r="I248" i="85" s="1"/>
  <c r="D203" i="81"/>
  <c r="H203" i="81" s="1"/>
  <c r="H232" i="81" s="1" a="1"/>
  <c r="H232" i="81" s="1"/>
  <c r="F15" i="84" s="1"/>
  <c r="D199" i="81"/>
  <c r="H199" i="81" s="1"/>
  <c r="H228" i="81" s="1" a="1"/>
  <c r="H228" i="81" s="1"/>
  <c r="I228" i="81" s="1"/>
  <c r="D195" i="81"/>
  <c r="H195" i="81" s="1"/>
  <c r="H224" i="81" s="1" a="1"/>
  <c r="H224" i="81" s="1"/>
  <c r="I224" i="81" s="1"/>
  <c r="D207" i="81"/>
  <c r="H207" i="81" s="1"/>
  <c r="H236" i="81" s="1" a="1"/>
  <c r="H236" i="81" s="1"/>
  <c r="I236" i="81" s="1"/>
  <c r="G29" i="84"/>
  <c r="I242" i="79"/>
  <c r="D9" i="84"/>
  <c r="I262" i="79"/>
  <c r="H9" i="84"/>
  <c r="I252" i="79"/>
  <c r="F9" i="84"/>
  <c r="I247" i="79"/>
  <c r="E9" i="84"/>
  <c r="I257" i="79"/>
  <c r="G9" i="84"/>
  <c r="E29" i="84"/>
  <c r="D29" i="84"/>
  <c r="K132" i="89" l="1"/>
  <c r="K118" i="89"/>
  <c r="P131" i="89"/>
  <c r="D98" i="90"/>
  <c r="E83" i="103" s="1"/>
  <c r="D96" i="90"/>
  <c r="E81" i="103" s="1"/>
  <c r="D32" i="117"/>
  <c r="D35" i="117"/>
  <c r="D208" i="106"/>
  <c r="H208" i="106" s="1"/>
  <c r="H237" i="106" s="1" a="1"/>
  <c r="H237" i="106" s="1"/>
  <c r="I237" i="106" s="1"/>
  <c r="D81" i="90"/>
  <c r="E44" i="103" s="1"/>
  <c r="E43" i="103"/>
  <c r="D200" i="106"/>
  <c r="H200" i="106" s="1"/>
  <c r="H229" i="106" s="1" a="1"/>
  <c r="H229" i="106" s="1"/>
  <c r="I229" i="106" s="1"/>
  <c r="D197" i="106"/>
  <c r="H197" i="106" s="1"/>
  <c r="H226" i="106" s="1" a="1"/>
  <c r="H226" i="106" s="1"/>
  <c r="I226" i="106" s="1"/>
  <c r="D196" i="106"/>
  <c r="H196" i="106" s="1"/>
  <c r="H225" i="106" s="1" a="1"/>
  <c r="H225" i="106" s="1"/>
  <c r="I225" i="106" s="1"/>
  <c r="D209" i="106"/>
  <c r="H209" i="106" s="1"/>
  <c r="H238" i="106" s="1" a="1"/>
  <c r="H238" i="106" s="1"/>
  <c r="I238" i="106" s="1"/>
  <c r="D202" i="106"/>
  <c r="H202" i="106" s="1"/>
  <c r="H231" i="106" s="1" a="1"/>
  <c r="H231" i="106" s="1"/>
  <c r="I231" i="106" s="1"/>
  <c r="D213" i="106"/>
  <c r="H213" i="106" s="1"/>
  <c r="H242" i="106" s="1" a="1"/>
  <c r="H242" i="106" s="1"/>
  <c r="I242" i="106" s="1"/>
  <c r="D206" i="106"/>
  <c r="H206" i="106" s="1"/>
  <c r="H235" i="106" s="1" a="1"/>
  <c r="H235" i="106" s="1"/>
  <c r="I235" i="106" s="1"/>
  <c r="D210" i="106"/>
  <c r="H210" i="106" s="1"/>
  <c r="H239" i="106" s="1" a="1"/>
  <c r="H239" i="106" s="1"/>
  <c r="I239" i="106" s="1"/>
  <c r="D201" i="106"/>
  <c r="H201" i="106" s="1"/>
  <c r="H230" i="106" s="1" a="1"/>
  <c r="H230" i="106" s="1"/>
  <c r="I230" i="106" s="1"/>
  <c r="D199" i="106"/>
  <c r="H199" i="106" s="1"/>
  <c r="H228" i="106" s="1" a="1"/>
  <c r="H228" i="106" s="1"/>
  <c r="I228" i="106" s="1"/>
  <c r="D193" i="106"/>
  <c r="H193" i="106" s="1"/>
  <c r="H222" i="106" s="1" a="1"/>
  <c r="H222" i="106" s="1"/>
  <c r="D207" i="106"/>
  <c r="H207" i="106" s="1"/>
  <c r="H236" i="106" s="1" a="1"/>
  <c r="H236" i="106" s="1"/>
  <c r="I236" i="106" s="1"/>
  <c r="D204" i="106"/>
  <c r="H204" i="106" s="1"/>
  <c r="H233" i="106" s="1" a="1"/>
  <c r="H233" i="106" s="1"/>
  <c r="I233" i="106" s="1"/>
  <c r="D195" i="106"/>
  <c r="H195" i="106" s="1"/>
  <c r="H224" i="106" s="1" a="1"/>
  <c r="H224" i="106" s="1"/>
  <c r="I224" i="106" s="1"/>
  <c r="D211" i="106"/>
  <c r="H211" i="106" s="1"/>
  <c r="H240" i="106" s="1" a="1"/>
  <c r="H240" i="106" s="1"/>
  <c r="I240" i="106" s="1"/>
  <c r="I247" i="105"/>
  <c r="D194" i="106"/>
  <c r="H194" i="106" s="1"/>
  <c r="H223" i="106" s="1" a="1"/>
  <c r="H223" i="106" s="1"/>
  <c r="I223" i="106" s="1"/>
  <c r="D205" i="106"/>
  <c r="H205" i="106" s="1"/>
  <c r="H234" i="106" s="1" a="1"/>
  <c r="H234" i="106" s="1"/>
  <c r="I234" i="106" s="1"/>
  <c r="D198" i="106"/>
  <c r="H198" i="106" s="1"/>
  <c r="H227" i="106" s="1" a="1"/>
  <c r="H227" i="106" s="1"/>
  <c r="D192" i="106"/>
  <c r="H192" i="106" s="1"/>
  <c r="H221" i="106" s="1" a="1"/>
  <c r="H221" i="106" s="1"/>
  <c r="I221" i="106" s="1"/>
  <c r="D203" i="106"/>
  <c r="H203" i="106" s="1"/>
  <c r="H232" i="106" s="1" a="1"/>
  <c r="H232" i="106" s="1"/>
  <c r="E88" i="103"/>
  <c r="D104" i="90"/>
  <c r="E89" i="103" s="1"/>
  <c r="D102" i="90"/>
  <c r="E87" i="103" s="1"/>
  <c r="D210" i="83"/>
  <c r="H210" i="83" s="1"/>
  <c r="H239" i="83" s="1" a="1"/>
  <c r="H239" i="83" s="1"/>
  <c r="I239" i="83" s="1"/>
  <c r="E58" i="89"/>
  <c r="E70" i="89" s="1"/>
  <c r="E178" i="89" s="1"/>
  <c r="F59" i="89"/>
  <c r="F71" i="89" s="1"/>
  <c r="F179" i="89" s="1"/>
  <c r="E61" i="89"/>
  <c r="E73" i="89" s="1"/>
  <c r="E181" i="89" s="1"/>
  <c r="D67" i="84"/>
  <c r="D211" i="83"/>
  <c r="H211" i="83" s="1"/>
  <c r="H240" i="83" s="1" a="1"/>
  <c r="H240" i="83" s="1"/>
  <c r="I240" i="83" s="1"/>
  <c r="D56" i="89"/>
  <c r="D68" i="89" s="1"/>
  <c r="D176" i="89" s="1"/>
  <c r="F56" i="89"/>
  <c r="F68" i="89" s="1"/>
  <c r="F176" i="89" s="1"/>
  <c r="I262" i="85"/>
  <c r="D200" i="83"/>
  <c r="H200" i="83" s="1"/>
  <c r="H229" i="83" s="1" a="1"/>
  <c r="H229" i="83" s="1"/>
  <c r="I229" i="83" s="1"/>
  <c r="D213" i="83"/>
  <c r="H213" i="83" s="1"/>
  <c r="H242" i="83" s="1" a="1"/>
  <c r="H242" i="83" s="1"/>
  <c r="I242" i="83" s="1"/>
  <c r="J232" i="83"/>
  <c r="D202" i="83"/>
  <c r="H202" i="83" s="1"/>
  <c r="H231" i="83" s="1" a="1"/>
  <c r="H231" i="83" s="1"/>
  <c r="I231" i="83" s="1"/>
  <c r="D205" i="83"/>
  <c r="H205" i="83" s="1"/>
  <c r="H234" i="83" s="1" a="1"/>
  <c r="H234" i="83" s="1"/>
  <c r="I234" i="83" s="1"/>
  <c r="D199" i="83"/>
  <c r="H199" i="83" s="1"/>
  <c r="H228" i="83" s="1" a="1"/>
  <c r="H228" i="83" s="1"/>
  <c r="I228" i="83" s="1"/>
  <c r="D208" i="83"/>
  <c r="H208" i="83" s="1"/>
  <c r="H237" i="83" s="1" a="1"/>
  <c r="H237" i="83" s="1"/>
  <c r="G31" i="84" s="1"/>
  <c r="D195" i="83"/>
  <c r="H195" i="83" s="1"/>
  <c r="H224" i="83" s="1" a="1"/>
  <c r="H224" i="83" s="1"/>
  <c r="I224" i="83" s="1"/>
  <c r="D194" i="83"/>
  <c r="H194" i="83" s="1"/>
  <c r="H223" i="83" s="1" a="1"/>
  <c r="H223" i="83" s="1"/>
  <c r="I223" i="83" s="1"/>
  <c r="D207" i="83"/>
  <c r="H207" i="83" s="1"/>
  <c r="H236" i="83" s="1" a="1"/>
  <c r="H236" i="83" s="1"/>
  <c r="I236" i="83" s="1"/>
  <c r="J227" i="83"/>
  <c r="D193" i="83"/>
  <c r="H193" i="83" s="1"/>
  <c r="H222" i="83" s="1" a="1"/>
  <c r="H222" i="83" s="1"/>
  <c r="I222" i="83" s="1"/>
  <c r="D196" i="83"/>
  <c r="H196" i="83" s="1"/>
  <c r="H225" i="83" s="1" a="1"/>
  <c r="H225" i="83" s="1"/>
  <c r="I225" i="83" s="1"/>
  <c r="D206" i="83"/>
  <c r="H206" i="83" s="1"/>
  <c r="H235" i="83" s="1" a="1"/>
  <c r="H235" i="83" s="1"/>
  <c r="I235" i="83" s="1"/>
  <c r="D212" i="83"/>
  <c r="H212" i="83" s="1"/>
  <c r="H241" i="83" s="1" a="1"/>
  <c r="H241" i="83" s="1"/>
  <c r="I241" i="83" s="1"/>
  <c r="D204" i="83"/>
  <c r="H204" i="83" s="1"/>
  <c r="H233" i="83" s="1" a="1"/>
  <c r="H233" i="83" s="1"/>
  <c r="I233" i="83" s="1"/>
  <c r="D192" i="83"/>
  <c r="H192" i="83" s="1"/>
  <c r="H221" i="83" s="1" a="1"/>
  <c r="H221" i="83" s="1"/>
  <c r="I221" i="83" s="1"/>
  <c r="D198" i="83"/>
  <c r="H198" i="83" s="1"/>
  <c r="H227" i="83" s="1" a="1"/>
  <c r="H227" i="83" s="1"/>
  <c r="E31" i="84" s="1"/>
  <c r="D203" i="83"/>
  <c r="H203" i="83" s="1"/>
  <c r="H232" i="83" s="1" a="1"/>
  <c r="H232" i="83" s="1"/>
  <c r="I232" i="83" s="1"/>
  <c r="D201" i="83"/>
  <c r="H201" i="83" s="1"/>
  <c r="H230" i="83" s="1" a="1"/>
  <c r="H230" i="83" s="1"/>
  <c r="I230" i="83" s="1"/>
  <c r="D197" i="83"/>
  <c r="H197" i="83" s="1"/>
  <c r="H226" i="83" s="1" a="1"/>
  <c r="H226" i="83" s="1"/>
  <c r="I226" i="83" s="1"/>
  <c r="D209" i="83"/>
  <c r="H209" i="83" s="1"/>
  <c r="H238" i="83" s="1" a="1"/>
  <c r="H238" i="83" s="1"/>
  <c r="I238" i="83" s="1"/>
  <c r="G25" i="84"/>
  <c r="D25" i="84"/>
  <c r="I247" i="82"/>
  <c r="J242" i="83"/>
  <c r="H15" i="84"/>
  <c r="I232" i="81"/>
  <c r="E15" i="84"/>
  <c r="E48" i="84"/>
  <c r="I227" i="86"/>
  <c r="J222" i="83"/>
  <c r="I252" i="82"/>
  <c r="D15" i="84"/>
  <c r="J237" i="83"/>
  <c r="G48" i="84"/>
  <c r="I237" i="86"/>
  <c r="I232" i="86"/>
  <c r="F48" i="84"/>
  <c r="I262" i="82"/>
  <c r="D48" i="84"/>
  <c r="I222" i="86"/>
  <c r="H48" i="84"/>
  <c r="I242" i="86"/>
  <c r="I252" i="85"/>
  <c r="F42" i="84"/>
  <c r="I242" i="85"/>
  <c r="D42" i="84"/>
  <c r="I247" i="85"/>
  <c r="E42" i="84"/>
  <c r="I257" i="85"/>
  <c r="G42" i="84"/>
  <c r="G15" i="84"/>
  <c r="D33" i="84" l="1"/>
  <c r="D97" i="89" s="1"/>
  <c r="J32" i="117"/>
  <c r="D36" i="117"/>
  <c r="I227" i="106"/>
  <c r="D57" i="89"/>
  <c r="D69" i="89" s="1"/>
  <c r="D177" i="89" s="1"/>
  <c r="I222" i="106"/>
  <c r="I232" i="106"/>
  <c r="D184" i="89"/>
  <c r="K47" i="84"/>
  <c r="K49" i="84" s="1"/>
  <c r="K50" i="84" s="1"/>
  <c r="D96" i="89"/>
  <c r="G56" i="89"/>
  <c r="G68" i="89" s="1"/>
  <c r="G176" i="89" s="1"/>
  <c r="F61" i="89"/>
  <c r="F73" i="89" s="1"/>
  <c r="F181" i="89" s="1"/>
  <c r="E56" i="89"/>
  <c r="E68" i="89" s="1"/>
  <c r="E176" i="89" s="1"/>
  <c r="H31" i="84"/>
  <c r="I237" i="83"/>
  <c r="D31" i="84"/>
  <c r="F31" i="84"/>
  <c r="I227" i="83"/>
  <c r="E57" i="89"/>
  <c r="E69" i="89" s="1"/>
  <c r="E177" i="89" s="1"/>
  <c r="G61" i="89" l="1"/>
  <c r="G73" i="89" s="1"/>
  <c r="G181" i="89" s="1"/>
  <c r="G59" i="89"/>
  <c r="G71" i="89" s="1"/>
  <c r="G179" i="89" s="1"/>
  <c r="I172" i="89"/>
  <c r="D183" i="89"/>
  <c r="K30" i="84"/>
  <c r="K32" i="84" s="1"/>
  <c r="K33" i="84" s="1"/>
  <c r="E97" i="89"/>
  <c r="E96" i="89"/>
  <c r="I132" i="89"/>
  <c r="E77" i="90"/>
  <c r="R131" i="89"/>
  <c r="G58" i="89"/>
  <c r="G70" i="89" s="1"/>
  <c r="G178" i="89" s="1"/>
  <c r="F58" i="89"/>
  <c r="F70" i="89" s="1"/>
  <c r="F178" i="89" s="1"/>
  <c r="F187" i="89"/>
  <c r="G57" i="89"/>
  <c r="G69" i="89" s="1"/>
  <c r="G177" i="89" s="1"/>
  <c r="F57" i="89"/>
  <c r="F69" i="89" s="1"/>
  <c r="F177" i="89" s="1"/>
  <c r="E184" i="89" l="1"/>
  <c r="I135" i="89"/>
  <c r="D187" i="89"/>
  <c r="F40" i="103"/>
  <c r="E100" i="90"/>
  <c r="F85" i="103" s="1"/>
  <c r="E78" i="90"/>
  <c r="F41" i="103" s="1"/>
  <c r="I131" i="89"/>
  <c r="K135" i="89"/>
  <c r="P135" i="89" s="1"/>
  <c r="D182" i="89"/>
  <c r="E50" i="90" s="1"/>
  <c r="F15" i="103" s="1"/>
  <c r="E183" i="89"/>
  <c r="I130" i="89"/>
  <c r="F97" i="89"/>
  <c r="F96" i="89"/>
  <c r="F77" i="90"/>
  <c r="F5" i="103"/>
  <c r="G187" i="89"/>
  <c r="S131" i="89"/>
  <c r="G74" i="90"/>
  <c r="M135" i="89"/>
  <c r="E182" i="89"/>
  <c r="F50" i="90" s="1"/>
  <c r="F64" i="90" s="1"/>
  <c r="F74" i="90" l="1"/>
  <c r="F97" i="90" s="1"/>
  <c r="G82" i="103" s="1"/>
  <c r="E187" i="89"/>
  <c r="G184" i="89"/>
  <c r="F184" i="89"/>
  <c r="G40" i="103"/>
  <c r="F100" i="90"/>
  <c r="G85" i="103" s="1"/>
  <c r="H37" i="103"/>
  <c r="G97" i="90"/>
  <c r="H82" i="103" s="1"/>
  <c r="G75" i="90"/>
  <c r="H38" i="103" s="1"/>
  <c r="F78" i="90"/>
  <c r="G41" i="103" s="1"/>
  <c r="E99" i="90"/>
  <c r="F84" i="103" s="1"/>
  <c r="E101" i="90"/>
  <c r="F86" i="103" s="1"/>
  <c r="E74" i="90"/>
  <c r="I169" i="89"/>
  <c r="G4" i="103"/>
  <c r="I168" i="89"/>
  <c r="E36" i="90"/>
  <c r="F42" i="103"/>
  <c r="E64" i="90"/>
  <c r="E65" i="90" s="1"/>
  <c r="F28" i="103" s="1"/>
  <c r="L135" i="89"/>
  <c r="F4" i="103"/>
  <c r="E67" i="90"/>
  <c r="F30" i="103" s="1"/>
  <c r="F80" i="90"/>
  <c r="F103" i="90" s="1"/>
  <c r="F183" i="89"/>
  <c r="G97" i="89"/>
  <c r="G96" i="89"/>
  <c r="G15" i="103"/>
  <c r="F36" i="90"/>
  <c r="G5" i="103"/>
  <c r="G77" i="90"/>
  <c r="F33" i="103"/>
  <c r="E71" i="90"/>
  <c r="E94" i="90" s="1"/>
  <c r="H77" i="90"/>
  <c r="H74" i="90"/>
  <c r="N135" i="89"/>
  <c r="F182" i="89"/>
  <c r="G50" i="90" s="1"/>
  <c r="H15" i="103" s="1"/>
  <c r="F65" i="90"/>
  <c r="G27" i="103"/>
  <c r="F75" i="90" l="1"/>
  <c r="G38" i="103" s="1"/>
  <c r="G37" i="103"/>
  <c r="F37" i="103"/>
  <c r="E97" i="90"/>
  <c r="F82" i="103" s="1"/>
  <c r="I37" i="103"/>
  <c r="H97" i="90"/>
  <c r="I82" i="103" s="1"/>
  <c r="I40" i="103"/>
  <c r="H100" i="90"/>
  <c r="I85" i="103" s="1"/>
  <c r="H40" i="103"/>
  <c r="G100" i="90"/>
  <c r="H85" i="103" s="1"/>
  <c r="G3" i="103"/>
  <c r="F3" i="103"/>
  <c r="H75" i="90"/>
  <c r="I38" i="103" s="1"/>
  <c r="F96" i="90"/>
  <c r="G81" i="103" s="1"/>
  <c r="F98" i="90"/>
  <c r="G83" i="103" s="1"/>
  <c r="E75" i="90"/>
  <c r="F38" i="103" s="1"/>
  <c r="G98" i="90"/>
  <c r="H83" i="103" s="1"/>
  <c r="G96" i="90"/>
  <c r="H81" i="103" s="1"/>
  <c r="G78" i="90"/>
  <c r="H41" i="103" s="1"/>
  <c r="F99" i="90"/>
  <c r="G84" i="103" s="1"/>
  <c r="F101" i="90"/>
  <c r="G86" i="103" s="1"/>
  <c r="H78" i="90"/>
  <c r="I41" i="103" s="1"/>
  <c r="E80" i="90"/>
  <c r="E103" i="90" s="1"/>
  <c r="F67" i="90"/>
  <c r="F68" i="90" s="1"/>
  <c r="G67" i="90"/>
  <c r="G68" i="90" s="1"/>
  <c r="E66" i="90"/>
  <c r="F29" i="103" s="1"/>
  <c r="F27" i="103"/>
  <c r="E88" i="90"/>
  <c r="E87" i="90" s="1"/>
  <c r="F72" i="103" s="1"/>
  <c r="G42" i="103"/>
  <c r="E68" i="90"/>
  <c r="G183" i="89"/>
  <c r="G36" i="90"/>
  <c r="G64" i="90"/>
  <c r="G65" i="90" s="1"/>
  <c r="H5" i="103"/>
  <c r="G43" i="103"/>
  <c r="F81" i="90"/>
  <c r="G44" i="103" s="1"/>
  <c r="H42" i="103"/>
  <c r="G80" i="90"/>
  <c r="G103" i="90" s="1"/>
  <c r="I5" i="103"/>
  <c r="E72" i="90"/>
  <c r="F35" i="103" s="1"/>
  <c r="F34" i="103"/>
  <c r="G33" i="103"/>
  <c r="F71" i="90"/>
  <c r="F94" i="90" s="1"/>
  <c r="F66" i="90"/>
  <c r="F88" i="90"/>
  <c r="G28" i="103"/>
  <c r="G69" i="90" l="1"/>
  <c r="G91" i="90"/>
  <c r="G92" i="90" s="1"/>
  <c r="H77" i="103" s="1"/>
  <c r="F91" i="90"/>
  <c r="F92" i="90" s="1"/>
  <c r="G77" i="103" s="1"/>
  <c r="E91" i="90"/>
  <c r="E90" i="90" s="1"/>
  <c r="F75" i="103" s="1"/>
  <c r="H3" i="103"/>
  <c r="E81" i="90"/>
  <c r="F44" i="103" s="1"/>
  <c r="E96" i="90"/>
  <c r="F81" i="103" s="1"/>
  <c r="E98" i="90"/>
  <c r="F83" i="103" s="1"/>
  <c r="H98" i="90"/>
  <c r="I83" i="103" s="1"/>
  <c r="H96" i="90"/>
  <c r="I81" i="103" s="1"/>
  <c r="H101" i="90"/>
  <c r="I86" i="103" s="1"/>
  <c r="H99" i="90"/>
  <c r="I84" i="103" s="1"/>
  <c r="G101" i="90"/>
  <c r="H86" i="103" s="1"/>
  <c r="G99" i="90"/>
  <c r="H84" i="103" s="1"/>
  <c r="F43" i="103"/>
  <c r="F69" i="90"/>
  <c r="G32" i="103" s="1"/>
  <c r="G31" i="103"/>
  <c r="G30" i="103"/>
  <c r="H31" i="103"/>
  <c r="H4" i="103"/>
  <c r="H30" i="103"/>
  <c r="H67" i="90"/>
  <c r="I30" i="103" s="1"/>
  <c r="F73" i="103"/>
  <c r="E89" i="90"/>
  <c r="F74" i="103" s="1"/>
  <c r="E69" i="90"/>
  <c r="F32" i="103" s="1"/>
  <c r="F31" i="103"/>
  <c r="G182" i="89"/>
  <c r="H50" i="90" s="1"/>
  <c r="H64" i="90" s="1"/>
  <c r="I27" i="103" s="1"/>
  <c r="H27" i="103"/>
  <c r="F79" i="103"/>
  <c r="E93" i="90"/>
  <c r="F78" i="103" s="1"/>
  <c r="E95" i="90"/>
  <c r="F80" i="103" s="1"/>
  <c r="G81" i="90"/>
  <c r="H44" i="103" s="1"/>
  <c r="H43" i="103"/>
  <c r="F72" i="90"/>
  <c r="G35" i="103" s="1"/>
  <c r="G34" i="103"/>
  <c r="G71" i="90"/>
  <c r="G94" i="90" s="1"/>
  <c r="H33" i="103"/>
  <c r="I42" i="103"/>
  <c r="H80" i="90"/>
  <c r="H103" i="90" s="1"/>
  <c r="F102" i="90"/>
  <c r="G87" i="103" s="1"/>
  <c r="G88" i="103"/>
  <c r="F104" i="90"/>
  <c r="G89" i="103" s="1"/>
  <c r="H71" i="90"/>
  <c r="H94" i="90" s="1"/>
  <c r="I33" i="103"/>
  <c r="E102" i="90"/>
  <c r="F87" i="103" s="1"/>
  <c r="F88" i="103"/>
  <c r="E104" i="90"/>
  <c r="F89" i="103" s="1"/>
  <c r="H28" i="103"/>
  <c r="G88" i="90"/>
  <c r="G66" i="90"/>
  <c r="H32" i="103"/>
  <c r="F87" i="90"/>
  <c r="G72" i="103" s="1"/>
  <c r="F89" i="90"/>
  <c r="G74" i="103" s="1"/>
  <c r="G73" i="103"/>
  <c r="G29" i="103"/>
  <c r="G76" i="103" l="1"/>
  <c r="E92" i="90"/>
  <c r="F77" i="103" s="1"/>
  <c r="F76" i="103"/>
  <c r="F90" i="90"/>
  <c r="G75" i="103" s="1"/>
  <c r="H76" i="103"/>
  <c r="G90" i="90"/>
  <c r="H75" i="103" s="1"/>
  <c r="H68" i="90"/>
  <c r="I4" i="103"/>
  <c r="I15" i="103"/>
  <c r="H36" i="90"/>
  <c r="H65" i="90"/>
  <c r="H66" i="90" s="1"/>
  <c r="I29" i="103" s="1"/>
  <c r="F95" i="90"/>
  <c r="G80" i="103" s="1"/>
  <c r="G79" i="103"/>
  <c r="F93" i="90"/>
  <c r="G78" i="103" s="1"/>
  <c r="H34" i="103"/>
  <c r="G72" i="90"/>
  <c r="H35" i="103" s="1"/>
  <c r="H72" i="90"/>
  <c r="I35" i="103" s="1"/>
  <c r="I34" i="103"/>
  <c r="H81" i="90"/>
  <c r="I44" i="103" s="1"/>
  <c r="I43" i="103"/>
  <c r="G102" i="90"/>
  <c r="H87" i="103" s="1"/>
  <c r="G104" i="90"/>
  <c r="H89" i="103" s="1"/>
  <c r="H88" i="103"/>
  <c r="G89" i="90"/>
  <c r="H74" i="103" s="1"/>
  <c r="H73" i="103"/>
  <c r="G87" i="90"/>
  <c r="H72" i="103" s="1"/>
  <c r="H29" i="103"/>
  <c r="H69" i="90" l="1"/>
  <c r="I32" i="103" s="1"/>
  <c r="H91" i="90"/>
  <c r="I76" i="103" s="1"/>
  <c r="I3" i="103"/>
  <c r="I31" i="103"/>
  <c r="I28" i="103"/>
  <c r="H88" i="90"/>
  <c r="I88" i="103"/>
  <c r="H102" i="90"/>
  <c r="I87" i="103" s="1"/>
  <c r="H104" i="90"/>
  <c r="I89" i="103" s="1"/>
  <c r="H79" i="103"/>
  <c r="G93" i="90"/>
  <c r="H78" i="103" s="1"/>
  <c r="G95" i="90"/>
  <c r="H80" i="103" s="1"/>
  <c r="I79" i="103"/>
  <c r="H95" i="90"/>
  <c r="I80" i="103" s="1"/>
  <c r="H93" i="90"/>
  <c r="I78" i="103" s="1"/>
  <c r="H90" i="90" l="1"/>
  <c r="I75" i="103" s="1"/>
  <c r="H92" i="90"/>
  <c r="I77" i="103" s="1"/>
  <c r="H87" i="90"/>
  <c r="I72" i="103" s="1"/>
  <c r="H89" i="90"/>
  <c r="I74" i="103" s="1"/>
  <c r="I73" i="103"/>
</calcChain>
</file>

<file path=xl/comments1.xml><?xml version="1.0" encoding="utf-8"?>
<comments xmlns="http://schemas.openxmlformats.org/spreadsheetml/2006/main">
  <authors>
    <author>이대주</author>
  </authors>
  <commentList>
    <comment ref="S263" authorId="0">
      <text>
        <r>
          <rPr>
            <b/>
            <sz val="9"/>
            <color indexed="81"/>
            <rFont val="돋움"/>
            <family val="3"/>
            <charset val="129"/>
          </rPr>
          <t>식당동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인원산정
</t>
        </r>
      </text>
    </comment>
  </commentList>
</comments>
</file>

<file path=xl/sharedStrings.xml><?xml version="1.0" encoding="utf-8"?>
<sst xmlns="http://schemas.openxmlformats.org/spreadsheetml/2006/main" count="12556" uniqueCount="1945">
  <si>
    <t>2005년</t>
  </si>
  <si>
    <t>2006년</t>
  </si>
  <si>
    <t>2007년</t>
  </si>
  <si>
    <t>2008년</t>
  </si>
  <si>
    <t>급수원단위
(Lpcd)</t>
    <phoneticPr fontId="7" type="noConversion"/>
  </si>
  <si>
    <t>소규모</t>
    <phoneticPr fontId="7" type="noConversion"/>
  </si>
  <si>
    <t>상수원단위
(Lpcd)</t>
    <phoneticPr fontId="7" type="noConversion"/>
  </si>
  <si>
    <t>오수전환율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</si>
  <si>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</si>
  <si>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</si>
  <si>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</si>
  <si>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급수인구</t>
    <phoneticPr fontId="7" type="noConversion"/>
  </si>
  <si>
    <t>가정용</t>
    <phoneticPr fontId="7" type="noConversion"/>
  </si>
  <si>
    <t>영업용</t>
    <phoneticPr fontId="7" type="noConversion"/>
  </si>
  <si>
    <t>기타</t>
    <phoneticPr fontId="7" type="noConversion"/>
  </si>
  <si>
    <t>구분</t>
  </si>
  <si>
    <t>2010년</t>
  </si>
  <si>
    <t>급수인구</t>
    <phoneticPr fontId="7" type="noConversion"/>
  </si>
  <si>
    <t>사용량 ㎥/일</t>
    <phoneticPr fontId="7" type="noConversion"/>
  </si>
  <si>
    <t>계</t>
    <phoneticPr fontId="7" type="noConversion"/>
  </si>
  <si>
    <t>가정용</t>
    <phoneticPr fontId="7" type="noConversion"/>
  </si>
  <si>
    <t>영업용</t>
    <phoneticPr fontId="7" type="noConversion"/>
  </si>
  <si>
    <t>구분</t>
    <phoneticPr fontId="7" type="noConversion"/>
  </si>
  <si>
    <t>2004년</t>
  </si>
  <si>
    <t>유수율</t>
    <phoneticPr fontId="7" type="noConversion"/>
  </si>
  <si>
    <t>누수율</t>
    <phoneticPr fontId="7" type="noConversion"/>
  </si>
  <si>
    <t>무수율</t>
    <phoneticPr fontId="7" type="noConversion"/>
  </si>
  <si>
    <t>비고</t>
    <phoneticPr fontId="7" type="noConversion"/>
  </si>
  <si>
    <t>6월</t>
  </si>
  <si>
    <t>7월</t>
  </si>
  <si>
    <t>8월</t>
  </si>
  <si>
    <t>9월</t>
  </si>
  <si>
    <t>10월</t>
  </si>
  <si>
    <t>11월</t>
  </si>
  <si>
    <t>12월</t>
  </si>
  <si>
    <t>구 분</t>
  </si>
  <si>
    <t>비고</t>
  </si>
  <si>
    <t>2006년</t>
    <phoneticPr fontId="7" type="noConversion"/>
  </si>
  <si>
    <t>2월</t>
  </si>
  <si>
    <t>3월</t>
  </si>
  <si>
    <t>4월</t>
  </si>
  <si>
    <t>5월</t>
  </si>
  <si>
    <t>관리사무소</t>
  </si>
  <si>
    <t>구분</t>
    <phoneticPr fontId="7" type="noConversion"/>
  </si>
  <si>
    <t>5년평균</t>
    <phoneticPr fontId="7" type="noConversion"/>
  </si>
  <si>
    <t>비  고</t>
  </si>
  <si>
    <t>(인)</t>
  </si>
  <si>
    <t>(%)</t>
  </si>
  <si>
    <t>등차급수법</t>
  </si>
  <si>
    <t>최소자승법</t>
  </si>
  <si>
    <t>2015년</t>
  </si>
  <si>
    <t>2020년</t>
  </si>
  <si>
    <t>2025년</t>
  </si>
  <si>
    <t>비고</t>
    <phoneticPr fontId="7" type="noConversion"/>
  </si>
  <si>
    <t>평균</t>
    <phoneticPr fontId="7" type="noConversion"/>
  </si>
  <si>
    <t>적용</t>
    <phoneticPr fontId="7" type="noConversion"/>
  </si>
  <si>
    <t>2020년</t>
    <phoneticPr fontId="7" type="noConversion"/>
  </si>
  <si>
    <t>2025년</t>
    <phoneticPr fontId="7" type="noConversion"/>
  </si>
  <si>
    <t>합  계</t>
    <phoneticPr fontId="7" type="noConversion"/>
  </si>
  <si>
    <t>연 별 및
읍 면 별</t>
    <phoneticPr fontId="7" type="noConversion"/>
  </si>
  <si>
    <t>총인구(명)</t>
    <phoneticPr fontId="7" type="noConversion"/>
  </si>
  <si>
    <t>급수인구(명)</t>
    <phoneticPr fontId="7" type="noConversion"/>
  </si>
  <si>
    <t>보 급 율(%)</t>
    <phoneticPr fontId="7" type="noConversion"/>
  </si>
  <si>
    <t>시설용량(㎥)</t>
    <phoneticPr fontId="7" type="noConversion"/>
  </si>
  <si>
    <t>급 수 량
(㎥/일)</t>
    <phoneticPr fontId="7" type="noConversion"/>
  </si>
  <si>
    <t>2009년</t>
  </si>
  <si>
    <t>2011년</t>
  </si>
  <si>
    <t>2012년</t>
  </si>
  <si>
    <t>2013년</t>
  </si>
  <si>
    <t>2005년</t>
    <phoneticPr fontId="7" type="noConversion"/>
  </si>
  <si>
    <t>2004년</t>
    <phoneticPr fontId="7" type="noConversion"/>
  </si>
  <si>
    <t>1일 1인당
급수량(ℓ)</t>
    <phoneticPr fontId="7" type="noConversion"/>
  </si>
  <si>
    <t>2.1 상수도 급수 및 사용 현황</t>
    <phoneticPr fontId="35" type="noConversion"/>
  </si>
  <si>
    <t>연평균
증가율
(%)</t>
    <phoneticPr fontId="35" type="noConversion"/>
  </si>
  <si>
    <t>10년 기준</t>
    <phoneticPr fontId="35" type="noConversion"/>
  </si>
  <si>
    <t>3년 기준</t>
    <phoneticPr fontId="35" type="noConversion"/>
  </si>
  <si>
    <t xml:space="preserve"> 2.1.1 상수도 급수실적</t>
    <phoneticPr fontId="35" type="noConversion"/>
  </si>
  <si>
    <t>구 분</t>
    <phoneticPr fontId="45" type="noConversion"/>
  </si>
  <si>
    <t>총인구</t>
    <phoneticPr fontId="45" type="noConversion"/>
  </si>
  <si>
    <t>급수인구</t>
    <phoneticPr fontId="45" type="noConversion"/>
  </si>
  <si>
    <t>보급률</t>
    <phoneticPr fontId="45" type="noConversion"/>
  </si>
  <si>
    <t>시설용량</t>
    <phoneticPr fontId="45" type="noConversion"/>
  </si>
  <si>
    <t>급수량</t>
    <phoneticPr fontId="45" type="noConversion"/>
  </si>
  <si>
    <t>1인1일급수량</t>
    <phoneticPr fontId="45" type="noConversion"/>
  </si>
  <si>
    <t>(인)</t>
    <phoneticPr fontId="35" type="noConversion"/>
  </si>
  <si>
    <t>(%)</t>
    <phoneticPr fontId="35" type="noConversion"/>
  </si>
  <si>
    <t>(㎥/일)</t>
    <phoneticPr fontId="35" type="noConversion"/>
  </si>
  <si>
    <t>(ℓ/인·일)</t>
    <phoneticPr fontId="35" type="noConversion"/>
  </si>
  <si>
    <t>5년 기준</t>
    <phoneticPr fontId="35" type="noConversion"/>
  </si>
  <si>
    <t>2013년</t>
    <phoneticPr fontId="35" type="noConversion"/>
  </si>
  <si>
    <t>그래프</t>
    <phoneticPr fontId="7" type="noConversion"/>
  </si>
  <si>
    <t>10년평균</t>
    <phoneticPr fontId="7" type="noConversion"/>
  </si>
  <si>
    <t xml:space="preserve">    3) 장래 유수율을 반영한 급수량 원단위 보정</t>
    <phoneticPr fontId="7" type="noConversion"/>
  </si>
  <si>
    <t>2014현재</t>
    <phoneticPr fontId="7" type="noConversion"/>
  </si>
  <si>
    <t xml:space="preserve">      ○ 급수 실적에 의한 급수량 원단위 보정</t>
    <phoneticPr fontId="7" type="noConversion"/>
  </si>
  <si>
    <t>상수도사용량
원단위
(L/인ㆍ일)</t>
    <phoneticPr fontId="7" type="noConversion"/>
  </si>
  <si>
    <t>상수도사용량원단위(L/인ㆍ일)</t>
    <phoneticPr fontId="7" type="noConversion"/>
  </si>
  <si>
    <t>영업용수율
(%)</t>
    <phoneticPr fontId="7" type="noConversion"/>
  </si>
  <si>
    <t>총 급수량</t>
  </si>
  <si>
    <t>유효수량</t>
  </si>
  <si>
    <t/>
  </si>
  <si>
    <t>무효수량</t>
  </si>
  <si>
    <t>유수수량</t>
  </si>
  <si>
    <t>유효무수수량</t>
  </si>
  <si>
    <t>계량기 요금 수량</t>
  </si>
  <si>
    <t>미계량요금 수량</t>
  </si>
  <si>
    <t>분수량</t>
  </si>
  <si>
    <t>기타 부과량</t>
  </si>
  <si>
    <t>계량기불감수량</t>
  </si>
  <si>
    <t>수도사업용수량</t>
  </si>
  <si>
    <t>공공수량</t>
  </si>
  <si>
    <t>부정사용량</t>
  </si>
  <si>
    <t>조정감액수량</t>
  </si>
  <si>
    <t>누수량</t>
  </si>
  <si>
    <t>(㎥)</t>
  </si>
  <si>
    <t>계량기 불감수량</t>
  </si>
  <si>
    <t>구분</t>
    <phoneticPr fontId="65" type="noConversion"/>
  </si>
  <si>
    <t>2008년</t>
    <phoneticPr fontId="65" type="noConversion"/>
  </si>
  <si>
    <t>2009년</t>
    <phoneticPr fontId="65" type="noConversion"/>
  </si>
  <si>
    <t>2010년</t>
    <phoneticPr fontId="65" type="noConversion"/>
  </si>
  <si>
    <t>2011년</t>
    <phoneticPr fontId="65" type="noConversion"/>
  </si>
  <si>
    <t>2012년</t>
    <phoneticPr fontId="65" type="noConversion"/>
  </si>
  <si>
    <t>2013년</t>
    <phoneticPr fontId="65" type="noConversion"/>
  </si>
  <si>
    <t>■ 비율</t>
    <phoneticPr fontId="65" type="noConversion"/>
  </si>
  <si>
    <t>(단위%)</t>
    <phoneticPr fontId="65" type="noConversion"/>
  </si>
  <si>
    <t>구분</t>
    <phoneticPr fontId="65" type="noConversion"/>
  </si>
  <si>
    <t>2008년</t>
    <phoneticPr fontId="65" type="noConversion"/>
  </si>
  <si>
    <t>2009년</t>
    <phoneticPr fontId="65" type="noConversion"/>
  </si>
  <si>
    <t>2010년</t>
    <phoneticPr fontId="65" type="noConversion"/>
  </si>
  <si>
    <t>2011년</t>
    <phoneticPr fontId="65" type="noConversion"/>
  </si>
  <si>
    <t>2012년</t>
    <phoneticPr fontId="65" type="noConversion"/>
  </si>
  <si>
    <t>2013년</t>
    <phoneticPr fontId="65" type="noConversion"/>
  </si>
  <si>
    <t>구분</t>
    <phoneticPr fontId="65" type="noConversion"/>
  </si>
  <si>
    <t>2008년</t>
    <phoneticPr fontId="65" type="noConversion"/>
  </si>
  <si>
    <t>○ 2012년 이후 양식 변경</t>
    <phoneticPr fontId="65" type="noConversion"/>
  </si>
  <si>
    <r>
      <t>연 별</t>
    </r>
    <r>
      <rPr>
        <sz val="10"/>
        <rFont val="Times New Roman"/>
        <family val="1"/>
      </rPr>
      <t/>
    </r>
    <phoneticPr fontId="7" type="noConversion"/>
  </si>
  <si>
    <t xml:space="preserve">    2) 급수실적에 의한 급수원단위 보정</t>
    <phoneticPr fontId="7" type="noConversion"/>
  </si>
  <si>
    <t xml:space="preserve">      ○ 읍면별 급수원단위 현황</t>
    <phoneticPr fontId="7" type="noConversion"/>
  </si>
  <si>
    <t>계획년도</t>
    <phoneticPr fontId="7" type="noConversion"/>
  </si>
  <si>
    <t>PROJECT NAME:</t>
    <phoneticPr fontId="7" type="noConversion"/>
  </si>
  <si>
    <t>인구현황</t>
    <phoneticPr fontId="7" type="noConversion"/>
  </si>
  <si>
    <t>년도</t>
    <phoneticPr fontId="7" type="noConversion"/>
  </si>
  <si>
    <t>증가수</t>
    <phoneticPr fontId="7" type="noConversion"/>
  </si>
  <si>
    <t>증가율(%)</t>
    <phoneticPr fontId="7" type="noConversion"/>
  </si>
  <si>
    <t>비고</t>
    <phoneticPr fontId="7" type="noConversion"/>
  </si>
  <si>
    <t>포화인구</t>
    <phoneticPr fontId="7" type="noConversion"/>
  </si>
  <si>
    <t>TOTAL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</si>
  <si>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</si>
  <si>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</si>
  <si>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</si>
  <si>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</si>
  <si>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</si>
  <si>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</si>
  <si>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</si>
  <si>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</si>
  <si>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</si>
  <si>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</si>
  <si>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</si>
  <si>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</si>
  <si>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</si>
  <si>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</si>
  <si>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</si>
  <si>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</si>
  <si>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</si>
  <si>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</si>
  <si>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</si>
  <si>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</si>
  <si>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</si>
  <si>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</si>
  <si>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</si>
  <si>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</si>
  <si>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</si>
  <si>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</si>
  <si>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</si>
  <si>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</si>
  <si>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</si>
  <si>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</si>
  <si>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Y = Yo * (r) ^ (N)</t>
    <phoneticPr fontId="7" type="noConversion"/>
  </si>
  <si>
    <t xml:space="preserve">Yo = </t>
    <phoneticPr fontId="7" type="noConversion"/>
  </si>
  <si>
    <t xml:space="preserve">r = </t>
    <phoneticPr fontId="7" type="noConversion"/>
  </si>
  <si>
    <t>N =</t>
    <phoneticPr fontId="7" type="noConversion"/>
  </si>
  <si>
    <t>년수</t>
    <phoneticPr fontId="7" type="noConversion"/>
  </si>
  <si>
    <t xml:space="preserve">  다. 최소자승법에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</si>
  <si>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</si>
  <si>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</si>
  <si>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</si>
  <si>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</si>
  <si>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</si>
  <si>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</si>
  <si>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</si>
  <si>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</si>
  <si>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</si>
  <si>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</si>
  <si>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</si>
  <si>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</si>
  <si>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비고</t>
    <phoneticPr fontId="7" type="noConversion"/>
  </si>
  <si>
    <t>TOTAL</t>
    <phoneticPr fontId="7" type="noConversion"/>
  </si>
  <si>
    <t>Y = a X + b</t>
    <phoneticPr fontId="7" type="noConversion"/>
  </si>
  <si>
    <t>a = (n∑xy-∑x∑y) / (n∑x2-∑x∑x) =</t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</si>
  <si>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</si>
  <si>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t>장래 추정인구</t>
    <phoneticPr fontId="7" type="noConversion"/>
  </si>
  <si>
    <t>년도</t>
    <phoneticPr fontId="7" type="noConversion"/>
  </si>
  <si>
    <t>추정 인구</t>
    <phoneticPr fontId="7" type="noConversion"/>
  </si>
  <si>
    <t xml:space="preserve">  라. 지수곡선식에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</si>
  <si>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</si>
  <si>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Ax</t>
    </r>
    <r>
      <rPr>
        <vertAlign val="superscript"/>
        <sz val="8"/>
        <rFont val="맑은 고딕"/>
        <family val="3"/>
        <charset val="129"/>
      </rPr>
      <t>a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</si>
  <si>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</si>
  <si>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</si>
  <si>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: 기준년의 인구</t>
    </r>
    <phoneticPr fontId="7" type="noConversion"/>
  </si>
  <si>
    <t>x : 실적 초년도부터 계획년도까지의 경과년수</t>
    <phoneticPr fontId="7" type="noConversion"/>
  </si>
  <si>
    <t>PEGGY 함수법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</si>
  <si>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</si>
  <si>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</si>
  <si>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</si>
  <si>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</si>
  <si>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y-yo</t>
    <phoneticPr fontId="7" type="noConversion"/>
  </si>
  <si>
    <t>Y</t>
    <phoneticPr fontId="7" type="noConversion"/>
  </si>
  <si>
    <t>X*Y</t>
    <phoneticPr fontId="7" type="noConversion"/>
  </si>
  <si>
    <t>TOTAL</t>
    <phoneticPr fontId="7" type="noConversion"/>
  </si>
  <si>
    <t>Y = Yo + Ax ^ a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</si>
  <si>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</si>
  <si>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</si>
  <si>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</si>
  <si>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>이므로</t>
  </si>
  <si>
    <t>장래 추정인구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</si>
  <si>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</si>
  <si>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</si>
  <si>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</si>
  <si>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</si>
  <si>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 xml:space="preserve">  마. 로지스틱 곡선식에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</si>
  <si>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</si>
  <si>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</si>
  <si>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</si>
  <si>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</si>
  <si>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K : 포화인구</t>
    <phoneticPr fontId="7" type="noConversion"/>
  </si>
  <si>
    <t>x : 기준년으로부터 경과년수</t>
    <phoneticPr fontId="7" type="noConversion"/>
  </si>
  <si>
    <t>LOGISTIC CURVE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</si>
  <si>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</si>
  <si>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</si>
  <si>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</si>
  <si>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</si>
  <si>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k-y</t>
    <phoneticPr fontId="7" type="noConversion"/>
  </si>
  <si>
    <t>LOG y</t>
    <phoneticPr fontId="7" type="noConversion"/>
  </si>
  <si>
    <t>LOG(k-y)</t>
    <phoneticPr fontId="7" type="noConversion"/>
  </si>
  <si>
    <t>Y</t>
    <phoneticPr fontId="7" type="noConversion"/>
  </si>
  <si>
    <t>x*Y</t>
    <phoneticPr fontId="7" type="noConversion"/>
  </si>
  <si>
    <t>Yt = K / (1 + e^(a-b))</t>
    <phoneticPr fontId="7" type="noConversion"/>
  </si>
  <si>
    <t>e =</t>
    <phoneticPr fontId="7" type="noConversion"/>
  </si>
  <si>
    <t>자연대수의 밑수</t>
    <phoneticPr fontId="7" type="noConversion"/>
  </si>
  <si>
    <t>Y = LOG y - LOG(K-y)</t>
    <phoneticPr fontId="7" type="noConversion"/>
  </si>
  <si>
    <t>a = 1/ log e × (∑X∑XY-∑X²∑Y) / (N∑X²-∑X∑X) =</t>
    <phoneticPr fontId="7" type="noConversion"/>
  </si>
  <si>
    <t>b = (N∑XY-∑X∑Y) / (N∑X²-∑X∑X)</t>
    <phoneticPr fontId="7" type="noConversion"/>
  </si>
  <si>
    <t>= N∑XY / N∑X² = ∑XY / ∑X² = ∑xY / LOGe(∑x²) =</t>
    <phoneticPr fontId="7" type="noConversion"/>
  </si>
  <si>
    <t>장래 추정인구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</si>
  <si>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</si>
  <si>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</si>
  <si>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</si>
  <si>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</si>
  <si>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</si>
  <si>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인구추정 총괄표</t>
    <phoneticPr fontId="7" type="noConversion"/>
  </si>
  <si>
    <t>단위 : 인</t>
    <phoneticPr fontId="7" type="noConversion"/>
  </si>
  <si>
    <t>등차급수</t>
    <phoneticPr fontId="7" type="noConversion"/>
  </si>
  <si>
    <t>등비급수</t>
    <phoneticPr fontId="7" type="noConversion"/>
  </si>
  <si>
    <t>최소자승</t>
    <phoneticPr fontId="7" type="noConversion"/>
  </si>
  <si>
    <t>LOGISTIC</t>
    <phoneticPr fontId="7" type="noConversion"/>
  </si>
  <si>
    <t>평균</t>
    <phoneticPr fontId="7" type="noConversion"/>
  </si>
  <si>
    <t>비고(계)</t>
    <phoneticPr fontId="7" type="noConversion"/>
  </si>
  <si>
    <t xml:space="preserve"> 2) 가정용수량 원단위 추정</t>
  </si>
  <si>
    <t>구  분</t>
  </si>
  <si>
    <t>2030년</t>
  </si>
  <si>
    <t>10년 기준</t>
  </si>
  <si>
    <t>등비급수법</t>
  </si>
  <si>
    <t>Logistic함수법</t>
  </si>
  <si>
    <t>평  균</t>
  </si>
  <si>
    <t>5년 기준</t>
  </si>
  <si>
    <t>적  용</t>
  </si>
  <si>
    <t>원단위</t>
    <phoneticPr fontId="7" type="noConversion"/>
  </si>
  <si>
    <t>급수량 원단위(ℓ/인·일)</t>
    <phoneticPr fontId="7" type="noConversion"/>
  </si>
  <si>
    <t>2035년</t>
    <phoneticPr fontId="7" type="noConversion"/>
  </si>
  <si>
    <t>PEGGY함수</t>
    <phoneticPr fontId="7" type="noConversion"/>
  </si>
  <si>
    <t>PEGGY함수</t>
    <phoneticPr fontId="7" type="noConversion"/>
  </si>
  <si>
    <t>(단위:㎥/년)</t>
    <phoneticPr fontId="7" type="noConversion"/>
  </si>
  <si>
    <t>상수도사용량
원단위(L/일)</t>
    <phoneticPr fontId="7" type="noConversion"/>
  </si>
  <si>
    <t>급수량 원단위(ℓ/인·일)</t>
    <phoneticPr fontId="7" type="noConversion"/>
  </si>
  <si>
    <t>10년평균</t>
    <phoneticPr fontId="7" type="noConversion"/>
  </si>
  <si>
    <t xml:space="preserve"> </t>
    <phoneticPr fontId="7" type="noConversion"/>
  </si>
  <si>
    <t>2015년</t>
    <phoneticPr fontId="7" type="noConversion"/>
  </si>
  <si>
    <t>2020년</t>
    <phoneticPr fontId="7" type="noConversion"/>
  </si>
  <si>
    <t>2025년</t>
    <phoneticPr fontId="7" type="noConversion"/>
  </si>
  <si>
    <t>2030년</t>
    <phoneticPr fontId="7" type="noConversion"/>
  </si>
  <si>
    <t>면지역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</si>
  <si>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</si>
  <si>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</si>
  <si>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</si>
  <si>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제외</t>
    <phoneticPr fontId="7" type="noConversion"/>
  </si>
  <si>
    <t>제외</t>
    <phoneticPr fontId="7" type="noConversion"/>
  </si>
  <si>
    <t>2.2 생활오수량 원단위</t>
  </si>
  <si>
    <t xml:space="preserve"> 2.2.1 상수도사용량 원단위</t>
  </si>
  <si>
    <t xml:space="preserve">  가. 상수도 급수실적에 의한 방법</t>
  </si>
  <si>
    <t xml:space="preserve">   1) 상수도 급수현황</t>
  </si>
  <si>
    <t>총인구</t>
  </si>
  <si>
    <t>급수인구</t>
  </si>
  <si>
    <t>상수도보급률</t>
  </si>
  <si>
    <t>급수량</t>
  </si>
  <si>
    <t>1인1일급수량</t>
  </si>
  <si>
    <t>(㎥/일)</t>
  </si>
  <si>
    <t>(ℓ/인·일)</t>
  </si>
  <si>
    <t>10년 평균</t>
  </si>
  <si>
    <t>5년 평균</t>
  </si>
  <si>
    <t>3년 평균</t>
  </si>
  <si>
    <t>구   분</t>
  </si>
  <si>
    <t>급수량 
원단위
(ℓ/인·일)</t>
    <phoneticPr fontId="7" type="noConversion"/>
  </si>
  <si>
    <t>2020년</t>
    <phoneticPr fontId="7" type="noConversion"/>
  </si>
  <si>
    <t>2030년</t>
    <phoneticPr fontId="7" type="noConversion"/>
  </si>
  <si>
    <t>2020년
(1단계)</t>
    <phoneticPr fontId="7" type="noConversion"/>
  </si>
  <si>
    <t>2025년
(2단계)</t>
    <phoneticPr fontId="7" type="noConversion"/>
  </si>
  <si>
    <t>2030년
(3단계)</t>
    <phoneticPr fontId="7" type="noConversion"/>
  </si>
  <si>
    <t>2035년
(4단계)</t>
    <phoneticPr fontId="7" type="noConversion"/>
  </si>
  <si>
    <t>유효수율(%)</t>
  </si>
  <si>
    <t>목표 유효수율</t>
  </si>
  <si>
    <t>구분</t>
    <phoneticPr fontId="7" type="noConversion"/>
  </si>
  <si>
    <t>2015년</t>
    <phoneticPr fontId="7" type="noConversion"/>
  </si>
  <si>
    <t>유수율</t>
    <phoneticPr fontId="7" type="noConversion"/>
  </si>
  <si>
    <t>무수율</t>
    <phoneticPr fontId="7" type="noConversion"/>
  </si>
  <si>
    <t>누수율</t>
    <phoneticPr fontId="7" type="noConversion"/>
  </si>
  <si>
    <t>유효수율</t>
    <phoneticPr fontId="7" type="noConversion"/>
  </si>
  <si>
    <t>○ 관련계획상의 유수율</t>
    <phoneticPr fontId="7" type="noConversion"/>
  </si>
  <si>
    <t>○ 유효수율 계획</t>
    <phoneticPr fontId="7" type="noConversion"/>
  </si>
  <si>
    <t>사용량 원단위(ℓ/인·일)</t>
  </si>
  <si>
    <t>급수량
원단위</t>
    <phoneticPr fontId="7" type="noConversion"/>
  </si>
  <si>
    <t>사용량
원단위</t>
    <phoneticPr fontId="7" type="noConversion"/>
  </si>
  <si>
    <t xml:space="preserve">   1) 과거 상수도 사용실적</t>
    <phoneticPr fontId="7" type="noConversion"/>
  </si>
  <si>
    <t>○ 생활용수량(유수수량) 원단위 산정</t>
    <phoneticPr fontId="7" type="noConversion"/>
  </si>
  <si>
    <t>생활용수량 
원단위
(ℓ/인·일)</t>
    <phoneticPr fontId="7" type="noConversion"/>
  </si>
  <si>
    <t>○ 유효무수수량 원단위 산정</t>
    <phoneticPr fontId="7" type="noConversion"/>
  </si>
  <si>
    <t>유효무수수량 현황</t>
  </si>
  <si>
    <t xml:space="preserve">평 균 </t>
  </si>
  <si>
    <t>비 고</t>
  </si>
  <si>
    <t>유효무수수량 비율
(%)</t>
    <phoneticPr fontId="133" type="noConversion"/>
  </si>
  <si>
    <t>유효무수수량
(㎥/일)</t>
    <phoneticPr fontId="133" type="noConversion"/>
  </si>
  <si>
    <t>유효무수수량 원단위</t>
  </si>
  <si>
    <t>적용</t>
  </si>
  <si>
    <t>○ 유효무수수량 원단위 결정</t>
    <phoneticPr fontId="7" type="noConversion"/>
  </si>
  <si>
    <t>유효무수수량 
원단위
(ℓ/인·일)</t>
    <phoneticPr fontId="7" type="noConversion"/>
  </si>
  <si>
    <t>상수도사용량 
원단위
(ℓ/인·일)</t>
    <phoneticPr fontId="7" type="noConversion"/>
  </si>
  <si>
    <t>상수도사용량 원단위(ℓ/인·일)</t>
  </si>
  <si>
    <t>급수실적에 의한 방법</t>
  </si>
  <si>
    <t>사용실적에 의한 방법</t>
  </si>
  <si>
    <t>2.2.2 생활오수량 원단위 결정</t>
  </si>
  <si>
    <t xml:space="preserve"> 가. 오수전환율</t>
  </si>
  <si>
    <t xml:space="preserve">  1) 오수전환율 검토</t>
  </si>
  <si>
    <t>수거식주택</t>
  </si>
  <si>
    <t>수세식주택</t>
  </si>
  <si>
    <t>APT지역</t>
  </si>
  <si>
    <t>한강유역 환경보존 종합계획</t>
  </si>
  <si>
    <t>1983, 환경청</t>
  </si>
  <si>
    <t>낙동강 수질보전 보고서</t>
  </si>
  <si>
    <t>1985, 환경청</t>
  </si>
  <si>
    <t>서남해권 수질보전 보고서</t>
  </si>
  <si>
    <t>1986, 환경청</t>
  </si>
  <si>
    <t>주택단지내 상수 · 오수발생량 산정
및 하수처리시설소요비용연구</t>
  </si>
  <si>
    <t>단독(89.9), 공동주택(93.7), 영업(86.4)
평균 : 90</t>
  </si>
  <si>
    <t>2001, 환경부</t>
  </si>
  <si>
    <t>농어촌지역 하수발생량 원단위 산정 연구</t>
  </si>
  <si>
    <t>농촌형(90.9), 어촌형(88.0), 주택단지형(88.8)
평균 : 88.9</t>
  </si>
  <si>
    <t>2006, 환경부</t>
  </si>
  <si>
    <t>분뇨정화조의 구조기준 및 해석</t>
  </si>
  <si>
    <t>76~100(평균 : 88)</t>
  </si>
  <si>
    <t>일본건축센터</t>
  </si>
  <si>
    <t xml:space="preserve">  2) 수세화율 현황</t>
  </si>
  <si>
    <t>년도</t>
  </si>
  <si>
    <t>수세화율
(%)</t>
  </si>
  <si>
    <t>계</t>
  </si>
  <si>
    <t>수세식</t>
  </si>
  <si>
    <t>수거식</t>
  </si>
  <si>
    <t xml:space="preserve">  3) 장래 수세화율</t>
  </si>
  <si>
    <t>수세화율</t>
  </si>
  <si>
    <t xml:space="preserve">  4) 오수전환율 결정</t>
  </si>
  <si>
    <t>오수전환율</t>
  </si>
  <si>
    <t xml:space="preserve"> 나. 생활오수량 원단위 결정</t>
  </si>
  <si>
    <t>생활오수량 원단위(ℓ/인·일)</t>
  </si>
  <si>
    <t>급수량 원단위</t>
  </si>
  <si>
    <t>상수사용량 원단위</t>
  </si>
  <si>
    <t>오수전환율(%)</t>
  </si>
  <si>
    <t>일평균</t>
  </si>
  <si>
    <t>일최대</t>
  </si>
  <si>
    <t>시간최대</t>
  </si>
  <si>
    <t>2020년</t>
    <phoneticPr fontId="7" type="noConversion"/>
  </si>
  <si>
    <t>2025년</t>
    <phoneticPr fontId="7" type="noConversion"/>
  </si>
  <si>
    <t>2030년</t>
    <phoneticPr fontId="7" type="noConversion"/>
  </si>
  <si>
    <t>2035년</t>
    <phoneticPr fontId="7" type="noConversion"/>
  </si>
  <si>
    <t>지하수유입량 
원단위</t>
    <phoneticPr fontId="7" type="noConversion"/>
  </si>
  <si>
    <t>분뇨발생량(㎥/일)</t>
    <phoneticPr fontId="7" type="noConversion"/>
  </si>
  <si>
    <t>당초
생활오수량 
원단위</t>
    <phoneticPr fontId="7" type="noConversion"/>
  </si>
  <si>
    <t>구분</t>
    <phoneticPr fontId="7" type="noConversion"/>
  </si>
  <si>
    <t>비고</t>
    <phoneticPr fontId="7" type="noConversion"/>
  </si>
  <si>
    <t xml:space="preserve">   2) 상수도 사용량 원단위 결정</t>
    <phoneticPr fontId="7" type="noConversion"/>
  </si>
  <si>
    <t>2020년</t>
    <phoneticPr fontId="7" type="noConversion"/>
  </si>
  <si>
    <t>2025년</t>
    <phoneticPr fontId="7" type="noConversion"/>
  </si>
  <si>
    <t>2030년</t>
    <phoneticPr fontId="7" type="noConversion"/>
  </si>
  <si>
    <t>2035년</t>
    <phoneticPr fontId="7" type="noConversion"/>
  </si>
  <si>
    <t>관광하수원단위
(숙박객)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</si>
  <si>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</si>
  <si>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</si>
  <si>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</si>
  <si>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관광하수원단위
(일귀객)</t>
    <phoneticPr fontId="7" type="noConversion"/>
  </si>
  <si>
    <t>일최대</t>
    <phoneticPr fontId="7" type="noConversion"/>
  </si>
  <si>
    <t>시간최대</t>
    <phoneticPr fontId="7" type="noConversion"/>
  </si>
  <si>
    <t>구분</t>
    <phoneticPr fontId="7" type="noConversion"/>
  </si>
  <si>
    <t>변화율</t>
    <phoneticPr fontId="7" type="noConversion"/>
  </si>
  <si>
    <t>2025년</t>
    <phoneticPr fontId="7" type="noConversion"/>
  </si>
  <si>
    <t>2030년</t>
    <phoneticPr fontId="7" type="noConversion"/>
  </si>
  <si>
    <t>2030년</t>
    <phoneticPr fontId="7" type="noConversion"/>
  </si>
  <si>
    <t>2010년</t>
    <phoneticPr fontId="7" type="noConversion"/>
  </si>
  <si>
    <t>BOD</t>
  </si>
  <si>
    <t>COD</t>
  </si>
  <si>
    <t>SS</t>
  </si>
  <si>
    <t>T-N</t>
  </si>
  <si>
    <t>T-P</t>
  </si>
  <si>
    <t>▣ 장래 계획하수량 원단위</t>
    <phoneticPr fontId="7" type="noConversion"/>
  </si>
  <si>
    <t>일평균</t>
    <phoneticPr fontId="7" type="noConversion"/>
  </si>
  <si>
    <t>유효수율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</si>
  <si>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</si>
  <si>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</si>
  <si>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</si>
  <si>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</si>
  <si>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</si>
  <si>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</si>
  <si>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일최대</t>
    <phoneticPr fontId="7" type="noConversion"/>
  </si>
  <si>
    <t>시간최대</t>
    <phoneticPr fontId="7" type="noConversion"/>
  </si>
  <si>
    <t>일평균</t>
    <phoneticPr fontId="7" type="noConversion"/>
  </si>
  <si>
    <t>시간최대</t>
    <phoneticPr fontId="7" type="noConversion"/>
  </si>
  <si>
    <t>일최대</t>
    <phoneticPr fontId="7" type="noConversion"/>
  </si>
  <si>
    <t>지하수사용량</t>
    <phoneticPr fontId="7" type="noConversion"/>
  </si>
  <si>
    <t>일평균</t>
    <phoneticPr fontId="7" type="noConversion"/>
  </si>
  <si>
    <t>검측량</t>
    <phoneticPr fontId="7" type="noConversion"/>
  </si>
  <si>
    <t>일최대</t>
    <phoneticPr fontId="7" type="noConversion"/>
  </si>
  <si>
    <t>시간최대</t>
    <phoneticPr fontId="7" type="noConversion"/>
  </si>
  <si>
    <t>운영자료참조</t>
    <phoneticPr fontId="7" type="noConversion"/>
  </si>
  <si>
    <t xml:space="preserve"> 원단위추정</t>
    <phoneticPr fontId="7" type="noConversion"/>
  </si>
  <si>
    <t xml:space="preserve">  나. 읍ㆍ면별 급수현황</t>
    <phoneticPr fontId="35" type="noConversion"/>
  </si>
  <si>
    <t xml:space="preserve"> 2.1.2 상수도 사용실적</t>
    <phoneticPr fontId="7" type="noConversion"/>
  </si>
  <si>
    <t xml:space="preserve">  가. 상수 사용 현황</t>
    <phoneticPr fontId="7" type="noConversion"/>
  </si>
  <si>
    <t xml:space="preserve">  나. 상수 사용 실적</t>
    <phoneticPr fontId="7" type="noConversion"/>
  </si>
  <si>
    <r>
      <t>연 별</t>
    </r>
    <r>
      <rPr>
        <sz val="10"/>
        <rFont val="Times New Roman"/>
        <family val="1"/>
      </rPr>
      <t/>
    </r>
    <phoneticPr fontId="7" type="noConversion"/>
  </si>
  <si>
    <t>2010년</t>
    <phoneticPr fontId="133" type="noConversion"/>
  </si>
  <si>
    <t>2011년</t>
    <phoneticPr fontId="133" type="noConversion"/>
  </si>
  <si>
    <t>2012년</t>
    <phoneticPr fontId="133" type="noConversion"/>
  </si>
  <si>
    <t>2013년</t>
    <phoneticPr fontId="133" type="noConversion"/>
  </si>
  <si>
    <t xml:space="preserve"> 4) 급수실적을 이용한 원단위 추정</t>
    <phoneticPr fontId="7" type="noConversion"/>
  </si>
  <si>
    <t>광혜원면</t>
    <phoneticPr fontId="7" type="noConversion"/>
  </si>
  <si>
    <t>가정용</t>
    <phoneticPr fontId="7" type="noConversion"/>
  </si>
  <si>
    <t>영업용</t>
    <phoneticPr fontId="7" type="noConversion"/>
  </si>
  <si>
    <t>목욕탕용</t>
    <phoneticPr fontId="7" type="noConversion"/>
  </si>
  <si>
    <t>공업용</t>
    <phoneticPr fontId="7" type="noConversion"/>
  </si>
  <si>
    <t>원단위
(톤/일)</t>
    <phoneticPr fontId="7" type="noConversion"/>
  </si>
  <si>
    <t>공업제외</t>
    <phoneticPr fontId="7" type="noConversion"/>
  </si>
  <si>
    <r>
      <t>연 별</t>
    </r>
    <r>
      <rPr>
        <sz val="10"/>
        <rFont val="Times New Roman"/>
        <family val="1"/>
      </rPr>
      <t/>
    </r>
    <phoneticPr fontId="7" type="noConversion"/>
  </si>
  <si>
    <t>주1) 공업용수 제외</t>
    <phoneticPr fontId="7" type="noConversion"/>
  </si>
  <si>
    <r>
      <t>영업용</t>
    </r>
    <r>
      <rPr>
        <vertAlign val="superscript"/>
        <sz val="9"/>
        <rFont val="맑은 고딕"/>
        <family val="3"/>
        <charset val="129"/>
        <scheme val="minor"/>
      </rPr>
      <t>1)</t>
    </r>
    <phoneticPr fontId="7" type="noConversion"/>
  </si>
  <si>
    <r>
      <t>2010</t>
    </r>
    <r>
      <rPr>
        <sz val="11"/>
        <color rgb="FFFFFFFF"/>
        <rFont val="돋움"/>
        <family val="3"/>
        <charset val="129"/>
      </rPr>
      <t>년</t>
    </r>
  </si>
  <si>
    <r>
      <t>1</t>
    </r>
    <r>
      <rPr>
        <sz val="11"/>
        <color rgb="FFFFFFFF"/>
        <rFont val="돋움"/>
        <family val="3"/>
        <charset val="129"/>
      </rPr>
      <t>단계</t>
    </r>
    <r>
      <rPr>
        <sz val="11"/>
        <color rgb="FFFFFFFF"/>
        <rFont val="-윤명조130"/>
        <family val="3"/>
        <charset val="129"/>
      </rPr>
      <t>(2015</t>
    </r>
    <r>
      <rPr>
        <sz val="11"/>
        <color rgb="FFFFFFFF"/>
        <rFont val="돋움"/>
        <family val="3"/>
        <charset val="129"/>
      </rPr>
      <t>년</t>
    </r>
    <r>
      <rPr>
        <sz val="11"/>
        <color rgb="FFFFFFFF"/>
        <rFont val="-윤명조130"/>
        <family val="3"/>
        <charset val="129"/>
      </rPr>
      <t>)</t>
    </r>
  </si>
  <si>
    <r>
      <t>2</t>
    </r>
    <r>
      <rPr>
        <sz val="11"/>
        <color rgb="FFFFFFFF"/>
        <rFont val="돋움"/>
        <family val="3"/>
        <charset val="129"/>
      </rPr>
      <t>단계</t>
    </r>
    <r>
      <rPr>
        <sz val="11"/>
        <color rgb="FFFFFFFF"/>
        <rFont val="-윤명조130"/>
        <family val="3"/>
        <charset val="129"/>
      </rPr>
      <t>(2020</t>
    </r>
    <r>
      <rPr>
        <sz val="11"/>
        <color rgb="FFFFFFFF"/>
        <rFont val="돋움"/>
        <family val="3"/>
        <charset val="129"/>
      </rPr>
      <t>년</t>
    </r>
    <r>
      <rPr>
        <sz val="11"/>
        <color rgb="FFFFFFFF"/>
        <rFont val="-윤명조130"/>
        <family val="3"/>
        <charset val="129"/>
      </rPr>
      <t>)</t>
    </r>
  </si>
  <si>
    <r>
      <t>3</t>
    </r>
    <r>
      <rPr>
        <sz val="11"/>
        <color rgb="FFFFFFFF"/>
        <rFont val="돋움"/>
        <family val="3"/>
        <charset val="129"/>
      </rPr>
      <t>단계</t>
    </r>
    <r>
      <rPr>
        <sz val="11"/>
        <color rgb="FFFFFFFF"/>
        <rFont val="-윤명조130"/>
        <family val="3"/>
        <charset val="129"/>
      </rPr>
      <t>(2025</t>
    </r>
    <r>
      <rPr>
        <sz val="11"/>
        <color rgb="FFFFFFFF"/>
        <rFont val="돋움"/>
        <family val="3"/>
        <charset val="129"/>
      </rPr>
      <t>년</t>
    </r>
    <r>
      <rPr>
        <sz val="11"/>
        <color rgb="FFFFFFFF"/>
        <rFont val="-윤명조130"/>
        <family val="3"/>
        <charset val="129"/>
      </rPr>
      <t>)</t>
    </r>
  </si>
  <si>
    <r>
      <t>4</t>
    </r>
    <r>
      <rPr>
        <sz val="11"/>
        <color rgb="FFFFFFFF"/>
        <rFont val="돋움"/>
        <family val="3"/>
        <charset val="129"/>
      </rPr>
      <t>단계</t>
    </r>
    <r>
      <rPr>
        <sz val="11"/>
        <color rgb="FFFFFFFF"/>
        <rFont val="-윤명조130"/>
        <family val="3"/>
        <charset val="129"/>
      </rPr>
      <t>(2030</t>
    </r>
    <r>
      <rPr>
        <sz val="11"/>
        <color rgb="FFFFFFFF"/>
        <rFont val="돋움"/>
        <family val="3"/>
        <charset val="129"/>
      </rPr>
      <t>년</t>
    </r>
    <r>
      <rPr>
        <sz val="11"/>
        <color rgb="FFFFFFFF"/>
        <rFont val="-윤명조130"/>
        <family val="3"/>
        <charset val="129"/>
      </rPr>
      <t>)</t>
    </r>
  </si>
  <si>
    <t>진 천 군</t>
  </si>
  <si>
    <t xml:space="preserve">      ○ 수도정비 기본계획(2014)상의 유수율</t>
    <phoneticPr fontId="7" type="noConversion"/>
  </si>
  <si>
    <t>2015년</t>
    <phoneticPr fontId="7" type="noConversion"/>
  </si>
  <si>
    <t>2020년</t>
    <phoneticPr fontId="7" type="noConversion"/>
  </si>
  <si>
    <t>2025년</t>
    <phoneticPr fontId="7" type="noConversion"/>
  </si>
  <si>
    <t>2030년</t>
    <phoneticPr fontId="7" type="noConversion"/>
  </si>
  <si>
    <t>원단위추정</t>
    <phoneticPr fontId="7" type="noConversion"/>
  </si>
  <si>
    <t xml:space="preserve"> 원단위추정</t>
    <phoneticPr fontId="7" type="noConversion"/>
  </si>
  <si>
    <t>상수도사용량 원단위(ℓ/인·일)</t>
    <phoneticPr fontId="7" type="noConversion"/>
  </si>
  <si>
    <t>상수도사용량 원단위(ℓ/인·일)</t>
    <phoneticPr fontId="7" type="noConversion"/>
  </si>
  <si>
    <t>공업용수
사용량
(㎥/일)</t>
    <phoneticPr fontId="7" type="noConversion"/>
  </si>
  <si>
    <t>제외</t>
    <phoneticPr fontId="7" type="noConversion"/>
  </si>
  <si>
    <r>
      <t>1</t>
    </r>
    <r>
      <rPr>
        <b/>
        <sz val="11"/>
        <color rgb="FF000000"/>
        <rFont val="돋움"/>
        <family val="3"/>
        <charset val="129"/>
      </rPr>
      <t>단계</t>
    </r>
  </si>
  <si>
    <r>
      <t>(2010</t>
    </r>
    <r>
      <rPr>
        <b/>
        <sz val="11"/>
        <color rgb="FF000000"/>
        <rFont val="돋움"/>
        <family val="3"/>
        <charset val="129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</si>
  <si>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2</t>
    </r>
    <r>
      <rPr>
        <b/>
        <sz val="11"/>
        <color rgb="FF000000"/>
        <rFont val="돋움"/>
        <family val="3"/>
        <charset val="129"/>
      </rPr>
      <t>단계</t>
    </r>
  </si>
  <si>
    <r>
      <t>(2015</t>
    </r>
    <r>
      <rPr>
        <b/>
        <sz val="11"/>
        <color rgb="FF000000"/>
        <rFont val="돋움"/>
        <family val="3"/>
        <charset val="129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</si>
  <si>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3</t>
    </r>
    <r>
      <rPr>
        <b/>
        <sz val="11"/>
        <color rgb="FF000000"/>
        <rFont val="돋움"/>
        <family val="3"/>
        <charset val="129"/>
      </rPr>
      <t>단계</t>
    </r>
  </si>
  <si>
    <r>
      <t>(2020</t>
    </r>
    <r>
      <rPr>
        <b/>
        <sz val="11"/>
        <color rgb="FF000000"/>
        <rFont val="돋움"/>
        <family val="3"/>
        <charset val="129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</si>
  <si>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r>
      <t>4</t>
    </r>
    <r>
      <rPr>
        <b/>
        <sz val="11"/>
        <color rgb="FF000000"/>
        <rFont val="돋움"/>
        <family val="3"/>
        <charset val="129"/>
      </rPr>
      <t>단계</t>
    </r>
  </si>
  <si>
    <r>
      <t>(2025</t>
    </r>
    <r>
      <rPr>
        <b/>
        <sz val="11"/>
        <color rgb="FF000000"/>
        <rFont val="돋움"/>
        <family val="3"/>
        <charset val="129"/>
      </rPr>
      <t>년</t>
    </r>
    <r>
      <rPr>
        <b/>
        <sz val="11"/>
        <color rgb="FF000000"/>
        <rFont val="한양신명조"/>
        <family val="3"/>
        <charset val="129"/>
      </rPr>
      <t>)</t>
    </r>
  </si>
  <si>
    <t>읍지역</t>
  </si>
  <si>
    <t>진천처리구역</t>
  </si>
  <si>
    <t>면지역</t>
  </si>
  <si>
    <t>면소재지 지역</t>
  </si>
  <si>
    <t>혁신도시</t>
  </si>
  <si>
    <t>자연마을</t>
  </si>
  <si>
    <t>소규모</t>
  </si>
  <si>
    <t>처리시설</t>
  </si>
  <si>
    <t>기존정비기본계획 생활오수량 원단위(일평균) 2008</t>
    <phoneticPr fontId="7" type="noConversion"/>
  </si>
  <si>
    <t>혁신도시</t>
    <phoneticPr fontId="7" type="noConversion"/>
  </si>
  <si>
    <t>급 수 량1)
(㎥/일)</t>
    <phoneticPr fontId="7" type="noConversion"/>
  </si>
  <si>
    <t>주) 1),2)은 공업용수 제외</t>
    <phoneticPr fontId="7" type="noConversion"/>
  </si>
  <si>
    <t>폐수</t>
    <phoneticPr fontId="7" type="noConversion"/>
  </si>
  <si>
    <t>선수촌</t>
    <phoneticPr fontId="7" type="noConversion"/>
  </si>
  <si>
    <t>산업단지오수</t>
    <phoneticPr fontId="7" type="noConversion"/>
  </si>
  <si>
    <t>선수촌</t>
    <phoneticPr fontId="7" type="noConversion"/>
  </si>
  <si>
    <t>계</t>
    <phoneticPr fontId="7" type="noConversion"/>
  </si>
  <si>
    <t>○오수량</t>
    <phoneticPr fontId="7" type="noConversion"/>
  </si>
  <si>
    <t>○상수사용량</t>
    <phoneticPr fontId="7" type="noConversion"/>
  </si>
  <si>
    <t>제외</t>
    <phoneticPr fontId="7" type="noConversion"/>
  </si>
  <si>
    <t>읍지역</t>
    <phoneticPr fontId="7" type="noConversion"/>
  </si>
  <si>
    <t>면지역</t>
    <phoneticPr fontId="7" type="noConversion"/>
  </si>
  <si>
    <t>혁신도시</t>
    <phoneticPr fontId="7" type="noConversion"/>
  </si>
  <si>
    <t>자연마을</t>
    <phoneticPr fontId="7" type="noConversion"/>
  </si>
  <si>
    <t>▶ 일사용량</t>
    <phoneticPr fontId="7" type="noConversion"/>
  </si>
  <si>
    <t>(단위:㎥/일)</t>
    <phoneticPr fontId="7" type="noConversion"/>
  </si>
  <si>
    <t>구        분</t>
    <phoneticPr fontId="7" type="noConversion"/>
  </si>
  <si>
    <t>계</t>
    <phoneticPr fontId="7" type="noConversion"/>
  </si>
  <si>
    <t>가정용</t>
    <phoneticPr fontId="7" type="noConversion"/>
  </si>
  <si>
    <t>교육용</t>
    <phoneticPr fontId="7" type="noConversion"/>
  </si>
  <si>
    <t>욕탕용</t>
    <phoneticPr fontId="7" type="noConversion"/>
  </si>
  <si>
    <t>일반공업용</t>
    <phoneticPr fontId="7" type="noConversion"/>
  </si>
  <si>
    <t>일반용</t>
    <phoneticPr fontId="7" type="noConversion"/>
  </si>
  <si>
    <t>전용공업용</t>
    <phoneticPr fontId="7" type="noConversion"/>
  </si>
  <si>
    <t>혼합용</t>
    <phoneticPr fontId="7" type="noConversion"/>
  </si>
  <si>
    <t>급수인구</t>
    <phoneticPr fontId="7" type="noConversion"/>
  </si>
  <si>
    <t>영업용</t>
    <phoneticPr fontId="7" type="noConversion"/>
  </si>
  <si>
    <t>상수사용원단위</t>
    <phoneticPr fontId="7" type="noConversion"/>
  </si>
  <si>
    <t>영업용수율</t>
    <phoneticPr fontId="7" type="noConversion"/>
  </si>
  <si>
    <t>공업용</t>
    <phoneticPr fontId="7" type="noConversion"/>
  </si>
  <si>
    <t>▶ 년사용량</t>
    <phoneticPr fontId="7" type="noConversion"/>
  </si>
  <si>
    <t>(단위:㎥/년)</t>
    <phoneticPr fontId="7" type="noConversion"/>
  </si>
  <si>
    <t>구        분</t>
    <phoneticPr fontId="7" type="noConversion"/>
  </si>
  <si>
    <t>계</t>
    <phoneticPr fontId="7" type="noConversion"/>
  </si>
  <si>
    <t>가정용</t>
    <phoneticPr fontId="7" type="noConversion"/>
  </si>
  <si>
    <t>교육용</t>
    <phoneticPr fontId="7" type="noConversion"/>
  </si>
  <si>
    <t>욕탕용</t>
    <phoneticPr fontId="7" type="noConversion"/>
  </si>
  <si>
    <t>일반공업용</t>
    <phoneticPr fontId="7" type="noConversion"/>
  </si>
  <si>
    <t>일반용</t>
    <phoneticPr fontId="7" type="noConversion"/>
  </si>
  <si>
    <t>전용공업용</t>
    <phoneticPr fontId="7" type="noConversion"/>
  </si>
  <si>
    <t>혼합용</t>
    <phoneticPr fontId="7" type="noConversion"/>
  </si>
  <si>
    <t>▶ 월사용량</t>
    <phoneticPr fontId="7" type="noConversion"/>
  </si>
  <si>
    <t>(단위:㎥/월)</t>
    <phoneticPr fontId="7" type="noConversion"/>
  </si>
  <si>
    <t>1월</t>
    <phoneticPr fontId="7" type="noConversion"/>
  </si>
  <si>
    <t>2월</t>
    <phoneticPr fontId="7" type="noConversion"/>
  </si>
  <si>
    <t>2011년</t>
    <phoneticPr fontId="7" type="noConversion"/>
  </si>
  <si>
    <t>2012년</t>
    <phoneticPr fontId="7" type="noConversion"/>
  </si>
  <si>
    <t>2013년</t>
    <phoneticPr fontId="7" type="noConversion"/>
  </si>
  <si>
    <t>▶ 년사용량</t>
    <phoneticPr fontId="7" type="noConversion"/>
  </si>
  <si>
    <t>(단위:㎥/년)</t>
    <phoneticPr fontId="7" type="noConversion"/>
  </si>
  <si>
    <t>생활오수량 원단위</t>
    <phoneticPr fontId="7" type="noConversion"/>
  </si>
  <si>
    <r>
      <t>연 별</t>
    </r>
    <r>
      <rPr>
        <sz val="10"/>
        <rFont val="Times New Roman"/>
        <family val="1"/>
      </rPr>
      <t/>
    </r>
    <phoneticPr fontId="7" type="noConversion"/>
  </si>
  <si>
    <r>
      <t>영업용</t>
    </r>
    <r>
      <rPr>
        <vertAlign val="superscript"/>
        <sz val="10"/>
        <rFont val="맑은 고딕"/>
        <family val="3"/>
        <charset val="129"/>
        <scheme val="minor"/>
      </rPr>
      <t>1)</t>
    </r>
    <phoneticPr fontId="7" type="noConversion"/>
  </si>
  <si>
    <t>※ 자료: 지하수조사연보(국토교통부)</t>
    <phoneticPr fontId="7" type="noConversion"/>
  </si>
  <si>
    <t>구분</t>
    <phoneticPr fontId="35" type="noConversion"/>
  </si>
  <si>
    <r>
      <t>일사용량
(m</t>
    </r>
    <r>
      <rPr>
        <vertAlign val="superscript"/>
        <sz val="9"/>
        <color indexed="8"/>
        <rFont val="돋움"/>
        <family val="3"/>
        <charset val="129"/>
      </rPr>
      <t>3</t>
    </r>
    <r>
      <rPr>
        <sz val="9"/>
        <color indexed="8"/>
        <rFont val="돋움"/>
        <family val="3"/>
        <charset val="129"/>
      </rPr>
      <t>/일)</t>
    </r>
    <phoneticPr fontId="35" type="noConversion"/>
  </si>
  <si>
    <t>비고</t>
    <phoneticPr fontId="35" type="noConversion"/>
  </si>
  <si>
    <t>계</t>
    <phoneticPr fontId="35" type="noConversion"/>
  </si>
  <si>
    <t>1월</t>
    <phoneticPr fontId="35" type="noConversion"/>
  </si>
  <si>
    <t>합계</t>
    <phoneticPr fontId="35" type="noConversion"/>
  </si>
  <si>
    <t>구분</t>
    <phoneticPr fontId="7" type="noConversion"/>
  </si>
  <si>
    <t>지하수 사용량(㎥/일)</t>
    <phoneticPr fontId="7" type="noConversion"/>
  </si>
  <si>
    <t>오수전환율</t>
    <phoneticPr fontId="7" type="noConversion"/>
  </si>
  <si>
    <t>변동부하율</t>
    <phoneticPr fontId="7" type="noConversion"/>
  </si>
  <si>
    <t>비고</t>
    <phoneticPr fontId="7" type="noConversion"/>
  </si>
  <si>
    <t>생활오수원단위</t>
    <phoneticPr fontId="7" type="noConversion"/>
  </si>
  <si>
    <t>소규모
(연곡)</t>
    <phoneticPr fontId="7" type="noConversion"/>
  </si>
  <si>
    <t>구  분</t>
    <phoneticPr fontId="7" type="noConversion"/>
  </si>
  <si>
    <t>계획하수량
(㎥/일, 일최대)</t>
    <phoneticPr fontId="7" type="noConversion"/>
  </si>
  <si>
    <t>연면적
(㎡)</t>
    <phoneticPr fontId="7" type="noConversion"/>
  </si>
  <si>
    <t>1일 오수 
발생량(ℓ/㎡)</t>
    <phoneticPr fontId="7" type="noConversion"/>
  </si>
  <si>
    <t>비  고</t>
    <phoneticPr fontId="35" type="noConversion"/>
  </si>
  <si>
    <t>시설
계획</t>
    <phoneticPr fontId="35" type="noConversion"/>
  </si>
  <si>
    <t>합  계</t>
    <phoneticPr fontId="7" type="noConversion"/>
  </si>
  <si>
    <t xml:space="preserve"> ※ 1일 오수 발생량은 '건축물의 용도별 오수발생량 및 정화조 처리대상인원 산정방법(환경부 고시 2013-6)'의 용도별 발생량 적용</t>
    <phoneticPr fontId="35" type="noConversion"/>
  </si>
  <si>
    <t>게이트볼장</t>
    <phoneticPr fontId="35" type="noConversion"/>
  </si>
  <si>
    <t>게이트볼장A</t>
    <phoneticPr fontId="35" type="noConversion"/>
  </si>
  <si>
    <t>배드민턴장</t>
    <phoneticPr fontId="35" type="noConversion"/>
  </si>
  <si>
    <t>테니스장</t>
    <phoneticPr fontId="35" type="noConversion"/>
  </si>
  <si>
    <t xml:space="preserve">  - '13년 문백농공단지 상수사용량 검토</t>
    <phoneticPr fontId="7" type="noConversion"/>
  </si>
  <si>
    <t>테니스장A</t>
    <phoneticPr fontId="35" type="noConversion"/>
  </si>
  <si>
    <t>구분</t>
    <phoneticPr fontId="7" type="noConversion"/>
  </si>
  <si>
    <t>1월</t>
    <phoneticPr fontId="7" type="noConversion"/>
  </si>
  <si>
    <t>관리사무소</t>
    <phoneticPr fontId="7" type="noConversion"/>
  </si>
  <si>
    <t>에코트로닉스(주)</t>
  </si>
  <si>
    <t>유비벨록스</t>
  </si>
  <si>
    <t>현대모비스(주)</t>
  </si>
  <si>
    <t>노현정</t>
  </si>
  <si>
    <t>'13년 월평균
상수 사용량
최대값(㎥/일)</t>
    <phoneticPr fontId="7" type="noConversion"/>
  </si>
  <si>
    <t>오수
전환율
(%)</t>
    <phoneticPr fontId="35" type="noConversion"/>
  </si>
  <si>
    <t>변동
부하율
(일최대)</t>
    <phoneticPr fontId="35" type="noConversion"/>
  </si>
  <si>
    <t>김주봉</t>
  </si>
  <si>
    <t>문백농공단지</t>
    <phoneticPr fontId="35" type="noConversion"/>
  </si>
  <si>
    <t>'13년 9월</t>
    <phoneticPr fontId="35" type="noConversion"/>
  </si>
  <si>
    <t>월평균</t>
    <phoneticPr fontId="7" type="noConversion"/>
  </si>
  <si>
    <t xml:space="preserve"> 자료) 진천군 상수검측자료</t>
    <phoneticPr fontId="35" type="noConversion"/>
  </si>
  <si>
    <t>일평균</t>
    <phoneticPr fontId="7" type="noConversion"/>
  </si>
  <si>
    <t xml:space="preserve">  - '13년 이월중학교 상수사용량 검토</t>
    <phoneticPr fontId="7" type="noConversion"/>
  </si>
  <si>
    <t>일발생량
(㎥/일)</t>
    <phoneticPr fontId="7" type="noConversion"/>
  </si>
  <si>
    <t>14년 오폐수발생량
(㎥)</t>
    <phoneticPr fontId="7" type="noConversion"/>
  </si>
  <si>
    <t>업무일
(공휴일제외)</t>
    <phoneticPr fontId="7" type="noConversion"/>
  </si>
  <si>
    <t>이월전기전자농공단지</t>
    <phoneticPr fontId="35" type="noConversion"/>
  </si>
  <si>
    <t>14.01.02~14.12.29</t>
    <phoneticPr fontId="7" type="noConversion"/>
  </si>
  <si>
    <t>이월중학교</t>
    <phoneticPr fontId="35" type="noConversion"/>
  </si>
  <si>
    <t>'13년 7월</t>
    <phoneticPr fontId="35" type="noConversion"/>
  </si>
  <si>
    <t>연면적 
및 대상인원
(㎡, 인)</t>
    <phoneticPr fontId="7" type="noConversion"/>
  </si>
  <si>
    <t>1일 오수 발생량(ℓ/㎡, ℓ/인)</t>
    <phoneticPr fontId="7" type="noConversion"/>
  </si>
  <si>
    <t>교사/학급동</t>
    <phoneticPr fontId="35" type="noConversion"/>
  </si>
  <si>
    <t>체육관동</t>
    <phoneticPr fontId="35" type="noConversion"/>
  </si>
  <si>
    <t>식당동</t>
    <phoneticPr fontId="35" type="noConversion"/>
  </si>
  <si>
    <t>기숙사동</t>
    <phoneticPr fontId="7" type="noConversion"/>
  </si>
  <si>
    <t>합  계</t>
    <phoneticPr fontId="35" type="noConversion"/>
  </si>
  <si>
    <t>부대급식시설</t>
    <phoneticPr fontId="7" type="noConversion"/>
  </si>
  <si>
    <t>일반사무소</t>
    <phoneticPr fontId="7" type="noConversion"/>
  </si>
  <si>
    <t>체력단련장</t>
    <phoneticPr fontId="7" type="noConversion"/>
  </si>
  <si>
    <t>기숙사</t>
    <phoneticPr fontId="7" type="noConversion"/>
  </si>
  <si>
    <t>연면적 및 대상인원
(㎡, 인)</t>
    <phoneticPr fontId="7" type="noConversion"/>
  </si>
  <si>
    <t>1일 오수 
발생량(ℓ/㎡,ℓ/인)</t>
    <phoneticPr fontId="7" type="noConversion"/>
  </si>
  <si>
    <t>체력단련실 등</t>
    <phoneticPr fontId="7" type="noConversion"/>
  </si>
  <si>
    <t>기숙사</t>
    <phoneticPr fontId="35" type="noConversion"/>
  </si>
  <si>
    <t>빌라</t>
    <phoneticPr fontId="35" type="noConversion"/>
  </si>
  <si>
    <t>후생시설</t>
    <phoneticPr fontId="7" type="noConversion"/>
  </si>
  <si>
    <t>업무시설</t>
    <phoneticPr fontId="35" type="noConversion"/>
  </si>
  <si>
    <t>업무시설</t>
    <phoneticPr fontId="7" type="noConversion"/>
  </si>
  <si>
    <t>식당, 주방</t>
    <phoneticPr fontId="35" type="noConversion"/>
  </si>
  <si>
    <t>연회장, 세미나실 등</t>
    <phoneticPr fontId="35" type="noConversion"/>
  </si>
  <si>
    <t>연수원</t>
    <phoneticPr fontId="7" type="noConversion"/>
  </si>
  <si>
    <t>교육시설</t>
    <phoneticPr fontId="7" type="noConversion"/>
  </si>
  <si>
    <t>중강의실, 강당 등</t>
    <phoneticPr fontId="35" type="noConversion"/>
  </si>
  <si>
    <t>분임토의실 등</t>
    <phoneticPr fontId="35" type="noConversion"/>
  </si>
  <si>
    <t>일반강의실 등</t>
    <phoneticPr fontId="35" type="noConversion"/>
  </si>
  <si>
    <t xml:space="preserve">중강의실 등 </t>
    <phoneticPr fontId="35" type="noConversion"/>
  </si>
  <si>
    <t>경비동</t>
    <phoneticPr fontId="7" type="noConversion"/>
  </si>
  <si>
    <t>경비실</t>
    <phoneticPr fontId="35" type="noConversion"/>
  </si>
  <si>
    <t>지하수사용에 의한 오수량(㎥/일)</t>
    <phoneticPr fontId="7" type="noConversion"/>
  </si>
  <si>
    <t>유량(㎥/일)</t>
  </si>
  <si>
    <t>'11</t>
  </si>
  <si>
    <t>'12</t>
  </si>
  <si>
    <t>'13</t>
  </si>
  <si>
    <t>분뇨
처리수</t>
    <phoneticPr fontId="7" type="noConversion"/>
  </si>
  <si>
    <t>학교</t>
    <phoneticPr fontId="7" type="noConversion"/>
  </si>
  <si>
    <t>기숙사</t>
    <phoneticPr fontId="7" type="noConversion"/>
  </si>
  <si>
    <t>건축물오수발생량</t>
    <phoneticPr fontId="7" type="noConversion"/>
  </si>
  <si>
    <t>제로에너지주택</t>
    <phoneticPr fontId="7" type="noConversion"/>
  </si>
  <si>
    <t>공모사업 50동</t>
    <phoneticPr fontId="7" type="noConversion"/>
  </si>
  <si>
    <t>자체사업 50동</t>
    <phoneticPr fontId="35" type="noConversion"/>
  </si>
  <si>
    <t>KCL
사업본부</t>
    <phoneticPr fontId="7" type="noConversion"/>
  </si>
  <si>
    <t>연구시설</t>
    <phoneticPr fontId="35" type="noConversion"/>
  </si>
  <si>
    <t>한국에너지공단</t>
    <phoneticPr fontId="7" type="noConversion"/>
  </si>
  <si>
    <t>공공업무시설</t>
    <phoneticPr fontId="35" type="noConversion"/>
  </si>
  <si>
    <t>주택</t>
    <phoneticPr fontId="7" type="noConversion"/>
  </si>
  <si>
    <t>사업본부
연구원</t>
    <phoneticPr fontId="7" type="noConversion"/>
  </si>
  <si>
    <t>공공시설</t>
    <phoneticPr fontId="7" type="noConversion"/>
  </si>
  <si>
    <t xml:space="preserve"> ○ 과거 10년간 상수도 원단위 현황</t>
    <phoneticPr fontId="7" type="noConversion"/>
  </si>
  <si>
    <t>진천군 수도정비 기본계획(2014.4)</t>
    <phoneticPr fontId="7" type="noConversion"/>
  </si>
  <si>
    <t>충북
혁신도시</t>
    <phoneticPr fontId="7" type="noConversion"/>
  </si>
  <si>
    <t>시간최대</t>
    <phoneticPr fontId="7" type="noConversion"/>
  </si>
  <si>
    <t>일평균</t>
    <phoneticPr fontId="7" type="noConversion"/>
  </si>
  <si>
    <t>일최대</t>
    <phoneticPr fontId="7" type="noConversion"/>
  </si>
  <si>
    <t>충북혁신도시
수질복원센터
건설공사(2011.8)</t>
    <phoneticPr fontId="7" type="noConversion"/>
  </si>
  <si>
    <t>산업단지
오폐수량</t>
    <phoneticPr fontId="7" type="noConversion"/>
  </si>
  <si>
    <t>충북
혁신도시
수질복원
센터</t>
    <phoneticPr fontId="7" type="noConversion"/>
  </si>
  <si>
    <t>지하수
유입량</t>
    <phoneticPr fontId="7" type="noConversion"/>
  </si>
  <si>
    <t>생거
에코타운</t>
    <phoneticPr fontId="7" type="noConversion"/>
  </si>
  <si>
    <t>(단위 : Lpcd/일평균)</t>
    <phoneticPr fontId="7" type="noConversion"/>
  </si>
  <si>
    <t>구분</t>
    <phoneticPr fontId="7" type="noConversion"/>
  </si>
  <si>
    <t>2015년</t>
    <phoneticPr fontId="7" type="noConversion"/>
  </si>
  <si>
    <t>2020년</t>
    <phoneticPr fontId="7" type="noConversion"/>
  </si>
  <si>
    <t>비고</t>
    <phoneticPr fontId="7" type="noConversion"/>
  </si>
  <si>
    <t>전국수도종합계획
(2007)</t>
    <phoneticPr fontId="7" type="noConversion"/>
  </si>
  <si>
    <t>읍지역</t>
    <phoneticPr fontId="7" type="noConversion"/>
  </si>
  <si>
    <t>환경부</t>
    <phoneticPr fontId="7" type="noConversion"/>
  </si>
  <si>
    <t>면지역</t>
    <phoneticPr fontId="7" type="noConversion"/>
  </si>
  <si>
    <t>2025 수도정비기본계획
(2010)</t>
    <phoneticPr fontId="7" type="noConversion"/>
  </si>
  <si>
    <t>시범권역 유역하수도정비 계획
(2011)</t>
    <phoneticPr fontId="7" type="noConversion"/>
  </si>
  <si>
    <t>충청북도 물 수요관리 종합계획
(2012)</t>
    <phoneticPr fontId="7" type="noConversion"/>
  </si>
  <si>
    <t>충청북도</t>
    <phoneticPr fontId="7" type="noConversion"/>
  </si>
  <si>
    <t>금강북부권급수체계구축(1차)
사업실시설계(2007)</t>
    <phoneticPr fontId="7" type="noConversion"/>
  </si>
  <si>
    <t>건교부</t>
    <phoneticPr fontId="7" type="noConversion"/>
  </si>
  <si>
    <t>남한강권 급수체계구축 기본계획
(2009)</t>
    <phoneticPr fontId="7" type="noConversion"/>
  </si>
  <si>
    <t>평균</t>
    <phoneticPr fontId="7" type="noConversion"/>
  </si>
  <si>
    <t>본 계획 적용</t>
    <phoneticPr fontId="7" type="noConversion"/>
  </si>
  <si>
    <t>진천읍</t>
  </si>
  <si>
    <t>광혜원면</t>
  </si>
  <si>
    <t>덕산면, 이월면,
문백면</t>
  </si>
  <si>
    <t>초평면, 백곡면</t>
  </si>
  <si>
    <r>
      <t>1</t>
    </r>
    <r>
      <rPr>
        <b/>
        <sz val="10.5"/>
        <color rgb="FF000000"/>
        <rFont val="돋움"/>
        <family val="3"/>
        <charset val="129"/>
      </rPr>
      <t>월</t>
    </r>
  </si>
  <si>
    <r>
      <t>2</t>
    </r>
    <r>
      <rPr>
        <b/>
        <sz val="10.5"/>
        <color rgb="FF000000"/>
        <rFont val="돋움"/>
        <family val="3"/>
        <charset val="129"/>
      </rPr>
      <t>월</t>
    </r>
  </si>
  <si>
    <r>
      <t>3</t>
    </r>
    <r>
      <rPr>
        <b/>
        <sz val="10.5"/>
        <color rgb="FF000000"/>
        <rFont val="돋움"/>
        <family val="3"/>
        <charset val="129"/>
      </rPr>
      <t>월</t>
    </r>
  </si>
  <si>
    <r>
      <t>4</t>
    </r>
    <r>
      <rPr>
        <b/>
        <sz val="10.5"/>
        <color rgb="FF000000"/>
        <rFont val="돋움"/>
        <family val="3"/>
        <charset val="129"/>
      </rPr>
      <t>월</t>
    </r>
  </si>
  <si>
    <r>
      <t>5</t>
    </r>
    <r>
      <rPr>
        <b/>
        <sz val="10.5"/>
        <color rgb="FF000000"/>
        <rFont val="돋움"/>
        <family val="3"/>
        <charset val="129"/>
      </rPr>
      <t>월</t>
    </r>
  </si>
  <si>
    <r>
      <t>6</t>
    </r>
    <r>
      <rPr>
        <b/>
        <sz val="10.5"/>
        <color rgb="FF000000"/>
        <rFont val="돋움"/>
        <family val="3"/>
        <charset val="129"/>
      </rPr>
      <t>월</t>
    </r>
  </si>
  <si>
    <r>
      <t>7</t>
    </r>
    <r>
      <rPr>
        <b/>
        <sz val="10.5"/>
        <color rgb="FF000000"/>
        <rFont val="돋움"/>
        <family val="3"/>
        <charset val="129"/>
      </rPr>
      <t>월</t>
    </r>
  </si>
  <si>
    <r>
      <t>8</t>
    </r>
    <r>
      <rPr>
        <b/>
        <sz val="10.5"/>
        <color rgb="FF000000"/>
        <rFont val="돋움"/>
        <family val="3"/>
        <charset val="129"/>
      </rPr>
      <t>월</t>
    </r>
  </si>
  <si>
    <r>
      <t>9</t>
    </r>
    <r>
      <rPr>
        <b/>
        <sz val="10.5"/>
        <color rgb="FF000000"/>
        <rFont val="돋움"/>
        <family val="3"/>
        <charset val="129"/>
      </rPr>
      <t>월</t>
    </r>
  </si>
  <si>
    <r>
      <t>10</t>
    </r>
    <r>
      <rPr>
        <b/>
        <sz val="10.5"/>
        <color rgb="FF000000"/>
        <rFont val="돋움"/>
        <family val="3"/>
        <charset val="129"/>
      </rPr>
      <t>월</t>
    </r>
  </si>
  <si>
    <r>
      <t>11</t>
    </r>
    <r>
      <rPr>
        <b/>
        <sz val="10.5"/>
        <color rgb="FF000000"/>
        <rFont val="돋움"/>
        <family val="3"/>
        <charset val="129"/>
      </rPr>
      <t>월</t>
    </r>
  </si>
  <si>
    <r>
      <t>12</t>
    </r>
    <r>
      <rPr>
        <b/>
        <sz val="10.5"/>
        <color rgb="FF000000"/>
        <rFont val="돋움"/>
        <family val="3"/>
        <charset val="129"/>
      </rPr>
      <t>월</t>
    </r>
  </si>
  <si>
    <r>
      <t>일사용량</t>
    </r>
    <r>
      <rPr>
        <b/>
        <sz val="10.5"/>
        <color rgb="FF000000"/>
        <rFont val="HY신명조"/>
        <family val="1"/>
        <charset val="129"/>
      </rPr>
      <t>(</t>
    </r>
    <r>
      <rPr>
        <b/>
        <sz val="10.5"/>
        <color rgb="FF000000"/>
        <rFont val="돋움"/>
        <family val="3"/>
        <charset val="129"/>
      </rPr>
      <t>㎥</t>
    </r>
    <r>
      <rPr>
        <b/>
        <sz val="10.5"/>
        <color rgb="FF000000"/>
        <rFont val="HY신명조"/>
        <family val="1"/>
        <charset val="129"/>
      </rPr>
      <t>/</t>
    </r>
    <r>
      <rPr>
        <b/>
        <sz val="10.5"/>
        <color rgb="FF000000"/>
        <rFont val="돋움"/>
        <family val="3"/>
        <charset val="129"/>
      </rPr>
      <t>일</t>
    </r>
    <r>
      <rPr>
        <b/>
        <sz val="10.5"/>
        <color rgb="FF000000"/>
        <rFont val="HY신명조"/>
        <family val="1"/>
        <charset val="129"/>
      </rPr>
      <t>)</t>
    </r>
    <phoneticPr fontId="7" type="noConversion"/>
  </si>
  <si>
    <t>2013년
월사용량
(㎥)</t>
    <phoneticPr fontId="7" type="noConversion"/>
  </si>
  <si>
    <t>진천</t>
    <phoneticPr fontId="7" type="noConversion"/>
  </si>
  <si>
    <t>덕산</t>
    <phoneticPr fontId="7" type="noConversion"/>
  </si>
  <si>
    <t>이월</t>
    <phoneticPr fontId="7" type="noConversion"/>
  </si>
  <si>
    <t>광혜원</t>
    <phoneticPr fontId="7" type="noConversion"/>
  </si>
  <si>
    <t>월평균</t>
  </si>
  <si>
    <t>1월</t>
  </si>
  <si>
    <t xml:space="preserve"> 자료) 2014년 중계펌프장 운영자료(이월전기전자농공단지 관리사무소)</t>
    <phoneticPr fontId="35" type="noConversion"/>
  </si>
  <si>
    <t xml:space="preserve">지하수
유입량
원단위
</t>
    <phoneticPr fontId="7" type="noConversion"/>
  </si>
  <si>
    <t xml:space="preserve"> 자료) 진천 종합스포츠타운 군관리계획 변경(안)</t>
    <phoneticPr fontId="35" type="noConversion"/>
  </si>
  <si>
    <t xml:space="preserve"> 자료) 광혜원고등학교 이전사업 오수량산정</t>
    <phoneticPr fontId="35" type="noConversion"/>
  </si>
  <si>
    <t xml:space="preserve"> 자료) 신한은행 연수원 수질오염 총량제 승인 및 이행사항(2014.06.09)</t>
    <phoneticPr fontId="35" type="noConversion"/>
  </si>
  <si>
    <t>연수원</t>
    <phoneticPr fontId="35" type="noConversion"/>
  </si>
  <si>
    <t>식당</t>
    <phoneticPr fontId="7" type="noConversion"/>
  </si>
  <si>
    <t>9채</t>
    <phoneticPr fontId="7" type="noConversion"/>
  </si>
  <si>
    <t>연수원</t>
    <phoneticPr fontId="7" type="noConversion"/>
  </si>
  <si>
    <t>2층</t>
    <phoneticPr fontId="7" type="noConversion"/>
  </si>
  <si>
    <t>식당동</t>
    <phoneticPr fontId="7" type="noConversion"/>
  </si>
  <si>
    <t>식당동</t>
    <phoneticPr fontId="35" type="noConversion"/>
  </si>
  <si>
    <t>한국SGI
진천연수원</t>
    <phoneticPr fontId="7" type="noConversion"/>
  </si>
  <si>
    <t>금오마을</t>
    <phoneticPr fontId="7" type="noConversion"/>
  </si>
  <si>
    <t>연수원</t>
    <phoneticPr fontId="7" type="noConversion"/>
  </si>
  <si>
    <t>금오마을식당</t>
    <phoneticPr fontId="7" type="noConversion"/>
  </si>
  <si>
    <t>금오소규모</t>
    <phoneticPr fontId="7" type="noConversion"/>
  </si>
  <si>
    <t>연면적
(㎡)</t>
    <phoneticPr fontId="7" type="noConversion"/>
  </si>
  <si>
    <t>13.수련원</t>
    <phoneticPr fontId="7" type="noConversion"/>
  </si>
  <si>
    <t>5.해행당</t>
    <phoneticPr fontId="7" type="noConversion"/>
  </si>
  <si>
    <t>9.영산전</t>
    <phoneticPr fontId="7" type="noConversion"/>
  </si>
  <si>
    <t>10.미소실</t>
    <phoneticPr fontId="7" type="noConversion"/>
  </si>
  <si>
    <t>16화장실</t>
    <phoneticPr fontId="7" type="noConversion"/>
  </si>
  <si>
    <t>사찰, 사당</t>
    <phoneticPr fontId="7" type="noConversion"/>
  </si>
  <si>
    <t>공중화장실</t>
    <phoneticPr fontId="7" type="noConversion"/>
  </si>
  <si>
    <t>체력단련장</t>
    <phoneticPr fontId="7" type="noConversion"/>
  </si>
  <si>
    <t>목욕장</t>
    <phoneticPr fontId="7" type="noConversion"/>
  </si>
  <si>
    <t>매점</t>
    <phoneticPr fontId="7" type="noConversion"/>
  </si>
  <si>
    <t>1단계
(기존시설)</t>
    <phoneticPr fontId="7" type="noConversion"/>
  </si>
  <si>
    <t>기존시설</t>
    <phoneticPr fontId="7" type="noConversion"/>
  </si>
  <si>
    <t>2단계
(증축시설)</t>
    <phoneticPr fontId="35" type="noConversion"/>
  </si>
  <si>
    <t>1공구</t>
    <phoneticPr fontId="35" type="noConversion"/>
  </si>
  <si>
    <t>2공구</t>
    <phoneticPr fontId="35" type="noConversion"/>
  </si>
  <si>
    <t>1일 오수 
발생량 원단위(ℓ/㎡)</t>
    <phoneticPr fontId="7" type="noConversion"/>
  </si>
  <si>
    <t>1) 관련 계획상의 일평균 급수량 원단위</t>
    <phoneticPr fontId="7" type="noConversion"/>
  </si>
  <si>
    <t xml:space="preserve"> 자료) 국가태표 종합훈련원 건립공사 </t>
    <phoneticPr fontId="7" type="noConversion"/>
  </si>
  <si>
    <r>
      <t xml:space="preserve">    3) </t>
    </r>
    <r>
      <rPr>
        <b/>
        <sz val="8"/>
        <rFont val="돋움"/>
        <family val="3"/>
        <charset val="129"/>
      </rPr>
      <t>레드하우스 오수량</t>
    </r>
    <r>
      <rPr>
        <sz val="8"/>
        <rFont val="돋움"/>
        <family val="3"/>
        <charset val="129"/>
      </rPr>
      <t xml:space="preserve"> = 연면적 979.92m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* 건축물용도별 오수발생량 20L/m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= </t>
    </r>
    <r>
      <rPr>
        <b/>
        <sz val="8"/>
        <rFont val="돋움"/>
        <family val="3"/>
        <charset val="129"/>
      </rPr>
      <t>20㎥/일 적용</t>
    </r>
    <phoneticPr fontId="7" type="noConversion"/>
  </si>
  <si>
    <r>
      <t xml:space="preserve">    4) </t>
    </r>
    <r>
      <rPr>
        <b/>
        <sz val="8"/>
        <rFont val="돋움"/>
        <family val="3"/>
        <charset val="129"/>
      </rPr>
      <t>배티성지 오수량</t>
    </r>
    <r>
      <rPr>
        <sz val="8"/>
        <rFont val="돋움"/>
        <family val="3"/>
        <charset val="129"/>
      </rPr>
      <t xml:space="preserve"> = (종교시설) 연면적 2700m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* 건축물용도별 오수발생량 12L/m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/>
    </r>
    <phoneticPr fontId="7" type="noConversion"/>
  </si>
  <si>
    <r>
      <t xml:space="preserve">                                + (박 물 관) 연면적 1354m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* 건축물용도별 오수발생량 16L/m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= </t>
    </r>
    <r>
      <rPr>
        <b/>
        <sz val="8"/>
        <rFont val="돋움"/>
        <family val="3"/>
        <charset val="129"/>
      </rPr>
      <t>54㎥/일 적용</t>
    </r>
    <phoneticPr fontId="7" type="noConversion"/>
  </si>
  <si>
    <r>
      <t xml:space="preserve">    5) </t>
    </r>
    <r>
      <rPr>
        <b/>
        <sz val="8"/>
        <rFont val="돋움"/>
        <family val="3"/>
        <charset val="129"/>
      </rPr>
      <t>학성초 오수량</t>
    </r>
    <r>
      <rPr>
        <sz val="8"/>
        <rFont val="돋움"/>
        <family val="3"/>
        <charset val="129"/>
      </rPr>
      <t xml:space="preserve"> =  7월평균 상수사용량 3.50㎥/일 * 오수전환율(0.9) * 변동부하율(1.25) = </t>
    </r>
    <r>
      <rPr>
        <b/>
        <sz val="8"/>
        <rFont val="돋움"/>
        <family val="3"/>
        <charset val="129"/>
      </rPr>
      <t>4㎥/일 적용</t>
    </r>
    <phoneticPr fontId="7" type="noConversion"/>
  </si>
  <si>
    <t>레드하우스</t>
    <phoneticPr fontId="7" type="noConversion"/>
  </si>
  <si>
    <t>모텔</t>
    <phoneticPr fontId="7" type="noConversion"/>
  </si>
  <si>
    <t>숙박</t>
    <phoneticPr fontId="7" type="noConversion"/>
  </si>
  <si>
    <t>1월</t>
    <phoneticPr fontId="7" type="noConversion"/>
  </si>
  <si>
    <t>월사용량</t>
    <phoneticPr fontId="7" type="noConversion"/>
  </si>
  <si>
    <t>일사용량</t>
    <phoneticPr fontId="7" type="noConversion"/>
  </si>
  <si>
    <t>월별일수</t>
    <phoneticPr fontId="7" type="noConversion"/>
  </si>
  <si>
    <t>학성초</t>
    <phoneticPr fontId="7" type="noConversion"/>
  </si>
  <si>
    <t>구분</t>
    <phoneticPr fontId="7" type="noConversion"/>
  </si>
  <si>
    <t>사용량(톤)</t>
    <phoneticPr fontId="7" type="noConversion"/>
  </si>
  <si>
    <t>일평균</t>
    <phoneticPr fontId="7" type="noConversion"/>
  </si>
  <si>
    <t>오수전환율</t>
    <phoneticPr fontId="7" type="noConversion"/>
  </si>
  <si>
    <t>일최대오수량(㎥/일)</t>
    <phoneticPr fontId="7" type="noConversion"/>
  </si>
  <si>
    <t>2013년</t>
    <phoneticPr fontId="7" type="noConversion"/>
  </si>
  <si>
    <t>2013년 7월</t>
    <phoneticPr fontId="7" type="noConversion"/>
  </si>
  <si>
    <t>상수사용량</t>
    <phoneticPr fontId="7" type="noConversion"/>
  </si>
  <si>
    <t>일평균오수량(㎥/일)</t>
    <phoneticPr fontId="7" type="noConversion"/>
  </si>
  <si>
    <t>일최대오수량(㎥/일)</t>
    <phoneticPr fontId="7" type="noConversion"/>
  </si>
  <si>
    <t>학성초등학교</t>
    <phoneticPr fontId="7" type="noConversion"/>
  </si>
  <si>
    <t>동성소규모</t>
    <phoneticPr fontId="7" type="noConversion"/>
  </si>
  <si>
    <t>용전소규모</t>
    <phoneticPr fontId="7" type="noConversion"/>
  </si>
  <si>
    <t xml:space="preserve">라. 관련 상위계획 자료에 의한 급수 원단위 검토 </t>
    <phoneticPr fontId="7" type="noConversion"/>
  </si>
  <si>
    <t xml:space="preserve">○ 당초 생활오수량 원단위 </t>
    <phoneticPr fontId="7" type="noConversion"/>
  </si>
  <si>
    <t>다. 소규모 상수 사용량 현황</t>
    <phoneticPr fontId="7" type="noConversion"/>
  </si>
  <si>
    <t>2.3 지하수 사용량</t>
    <phoneticPr fontId="7" type="noConversion"/>
  </si>
  <si>
    <t xml:space="preserve"> 2.3.2 처리구역별 지하수 사용량</t>
    <phoneticPr fontId="7" type="noConversion"/>
  </si>
  <si>
    <t xml:space="preserve"> 2.3.3 지하수 사용량에 의한 오수량 산정</t>
    <phoneticPr fontId="7" type="noConversion"/>
  </si>
  <si>
    <t>2.4 관광오수량 원단위</t>
    <phoneticPr fontId="7" type="noConversion"/>
  </si>
  <si>
    <t>마.운영현황</t>
    <phoneticPr fontId="7" type="noConversion"/>
  </si>
  <si>
    <t>2.6.3 진천 스포츠타운</t>
    <phoneticPr fontId="7" type="noConversion"/>
  </si>
  <si>
    <t>2.6.4 문백전기전자농공단지</t>
    <phoneticPr fontId="7" type="noConversion"/>
  </si>
  <si>
    <t>2.6.5 이월전기전자농공단지</t>
    <phoneticPr fontId="7" type="noConversion"/>
  </si>
  <si>
    <t>2.6.6 이월중학교</t>
    <phoneticPr fontId="7" type="noConversion"/>
  </si>
  <si>
    <t>2.6.7 광혜원 고등학교</t>
    <phoneticPr fontId="7" type="noConversion"/>
  </si>
  <si>
    <t>2.6.8 진천 선수촌</t>
    <phoneticPr fontId="7" type="noConversion"/>
  </si>
  <si>
    <t>2.6.9 신한은행 연수원</t>
    <phoneticPr fontId="7" type="noConversion"/>
  </si>
  <si>
    <t>연면적 및 대상인원
(㎡, 인)</t>
    <phoneticPr fontId="7" type="noConversion"/>
  </si>
  <si>
    <t>2.6.15 학성초(동성)</t>
    <phoneticPr fontId="7" type="noConversion"/>
  </si>
  <si>
    <t>연구소</t>
    <phoneticPr fontId="7" type="noConversion"/>
  </si>
  <si>
    <t>시설</t>
  </si>
  <si>
    <t>518㎡</t>
  </si>
  <si>
    <t>306명</t>
  </si>
  <si>
    <t>256㎡</t>
  </si>
  <si>
    <t>120명</t>
  </si>
  <si>
    <t>200㎡</t>
  </si>
  <si>
    <t>80명</t>
  </si>
  <si>
    <t>159㎡</t>
  </si>
  <si>
    <t>각 60명</t>
  </si>
  <si>
    <t>104㎡</t>
  </si>
  <si>
    <t>각 40명</t>
  </si>
  <si>
    <t>234㎡</t>
  </si>
  <si>
    <t>82명</t>
  </si>
  <si>
    <t>145㎡</t>
  </si>
  <si>
    <t>60명</t>
  </si>
  <si>
    <t>207㎡</t>
  </si>
  <si>
    <t>25명</t>
  </si>
  <si>
    <t>156㎡</t>
  </si>
  <si>
    <t>52㎡</t>
  </si>
  <si>
    <t>각 10~15명</t>
  </si>
  <si>
    <t>169㎡</t>
  </si>
  <si>
    <t>-</t>
  </si>
  <si>
    <t>숙박</t>
  </si>
  <si>
    <t>28㎡</t>
  </si>
  <si>
    <t>총 6명</t>
  </si>
  <si>
    <t>2인 침실</t>
  </si>
  <si>
    <t>총 192명</t>
  </si>
  <si>
    <t>2인 한실</t>
  </si>
  <si>
    <t>총 10명</t>
  </si>
  <si>
    <t>4인 한실(콘도용)</t>
  </si>
  <si>
    <t>47㎡</t>
  </si>
  <si>
    <t>총 92명</t>
  </si>
  <si>
    <t>로비(식당 대기장소 등)</t>
  </si>
  <si>
    <t>425㎡</t>
  </si>
  <si>
    <t>매점</t>
  </si>
  <si>
    <t>74㎡</t>
  </si>
  <si>
    <t>휘트니스.목욕시설</t>
  </si>
  <si>
    <t>187㎡</t>
  </si>
  <si>
    <t>기타시설(휴게실.린넨실.세탁실 등)</t>
  </si>
  <si>
    <t>식당</t>
  </si>
  <si>
    <t>식당 및 주방</t>
  </si>
  <si>
    <t>680㎡</t>
  </si>
  <si>
    <t>200명 내외</t>
  </si>
  <si>
    <t>대강당</t>
    <phoneticPr fontId="7" type="noConversion"/>
  </si>
  <si>
    <t>대강의실</t>
    <phoneticPr fontId="7" type="noConversion"/>
  </si>
  <si>
    <t>중강의실</t>
    <phoneticPr fontId="7" type="noConversion"/>
  </si>
  <si>
    <t>소강의실</t>
    <phoneticPr fontId="7" type="noConversion"/>
  </si>
  <si>
    <t>계단식강의실</t>
    <phoneticPr fontId="7" type="noConversion"/>
  </si>
  <si>
    <t>세미나실</t>
    <phoneticPr fontId="7" type="noConversion"/>
  </si>
  <si>
    <t>롤플레이실</t>
    <phoneticPr fontId="7" type="noConversion"/>
  </si>
  <si>
    <t>분임토의실</t>
    <phoneticPr fontId="7" type="noConversion"/>
  </si>
  <si>
    <t>레크레이션실</t>
    <phoneticPr fontId="7" type="noConversion"/>
  </si>
  <si>
    <t>기타시설</t>
    <phoneticPr fontId="7" type="noConversion"/>
  </si>
  <si>
    <t>1인침실</t>
    <phoneticPr fontId="7" type="noConversion"/>
  </si>
  <si>
    <t>IT교육실</t>
    <phoneticPr fontId="7" type="noConversion"/>
  </si>
  <si>
    <t>근로복지공단 인재개발원 시설개요</t>
    <phoneticPr fontId="7" type="noConversion"/>
  </si>
  <si>
    <t>단위면적</t>
    <phoneticPr fontId="7" type="noConversion"/>
  </si>
  <si>
    <t>개소</t>
    <phoneticPr fontId="7" type="noConversion"/>
  </si>
  <si>
    <t>구분</t>
    <phoneticPr fontId="7" type="noConversion"/>
  </si>
  <si>
    <t>수용인원</t>
    <phoneticPr fontId="7" type="noConversion"/>
  </si>
  <si>
    <t>숙박시설</t>
    <phoneticPr fontId="7" type="noConversion"/>
  </si>
  <si>
    <t>식당시설</t>
    <phoneticPr fontId="7" type="noConversion"/>
  </si>
  <si>
    <t>전체면적</t>
    <phoneticPr fontId="7" type="noConversion"/>
  </si>
  <si>
    <t>계</t>
    <phoneticPr fontId="7" type="noConversion"/>
  </si>
  <si>
    <t>식당시설</t>
    <phoneticPr fontId="7" type="noConversion"/>
  </si>
  <si>
    <t>6) 국가 기상위성센터 = 연면적 6900m2 * 건축물용도별(교육연구-연구소) 오수발생량 8L/m2 = 55㎥/일 적용</t>
    <phoneticPr fontId="7" type="noConversion"/>
  </si>
  <si>
    <t>매점</t>
    <phoneticPr fontId="7" type="noConversion"/>
  </si>
  <si>
    <t>휘트니스,목욕시설</t>
    <phoneticPr fontId="7" type="noConversion"/>
  </si>
  <si>
    <t>휴게실,린넨실,세탁실</t>
    <phoneticPr fontId="7" type="noConversion"/>
  </si>
  <si>
    <t>숙박시설</t>
    <phoneticPr fontId="7" type="noConversion"/>
  </si>
  <si>
    <t>식당 및 주방</t>
    <phoneticPr fontId="7" type="noConversion"/>
  </si>
  <si>
    <t>기숙사</t>
    <phoneticPr fontId="7" type="noConversion"/>
  </si>
  <si>
    <t>부대급식시설</t>
    <phoneticPr fontId="7" type="noConversion"/>
  </si>
  <si>
    <t>소매점</t>
    <phoneticPr fontId="7" type="noConversion"/>
  </si>
  <si>
    <t>세탁소</t>
    <phoneticPr fontId="7" type="noConversion"/>
  </si>
  <si>
    <t>본동</t>
    <phoneticPr fontId="7" type="noConversion"/>
  </si>
  <si>
    <t>2.6.10 국가 기상위성센터</t>
    <phoneticPr fontId="7" type="noConversion"/>
  </si>
  <si>
    <t>2.6.11 근로복지공단 인재개발원</t>
    <phoneticPr fontId="7" type="noConversion"/>
  </si>
  <si>
    <t>2.6.12 생거에코타운</t>
    <phoneticPr fontId="7" type="noConversion"/>
  </si>
  <si>
    <t>2.6.13 금오 영업시설</t>
    <phoneticPr fontId="7" type="noConversion"/>
  </si>
  <si>
    <t>2.6.14 레드하우스(용전)</t>
    <phoneticPr fontId="7" type="noConversion"/>
  </si>
  <si>
    <t>면적</t>
    <phoneticPr fontId="7" type="noConversion"/>
  </si>
  <si>
    <t>원단위</t>
    <phoneticPr fontId="7" type="noConversion"/>
  </si>
  <si>
    <t>강의실및세미나실</t>
    <phoneticPr fontId="7" type="noConversion"/>
  </si>
  <si>
    <t>근로복지공단</t>
    <phoneticPr fontId="7" type="noConversion"/>
  </si>
  <si>
    <t>교육시설</t>
    <phoneticPr fontId="7" type="noConversion"/>
  </si>
  <si>
    <t>근로복지공단</t>
    <phoneticPr fontId="7" type="noConversion"/>
  </si>
  <si>
    <t>강의실 및 세미나실</t>
    <phoneticPr fontId="7" type="noConversion"/>
  </si>
  <si>
    <t>2014년</t>
    <phoneticPr fontId="35" type="noConversion"/>
  </si>
  <si>
    <t>2014년</t>
    <phoneticPr fontId="7" type="noConversion"/>
  </si>
  <si>
    <t>일반용</t>
    <phoneticPr fontId="7" type="noConversion"/>
  </si>
  <si>
    <t>욕탕용</t>
    <phoneticPr fontId="7" type="noConversion"/>
  </si>
  <si>
    <t>일반공업용</t>
    <phoneticPr fontId="7" type="noConversion"/>
  </si>
  <si>
    <t>기타</t>
    <phoneticPr fontId="7" type="noConversion"/>
  </si>
  <si>
    <r>
      <t>급수사용량2</t>
    </r>
    <r>
      <rPr>
        <vertAlign val="superscript"/>
        <sz val="10"/>
        <color indexed="8"/>
        <rFont val="맑은 고딕"/>
        <family val="3"/>
        <charset val="129"/>
        <scheme val="minor"/>
      </rPr>
      <t>)</t>
    </r>
    <r>
      <rPr>
        <sz val="10"/>
        <color indexed="8"/>
        <rFont val="맑은 고딕"/>
        <family val="3"/>
        <charset val="129"/>
        <scheme val="minor"/>
      </rPr>
      <t xml:space="preserve">
(㎥/일)</t>
    </r>
    <phoneticPr fontId="7" type="noConversion"/>
  </si>
  <si>
    <r>
      <t>201</t>
    </r>
    <r>
      <rPr>
        <sz val="10"/>
        <color indexed="8"/>
        <rFont val="맑은 고딕"/>
        <family val="3"/>
        <charset val="129"/>
      </rPr>
      <t>4</t>
    </r>
    <r>
      <rPr>
        <sz val="10"/>
        <color indexed="8"/>
        <rFont val="맑은 고딕"/>
        <family val="3"/>
        <charset val="129"/>
      </rPr>
      <t>년</t>
    </r>
    <phoneticPr fontId="65" type="noConversion"/>
  </si>
  <si>
    <r>
      <t>○ 201</t>
    </r>
    <r>
      <rPr>
        <sz val="10"/>
        <color indexed="8"/>
        <rFont val="맑은 고딕"/>
        <family val="3"/>
        <charset val="129"/>
      </rPr>
      <t>4</t>
    </r>
    <r>
      <rPr>
        <sz val="10"/>
        <color indexed="8"/>
        <rFont val="맑은 고딕"/>
        <family val="3"/>
        <charset val="129"/>
      </rPr>
      <t>년 이후 양식 변경</t>
    </r>
    <phoneticPr fontId="65" type="noConversion"/>
  </si>
  <si>
    <t>2014년</t>
  </si>
  <si>
    <t>2014년</t>
    <phoneticPr fontId="7" type="noConversion"/>
  </si>
  <si>
    <t>2014년
(현재)</t>
    <phoneticPr fontId="7" type="noConversion"/>
  </si>
  <si>
    <t>2014년</t>
    <phoneticPr fontId="133" type="noConversion"/>
  </si>
  <si>
    <t>2014년</t>
    <phoneticPr fontId="7" type="noConversion"/>
  </si>
  <si>
    <t>2014년
(현재)</t>
    <phoneticPr fontId="7" type="noConversion"/>
  </si>
  <si>
    <t>제외</t>
    <phoneticPr fontId="7" type="noConversion"/>
  </si>
  <si>
    <t>제외</t>
    <phoneticPr fontId="7" type="noConversion"/>
  </si>
  <si>
    <t>마을명</t>
  </si>
  <si>
    <t>분기</t>
  </si>
  <si>
    <t>방문객(명)</t>
  </si>
  <si>
    <t>- 최대일 관광객수 = 연간 총 관광객수 * 최대일률</t>
    <phoneticPr fontId="7" type="noConversion"/>
  </si>
  <si>
    <t>보련마을</t>
  </si>
  <si>
    <t>2013년 1/4분기</t>
  </si>
  <si>
    <t>- 최대일률 : 연간 관광객수에 대한 최대일 관광객의 비</t>
    <phoneticPr fontId="7" type="noConversion"/>
  </si>
  <si>
    <t>2013년 2/4분기</t>
  </si>
  <si>
    <t>구분</t>
    <phoneticPr fontId="7" type="noConversion"/>
  </si>
  <si>
    <t>1계절형</t>
    <phoneticPr fontId="7" type="noConversion"/>
  </si>
  <si>
    <t>2계절형</t>
  </si>
  <si>
    <t>3계절형</t>
  </si>
  <si>
    <t>4계절형</t>
  </si>
  <si>
    <t>비고</t>
    <phoneticPr fontId="7" type="noConversion"/>
  </si>
  <si>
    <t>2013년 3/4분기</t>
  </si>
  <si>
    <t>전국</t>
    <phoneticPr fontId="7" type="noConversion"/>
  </si>
  <si>
    <t>1/8</t>
    <phoneticPr fontId="7" type="noConversion"/>
  </si>
  <si>
    <t>1/15</t>
    <phoneticPr fontId="7" type="noConversion"/>
  </si>
  <si>
    <t>1/30</t>
    <phoneticPr fontId="7" type="noConversion"/>
  </si>
  <si>
    <t>1/50</t>
    <phoneticPr fontId="7" type="noConversion"/>
  </si>
  <si>
    <t>문화관광부</t>
    <phoneticPr fontId="7" type="noConversion"/>
  </si>
  <si>
    <t>2013년 4/4분기</t>
  </si>
  <si>
    <t>- 보련마을은 2계절형 1/50 적용</t>
    <phoneticPr fontId="7" type="noConversion"/>
  </si>
  <si>
    <t>합계</t>
    <phoneticPr fontId="7" type="noConversion"/>
  </si>
  <si>
    <t>연곡, 진암 관광인구</t>
    <phoneticPr fontId="7" type="noConversion"/>
  </si>
  <si>
    <t>관광인구</t>
    <phoneticPr fontId="7" type="noConversion"/>
  </si>
  <si>
    <t>숙박객</t>
    <phoneticPr fontId="35" type="noConversion"/>
  </si>
  <si>
    <t>일귀객</t>
    <phoneticPr fontId="7" type="noConversion"/>
  </si>
  <si>
    <t>연곡</t>
    <phoneticPr fontId="35" type="noConversion"/>
  </si>
  <si>
    <t>화랑숙펜션</t>
    <phoneticPr fontId="35" type="noConversion"/>
  </si>
  <si>
    <t>6인실, 12인실*2, 4인실</t>
    <phoneticPr fontId="35" type="noConversion"/>
  </si>
  <si>
    <t>해바라기민박</t>
    <phoneticPr fontId="35" type="noConversion"/>
  </si>
  <si>
    <t>6인실*2</t>
    <phoneticPr fontId="35" type="noConversion"/>
  </si>
  <si>
    <t>보련마을</t>
    <phoneticPr fontId="7" type="noConversion"/>
  </si>
  <si>
    <t>소계</t>
    <phoneticPr fontId="35" type="noConversion"/>
  </si>
  <si>
    <t>진암</t>
    <phoneticPr fontId="35" type="noConversion"/>
  </si>
  <si>
    <t>레드하우스</t>
    <phoneticPr fontId="35" type="noConversion"/>
  </si>
  <si>
    <t>2인실*24</t>
    <phoneticPr fontId="35" type="noConversion"/>
  </si>
  <si>
    <t>학성초 상수사용량</t>
    <phoneticPr fontId="7" type="noConversion"/>
  </si>
  <si>
    <t>사용량(톤)</t>
    <phoneticPr fontId="7" type="noConversion"/>
  </si>
  <si>
    <t>일평균</t>
    <phoneticPr fontId="7" type="noConversion"/>
  </si>
  <si>
    <t>오수전환율</t>
    <phoneticPr fontId="7" type="noConversion"/>
  </si>
  <si>
    <t>일최대오수량(㎥/일)</t>
    <phoneticPr fontId="7" type="noConversion"/>
  </si>
  <si>
    <t>2013년</t>
    <phoneticPr fontId="7" type="noConversion"/>
  </si>
  <si>
    <t>2013년 7월</t>
    <phoneticPr fontId="7" type="noConversion"/>
  </si>
  <si>
    <t>1월</t>
    <phoneticPr fontId="7" type="noConversion"/>
  </si>
  <si>
    <t>월사용량</t>
    <phoneticPr fontId="7" type="noConversion"/>
  </si>
  <si>
    <t>일사용량</t>
    <phoneticPr fontId="7" type="noConversion"/>
  </si>
  <si>
    <t>주 1) 지하수 포함, 일최대 원단위임</t>
    <phoneticPr fontId="7" type="noConversion"/>
  </si>
  <si>
    <r>
      <t xml:space="preserve">    2) </t>
    </r>
    <r>
      <rPr>
        <b/>
        <sz val="8"/>
        <rFont val="돋움"/>
        <family val="3"/>
        <charset val="129"/>
      </rPr>
      <t>보련마을 오수량</t>
    </r>
    <r>
      <rPr>
        <sz val="8"/>
        <rFont val="돋움"/>
        <family val="3"/>
        <charset val="129"/>
      </rPr>
      <t xml:space="preserve"> = 숙박객 46인 * 100L/인.일(일최대원단위의 50%) + 일귀객 163인*30L/인.일(일최대원단위의 15%)
                                 =</t>
    </r>
    <r>
      <rPr>
        <b/>
        <sz val="8"/>
        <rFont val="돋움"/>
        <family val="3"/>
        <charset val="129"/>
      </rPr>
      <t xml:space="preserve"> 10㎥/일 적용</t>
    </r>
    <phoneticPr fontId="7" type="noConversion"/>
  </si>
  <si>
    <r>
      <t xml:space="preserve">     - 최대일 관광객수 = 연간 총 관광객수 * 최대일률 = </t>
    </r>
    <r>
      <rPr>
        <b/>
        <sz val="8"/>
        <rFont val="돋움"/>
        <family val="3"/>
        <charset val="129"/>
      </rPr>
      <t>10,436인(2013년) * 1/50 = 209인</t>
    </r>
    <phoneticPr fontId="7" type="noConversion"/>
  </si>
  <si>
    <r>
      <t xml:space="preserve">     - 최대일률 : 연간 관광객수에 대한 최대일 관광객의 비 → 보련마을은 </t>
    </r>
    <r>
      <rPr>
        <b/>
        <sz val="8"/>
        <rFont val="돋움"/>
        <family val="3"/>
        <charset val="129"/>
      </rPr>
      <t>4계절형 적용</t>
    </r>
    <phoneticPr fontId="7" type="noConversion"/>
  </si>
  <si>
    <r>
      <t xml:space="preserve">     - 숙박객 : </t>
    </r>
    <r>
      <rPr>
        <b/>
        <sz val="8"/>
        <rFont val="돋움"/>
        <family val="3"/>
        <charset val="129"/>
      </rPr>
      <t>46인</t>
    </r>
    <r>
      <rPr>
        <sz val="8"/>
        <rFont val="돋움"/>
        <family val="3"/>
        <charset val="129"/>
      </rPr>
      <t xml:space="preserve">(숙박시설 수용능력), 일귀객 : </t>
    </r>
    <r>
      <rPr>
        <b/>
        <sz val="8"/>
        <rFont val="돋움"/>
        <family val="3"/>
        <charset val="129"/>
      </rPr>
      <t>163인</t>
    </r>
    <r>
      <rPr>
        <sz val="8"/>
        <rFont val="돋움"/>
        <family val="3"/>
        <charset val="129"/>
      </rPr>
      <t>(최대일관광객수 - 숙박객수)</t>
    </r>
    <phoneticPr fontId="7" type="noConversion"/>
  </si>
  <si>
    <r>
      <t xml:space="preserve">    3) </t>
    </r>
    <r>
      <rPr>
        <b/>
        <sz val="8"/>
        <rFont val="돋움"/>
        <family val="3"/>
        <charset val="129"/>
      </rPr>
      <t>레드하우스 오수량</t>
    </r>
    <r>
      <rPr>
        <sz val="8"/>
        <rFont val="돋움"/>
        <family val="3"/>
        <charset val="129"/>
      </rPr>
      <t xml:space="preserve"> = 연면적 979.92m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* 건축물용도별 오수발생량 20L/m</t>
    </r>
    <r>
      <rPr>
        <vertAlign val="superscript"/>
        <sz val="8"/>
        <rFont val="돋움"/>
        <family val="3"/>
        <charset val="129"/>
      </rPr>
      <t>2</t>
    </r>
    <r>
      <rPr>
        <sz val="8"/>
        <rFont val="돋움"/>
        <family val="3"/>
        <charset val="129"/>
      </rPr>
      <t xml:space="preserve"> = </t>
    </r>
    <r>
      <rPr>
        <b/>
        <sz val="8"/>
        <rFont val="돋움"/>
        <family val="3"/>
        <charset val="129"/>
      </rPr>
      <t>20㎥/일 적용</t>
    </r>
    <phoneticPr fontId="7" type="noConversion"/>
  </si>
  <si>
    <r>
      <t xml:space="preserve">    4) </t>
    </r>
    <r>
      <rPr>
        <b/>
        <sz val="8"/>
        <rFont val="돋움"/>
        <family val="3"/>
        <charset val="129"/>
      </rPr>
      <t>학성초 오수량</t>
    </r>
    <r>
      <rPr>
        <sz val="8"/>
        <rFont val="돋움"/>
        <family val="3"/>
        <charset val="129"/>
      </rPr>
      <t xml:space="preserve"> =  7월평균 상수사용량 3.50㎥/일 * 오수전환율(0.9) * 변동부하율(1.25) = </t>
    </r>
    <r>
      <rPr>
        <b/>
        <sz val="8"/>
        <rFont val="돋움"/>
        <family val="3"/>
        <charset val="129"/>
      </rPr>
      <t>4㎥/일 적용</t>
    </r>
    <phoneticPr fontId="7" type="noConversion"/>
  </si>
  <si>
    <t>2015년</t>
    <phoneticPr fontId="35" type="noConversion"/>
  </si>
  <si>
    <t xml:space="preserve">  가. 음성군 급수현황</t>
    <phoneticPr fontId="35" type="noConversion"/>
  </si>
  <si>
    <t>음성군</t>
    <phoneticPr fontId="7" type="noConversion"/>
  </si>
  <si>
    <t>2005년</t>
    <phoneticPr fontId="7" type="noConversion"/>
  </si>
  <si>
    <t>음성읍</t>
    <phoneticPr fontId="7" type="noConversion"/>
  </si>
  <si>
    <t>금왕읍</t>
    <phoneticPr fontId="7" type="noConversion"/>
  </si>
  <si>
    <t>소이면</t>
    <phoneticPr fontId="7" type="noConversion"/>
  </si>
  <si>
    <t>원남면</t>
    <phoneticPr fontId="7" type="noConversion"/>
  </si>
  <si>
    <t>맹동면</t>
    <phoneticPr fontId="7" type="noConversion"/>
  </si>
  <si>
    <t>대소면</t>
    <phoneticPr fontId="7" type="noConversion"/>
  </si>
  <si>
    <t>삼성면</t>
    <phoneticPr fontId="7" type="noConversion"/>
  </si>
  <si>
    <t>생극면</t>
    <phoneticPr fontId="7" type="noConversion"/>
  </si>
  <si>
    <t>감곡면</t>
    <phoneticPr fontId="7" type="noConversion"/>
  </si>
  <si>
    <t>금왕읍</t>
    <phoneticPr fontId="7" type="noConversion"/>
  </si>
  <si>
    <t>소이면</t>
    <phoneticPr fontId="7" type="noConversion"/>
  </si>
  <si>
    <t>■ 음성군 총괄수량수지분석(2012년이후 자료는 2011년 이전양식에 적합하도록 변경)</t>
    <phoneticPr fontId="65" type="noConversion"/>
  </si>
  <si>
    <t>○ 음성군 총괄수량수지분석(원본)</t>
    <phoneticPr fontId="65" type="noConversion"/>
  </si>
  <si>
    <t>2015년</t>
    <phoneticPr fontId="65" type="noConversion"/>
  </si>
  <si>
    <r>
      <t>200</t>
    </r>
    <r>
      <rPr>
        <sz val="10"/>
        <color indexed="8"/>
        <rFont val="맑은 고딕"/>
        <family val="3"/>
        <charset val="129"/>
      </rPr>
      <t>7</t>
    </r>
    <r>
      <rPr>
        <sz val="10"/>
        <color indexed="8"/>
        <rFont val="맑은 고딕"/>
        <family val="3"/>
        <charset val="129"/>
      </rPr>
      <t>년</t>
    </r>
    <phoneticPr fontId="65" type="noConversion"/>
  </si>
  <si>
    <t>음성읍</t>
    <phoneticPr fontId="7" type="noConversion"/>
  </si>
  <si>
    <t>금왕읍</t>
    <phoneticPr fontId="7" type="noConversion"/>
  </si>
  <si>
    <t>소이면</t>
    <phoneticPr fontId="7" type="noConversion"/>
  </si>
  <si>
    <t>원남면</t>
    <phoneticPr fontId="7" type="noConversion"/>
  </si>
  <si>
    <t>맹동면</t>
    <phoneticPr fontId="7" type="noConversion"/>
  </si>
  <si>
    <t>대소면</t>
    <phoneticPr fontId="7" type="noConversion"/>
  </si>
  <si>
    <t>삼성면</t>
    <phoneticPr fontId="7" type="noConversion"/>
  </si>
  <si>
    <t>감곡면</t>
    <phoneticPr fontId="7" type="noConversion"/>
  </si>
  <si>
    <t>생극면</t>
    <phoneticPr fontId="7" type="noConversion"/>
  </si>
  <si>
    <t>미호천</t>
    <phoneticPr fontId="7" type="noConversion"/>
  </si>
  <si>
    <t>대소면,감곡면</t>
    <phoneticPr fontId="7" type="noConversion"/>
  </si>
  <si>
    <t>음성군 수도정비기본계획
(2008)</t>
    <phoneticPr fontId="7" type="noConversion"/>
  </si>
  <si>
    <t>2030년 음성군기본계획
(2016)</t>
    <phoneticPr fontId="7" type="noConversion"/>
  </si>
  <si>
    <t xml:space="preserve"> 2.4 대소면 수학적방법에 의한 급수원단위추정</t>
    <phoneticPr fontId="7" type="noConversion"/>
  </si>
  <si>
    <t xml:space="preserve"> 2.4 금왕읍 수학적방법에 의한 급수원단위추정</t>
    <phoneticPr fontId="7" type="noConversion"/>
  </si>
  <si>
    <t xml:space="preserve"> 2.4 음성읍 수학적방법에 의한 급수원단위추정</t>
    <phoneticPr fontId="7" type="noConversion"/>
  </si>
  <si>
    <t>대소면</t>
    <phoneticPr fontId="7" type="noConversion"/>
  </si>
  <si>
    <t>삼성면</t>
    <phoneticPr fontId="7" type="noConversion"/>
  </si>
  <si>
    <t>ㆍ급수량 원단위는 2005, 2006년 자료가 없어 8년으로 분석</t>
    <phoneticPr fontId="7" type="noConversion"/>
  </si>
  <si>
    <t xml:space="preserve">  가) 음성 처리구역</t>
    <phoneticPr fontId="7" type="noConversion"/>
  </si>
  <si>
    <r>
      <t>200</t>
    </r>
    <r>
      <rPr>
        <sz val="10"/>
        <color indexed="8"/>
        <rFont val="맑은 고딕"/>
        <family val="3"/>
        <charset val="129"/>
      </rPr>
      <t>7</t>
    </r>
    <r>
      <rPr>
        <sz val="10"/>
        <color indexed="8"/>
        <rFont val="맑은 고딕"/>
        <family val="3"/>
        <charset val="129"/>
      </rPr>
      <t>년</t>
    </r>
    <phoneticPr fontId="65" type="noConversion"/>
  </si>
  <si>
    <t>연 별 및
읍 면 별</t>
    <phoneticPr fontId="7" type="noConversion"/>
  </si>
  <si>
    <t>총인구(명)</t>
    <phoneticPr fontId="7" type="noConversion"/>
  </si>
  <si>
    <t>검침량 (㎥/일)</t>
    <phoneticPr fontId="7" type="noConversion"/>
  </si>
  <si>
    <t>계</t>
    <phoneticPr fontId="133" type="noConversion"/>
  </si>
  <si>
    <t>상수</t>
    <phoneticPr fontId="133" type="noConversion"/>
  </si>
  <si>
    <t>지하수</t>
    <phoneticPr fontId="133" type="noConversion"/>
  </si>
  <si>
    <t>2016년</t>
    <phoneticPr fontId="133" type="noConversion"/>
  </si>
  <si>
    <t>2016년</t>
    <phoneticPr fontId="133" type="noConversion"/>
  </si>
  <si>
    <t xml:space="preserve"> 2) 물사용량 원단위 추정</t>
    <phoneticPr fontId="133" type="noConversion"/>
  </si>
  <si>
    <t>6년 기준</t>
    <phoneticPr fontId="133" type="noConversion"/>
  </si>
  <si>
    <t xml:space="preserve">  나)  금왕 처리구역</t>
    <phoneticPr fontId="7" type="noConversion"/>
  </si>
  <si>
    <t xml:space="preserve">  다)  대소 처리구역</t>
    <phoneticPr fontId="7" type="noConversion"/>
  </si>
  <si>
    <t>PEGGY함수</t>
    <phoneticPr fontId="7" type="noConversion"/>
  </si>
  <si>
    <t xml:space="preserve">  라) 삼성 처리구역</t>
    <phoneticPr fontId="7" type="noConversion"/>
  </si>
  <si>
    <t>상수도사용량 원단위(ℓ/인·일)</t>
    <phoneticPr fontId="7" type="noConversion"/>
  </si>
  <si>
    <t>2014년</t>
    <phoneticPr fontId="7" type="noConversion"/>
  </si>
  <si>
    <t>2016년</t>
    <phoneticPr fontId="133" type="noConversion"/>
  </si>
  <si>
    <t>2035년</t>
    <phoneticPr fontId="7" type="noConversion"/>
  </si>
  <si>
    <t>6년 기준</t>
    <phoneticPr fontId="133" type="noConversion"/>
  </si>
  <si>
    <t xml:space="preserve">  마)  생극 처리구역</t>
    <phoneticPr fontId="7" type="noConversion"/>
  </si>
  <si>
    <t>상수도사용량 원단위(ℓ/인·일)</t>
    <phoneticPr fontId="7" type="noConversion"/>
  </si>
  <si>
    <t xml:space="preserve"> </t>
    <phoneticPr fontId="7" type="noConversion"/>
  </si>
  <si>
    <t>2014년</t>
    <phoneticPr fontId="7" type="noConversion"/>
  </si>
  <si>
    <t>2035년</t>
    <phoneticPr fontId="7" type="noConversion"/>
  </si>
  <si>
    <t>6년 기준</t>
    <phoneticPr fontId="133" type="noConversion"/>
  </si>
  <si>
    <t xml:space="preserve">  바)  감곡 처리구역</t>
    <phoneticPr fontId="7" type="noConversion"/>
  </si>
  <si>
    <t xml:space="preserve"> 2.4 음성읍 수학적방법에 의한 급수원단위추정</t>
    <phoneticPr fontId="7" type="noConversion"/>
  </si>
  <si>
    <t>계획년도</t>
    <phoneticPr fontId="7" type="noConversion"/>
  </si>
  <si>
    <t>PROJECT NAME:</t>
    <phoneticPr fontId="7" type="noConversion"/>
  </si>
  <si>
    <t>인구현황</t>
    <phoneticPr fontId="7" type="noConversion"/>
  </si>
  <si>
    <t>년도</t>
    <phoneticPr fontId="7" type="noConversion"/>
  </si>
  <si>
    <t>원단위</t>
    <phoneticPr fontId="7" type="noConversion"/>
  </si>
  <si>
    <t>증가수</t>
    <phoneticPr fontId="7" type="noConversion"/>
  </si>
  <si>
    <t>증가율(%)</t>
    <phoneticPr fontId="7" type="noConversion"/>
  </si>
  <si>
    <t>비고</t>
    <phoneticPr fontId="7" type="noConversion"/>
  </si>
  <si>
    <t>포화인구</t>
    <phoneticPr fontId="7" type="noConversion"/>
  </si>
  <si>
    <t>TOTAL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</si>
  <si>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</si>
  <si>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</si>
  <si>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</si>
  <si>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</si>
  <si>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</si>
  <si>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</si>
  <si>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</si>
  <si>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</si>
  <si>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</si>
  <si>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</si>
  <si>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</si>
  <si>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</si>
  <si>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</si>
  <si>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</si>
  <si>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</si>
  <si>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</si>
  <si>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</si>
  <si>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</si>
  <si>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</si>
  <si>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</si>
  <si>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</si>
  <si>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Yo = </t>
    <phoneticPr fontId="7" type="noConversion"/>
  </si>
  <si>
    <t xml:space="preserve">r = </t>
    <phoneticPr fontId="7" type="noConversion"/>
  </si>
  <si>
    <t>N =</t>
    <phoneticPr fontId="7" type="noConversion"/>
  </si>
  <si>
    <t>년수</t>
    <phoneticPr fontId="7" type="noConversion"/>
  </si>
  <si>
    <t xml:space="preserve">  다. 최소자승법에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</si>
  <si>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</si>
  <si>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</si>
  <si>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</si>
  <si>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</si>
  <si>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</si>
  <si>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</si>
  <si>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</si>
  <si>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</si>
  <si>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</si>
  <si>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</si>
  <si>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</si>
  <si>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</si>
  <si>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비고</t>
    <phoneticPr fontId="7" type="noConversion"/>
  </si>
  <si>
    <t>TOTAL</t>
    <phoneticPr fontId="7" type="noConversion"/>
  </si>
  <si>
    <t>Y = Yo + Ax ^ a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</si>
  <si>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</si>
  <si>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</si>
  <si>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</si>
  <si>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>장래 추정인구</t>
    <phoneticPr fontId="7" type="noConversion"/>
  </si>
  <si>
    <t xml:space="preserve">  마. 로지스틱 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</si>
  <si>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</si>
  <si>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</si>
  <si>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</si>
  <si>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K : 포화인구</t>
    <phoneticPr fontId="7" type="noConversion"/>
  </si>
  <si>
    <t>TOTAL</t>
    <phoneticPr fontId="7" type="noConversion"/>
  </si>
  <si>
    <t>Yt = K / (1 + e^(a-b))</t>
    <phoneticPr fontId="7" type="noConversion"/>
  </si>
  <si>
    <t>e =</t>
    <phoneticPr fontId="7" type="noConversion"/>
  </si>
  <si>
    <t>자연대수의 밑수</t>
    <phoneticPr fontId="7" type="noConversion"/>
  </si>
  <si>
    <t>Y = LOG y - LOG(K-y)</t>
    <phoneticPr fontId="7" type="noConversion"/>
  </si>
  <si>
    <t>a = 1/ log e × (∑X∑XY-∑X²∑Y) / (N∑X²-∑X∑X) =</t>
    <phoneticPr fontId="7" type="noConversion"/>
  </si>
  <si>
    <t>b = (N∑XY-∑X∑Y) / (N∑X²-∑X∑X)</t>
    <phoneticPr fontId="7" type="noConversion"/>
  </si>
  <si>
    <t>= N∑XY / N∑X² = ∑XY / ∑X² = ∑xY / LOGe(∑x²) =</t>
    <phoneticPr fontId="7" type="noConversion"/>
  </si>
  <si>
    <t>장래 추정인구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</si>
  <si>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</si>
  <si>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</si>
  <si>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</si>
  <si>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</si>
  <si>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</si>
  <si>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인구추정 총괄표</t>
    <phoneticPr fontId="7" type="noConversion"/>
  </si>
  <si>
    <t>단위 : 인</t>
    <phoneticPr fontId="7" type="noConversion"/>
  </si>
  <si>
    <t>등차급수</t>
    <phoneticPr fontId="7" type="noConversion"/>
  </si>
  <si>
    <t>등비급수</t>
    <phoneticPr fontId="7" type="noConversion"/>
  </si>
  <si>
    <t>최소자승</t>
    <phoneticPr fontId="7" type="noConversion"/>
  </si>
  <si>
    <t>PEGGY함수</t>
    <phoneticPr fontId="7" type="noConversion"/>
  </si>
  <si>
    <t>LOGISTIC</t>
    <phoneticPr fontId="7" type="noConversion"/>
  </si>
  <si>
    <t>평균</t>
    <phoneticPr fontId="7" type="noConversion"/>
  </si>
  <si>
    <t>비고(계)</t>
    <phoneticPr fontId="7" type="noConversion"/>
  </si>
  <si>
    <t xml:space="preserve"> 2.4 금왕읍 수학적방법에 의한 급수원단위추정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</si>
  <si>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</si>
  <si>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</si>
  <si>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</si>
  <si>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</si>
  <si>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</si>
  <si>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</si>
  <si>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</si>
  <si>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</si>
  <si>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</si>
  <si>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</si>
  <si>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</si>
  <si>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</si>
  <si>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</si>
  <si>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</si>
  <si>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</si>
  <si>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</si>
  <si>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</si>
  <si>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</si>
  <si>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</si>
  <si>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</si>
  <si>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</si>
  <si>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</si>
  <si>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</si>
  <si>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r = </t>
    <phoneticPr fontId="7" type="noConversion"/>
  </si>
  <si>
    <t xml:space="preserve">  다. 최소자승법에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</si>
  <si>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</si>
  <si>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</si>
  <si>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</si>
  <si>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</si>
  <si>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</si>
  <si>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</si>
  <si>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</si>
  <si>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</si>
  <si>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</si>
  <si>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Y = a X + b</t>
    <phoneticPr fontId="7" type="noConversion"/>
  </si>
  <si>
    <t>a = (n∑xy-∑x∑y) / (n∑x2-∑x∑x) =</t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</si>
  <si>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</si>
  <si>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t xml:space="preserve">  라. 지수곡선식에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</si>
  <si>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Ax</t>
    </r>
    <r>
      <rPr>
        <vertAlign val="superscript"/>
        <sz val="8"/>
        <rFont val="맑은 고딕"/>
        <family val="3"/>
        <charset val="129"/>
      </rPr>
      <t>a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</si>
  <si>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: 기준년의 인구</t>
    </r>
    <phoneticPr fontId="7" type="noConversion"/>
  </si>
  <si>
    <t>x : 실적 초년도부터 계획년도까지의 경과년수</t>
    <phoneticPr fontId="7" type="noConversion"/>
  </si>
  <si>
    <t>PEGGY 함수법</t>
    <phoneticPr fontId="7" type="noConversion"/>
  </si>
  <si>
    <t>y-yo</t>
    <phoneticPr fontId="7" type="noConversion"/>
  </si>
  <si>
    <t>Y</t>
    <phoneticPr fontId="7" type="noConversion"/>
  </si>
  <si>
    <t>X*Y</t>
    <phoneticPr fontId="7" type="noConversion"/>
  </si>
  <si>
    <t>x : 기준년으로부터 경과년수</t>
    <phoneticPr fontId="7" type="noConversion"/>
  </si>
  <si>
    <t>LOGISTIC CURVE</t>
    <phoneticPr fontId="7" type="noConversion"/>
  </si>
  <si>
    <t>k-y</t>
    <phoneticPr fontId="7" type="noConversion"/>
  </si>
  <si>
    <t>LOG y</t>
    <phoneticPr fontId="7" type="noConversion"/>
  </si>
  <si>
    <t>LOG(k-y)</t>
    <phoneticPr fontId="7" type="noConversion"/>
  </si>
  <si>
    <t>x*Y</t>
    <phoneticPr fontId="7" type="noConversion"/>
  </si>
  <si>
    <t>Yt = K / (1 + e^(a-b))</t>
    <phoneticPr fontId="7" type="noConversion"/>
  </si>
  <si>
    <t>e =</t>
    <phoneticPr fontId="7" type="noConversion"/>
  </si>
  <si>
    <t>자연대수의 밑수</t>
    <phoneticPr fontId="7" type="noConversion"/>
  </si>
  <si>
    <t>Y = LOG y - LOG(K-y)</t>
    <phoneticPr fontId="7" type="noConversion"/>
  </si>
  <si>
    <t>a = 1/ log e × (∑X∑XY-∑X²∑Y) / (N∑X²-∑X∑X) =</t>
    <phoneticPr fontId="7" type="noConversion"/>
  </si>
  <si>
    <t>b = (N∑XY-∑X∑Y) / (N∑X²-∑X∑X)</t>
    <phoneticPr fontId="7" type="noConversion"/>
  </si>
  <si>
    <t>= N∑XY / N∑X² = ∑XY / ∑X² = ∑xY / LOGe(∑x²) =</t>
    <phoneticPr fontId="7" type="noConversion"/>
  </si>
  <si>
    <t>인구추정 총괄표</t>
    <phoneticPr fontId="7" type="noConversion"/>
  </si>
  <si>
    <t>단위 : 인</t>
    <phoneticPr fontId="7" type="noConversion"/>
  </si>
  <si>
    <t>등차급수</t>
    <phoneticPr fontId="7" type="noConversion"/>
  </si>
  <si>
    <t>등비급수</t>
    <phoneticPr fontId="7" type="noConversion"/>
  </si>
  <si>
    <t>최소자승</t>
    <phoneticPr fontId="7" type="noConversion"/>
  </si>
  <si>
    <t>LOGISTIC</t>
    <phoneticPr fontId="7" type="noConversion"/>
  </si>
  <si>
    <t>평균</t>
    <phoneticPr fontId="7" type="noConversion"/>
  </si>
  <si>
    <t>비고(계)</t>
    <phoneticPr fontId="7" type="noConversion"/>
  </si>
  <si>
    <t xml:space="preserve"> 2.4 소이면 수학적방법에 의한 급수원단위추정</t>
    <phoneticPr fontId="7" type="noConversion"/>
  </si>
  <si>
    <t>포화인구</t>
    <phoneticPr fontId="7" type="noConversion"/>
  </si>
  <si>
    <t>TOTAL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</si>
  <si>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</si>
  <si>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</si>
  <si>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r = </t>
    <phoneticPr fontId="7" type="noConversion"/>
  </si>
  <si>
    <t>N =</t>
    <phoneticPr fontId="7" type="noConversion"/>
  </si>
  <si>
    <t>년수</t>
    <phoneticPr fontId="7" type="noConversion"/>
  </si>
  <si>
    <t xml:space="preserve">  다. 최소자승법에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</si>
  <si>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</si>
  <si>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</si>
  <si>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</si>
  <si>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</si>
  <si>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</si>
  <si>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</si>
  <si>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</si>
  <si>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</si>
  <si>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</si>
  <si>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</si>
  <si>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</si>
  <si>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</si>
  <si>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비고</t>
    <phoneticPr fontId="7" type="noConversion"/>
  </si>
  <si>
    <t>Y = a X + b</t>
    <phoneticPr fontId="7" type="noConversion"/>
  </si>
  <si>
    <t>a = (n∑xy-∑x∑y) / (n∑x2-∑x∑x) =</t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</si>
  <si>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</si>
  <si>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t>장래 추정인구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</si>
  <si>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</si>
  <si>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</si>
  <si>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</si>
  <si>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 xml:space="preserve">  라. 지수곡선식에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</si>
  <si>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Ax</t>
    </r>
    <r>
      <rPr>
        <vertAlign val="superscript"/>
        <sz val="8"/>
        <rFont val="맑은 고딕"/>
        <family val="3"/>
        <charset val="129"/>
      </rPr>
      <t>a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</si>
  <si>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</si>
  <si>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: 기준년의 인구</t>
    </r>
    <phoneticPr fontId="7" type="noConversion"/>
  </si>
  <si>
    <t>x : 실적 초년도부터 계획년도까지의 경과년수</t>
    <phoneticPr fontId="7" type="noConversion"/>
  </si>
  <si>
    <t>PEGGY 함수법</t>
    <phoneticPr fontId="7" type="noConversion"/>
  </si>
  <si>
    <t>y-yo</t>
    <phoneticPr fontId="7" type="noConversion"/>
  </si>
  <si>
    <t>Y</t>
    <phoneticPr fontId="7" type="noConversion"/>
  </si>
  <si>
    <t>X*Y</t>
    <phoneticPr fontId="7" type="noConversion"/>
  </si>
  <si>
    <t>Y = Yo + Ax ^ a</t>
    <phoneticPr fontId="7" type="noConversion"/>
  </si>
  <si>
    <t xml:space="preserve">A = 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</si>
  <si>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</si>
  <si>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</si>
  <si>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</si>
  <si>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 xml:space="preserve">  마. 로지스틱 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</si>
  <si>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</si>
  <si>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>K : 포화인구</t>
    <phoneticPr fontId="7" type="noConversion"/>
  </si>
  <si>
    <t xml:space="preserve">  가. 등차급수에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</si>
  <si>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</si>
  <si>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</si>
  <si>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</si>
  <si>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</si>
  <si>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</si>
  <si>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</si>
  <si>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</si>
  <si>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</si>
  <si>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</si>
  <si>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</si>
  <si>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</si>
  <si>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Yo = </t>
    <phoneticPr fontId="7" type="noConversion"/>
  </si>
  <si>
    <t>TOTAL</t>
    <phoneticPr fontId="7" type="noConversion"/>
  </si>
  <si>
    <t>Y = Yo + Ax ^ a</t>
    <phoneticPr fontId="7" type="noConversion"/>
  </si>
  <si>
    <t xml:space="preserve">A = 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</si>
  <si>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</si>
  <si>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</si>
  <si>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</si>
  <si>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>장래 추정인구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</si>
  <si>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</si>
  <si>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</si>
  <si>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</si>
  <si>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</si>
  <si>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</si>
  <si>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 xml:space="preserve">  마. 로지스틱 곡선식에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</si>
  <si>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</si>
  <si>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</si>
  <si>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</si>
  <si>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</si>
  <si>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K : 포화인구</t>
    <phoneticPr fontId="7" type="noConversion"/>
  </si>
  <si>
    <t>x : 기준년으로부터 경과년수</t>
    <phoneticPr fontId="7" type="noConversion"/>
  </si>
  <si>
    <t>LOGISTIC CURVE</t>
    <phoneticPr fontId="7" type="noConversion"/>
  </si>
  <si>
    <t>년도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</si>
  <si>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</si>
  <si>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</si>
  <si>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</si>
  <si>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k-y</t>
    <phoneticPr fontId="7" type="noConversion"/>
  </si>
  <si>
    <t>LOG y</t>
    <phoneticPr fontId="7" type="noConversion"/>
  </si>
  <si>
    <t>LOG(k-y)</t>
    <phoneticPr fontId="7" type="noConversion"/>
  </si>
  <si>
    <t>Y</t>
    <phoneticPr fontId="7" type="noConversion"/>
  </si>
  <si>
    <t>x*Y</t>
    <phoneticPr fontId="7" type="noConversion"/>
  </si>
  <si>
    <t xml:space="preserve"> 2.4 원남면 수학적방법에 의한 급수원단위추정</t>
    <phoneticPr fontId="7" type="noConversion"/>
  </si>
  <si>
    <t>Y = Yo + A x N</t>
    <phoneticPr fontId="7" type="noConversion"/>
  </si>
  <si>
    <t xml:space="preserve">Yo = </t>
    <phoneticPr fontId="7" type="noConversion"/>
  </si>
  <si>
    <t>TOTAL</t>
    <phoneticPr fontId="7" type="noConversion"/>
  </si>
  <si>
    <t xml:space="preserve"> 2.4 맹동면 수학적방법에 의한 급수원단위추정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</si>
  <si>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</si>
  <si>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</si>
  <si>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 2.4 맹동면 수학적방법에 의한 급수원단위추정</t>
    <phoneticPr fontId="7" type="noConversion"/>
  </si>
  <si>
    <t>포화인구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</si>
  <si>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</si>
  <si>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</si>
  <si>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</si>
  <si>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</si>
  <si>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</si>
  <si>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</si>
  <si>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</si>
  <si>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</si>
  <si>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</si>
  <si>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</si>
  <si>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</si>
  <si>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</si>
  <si>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</si>
  <si>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</si>
  <si>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</si>
  <si>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</si>
  <si>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</si>
  <si>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</si>
  <si>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</si>
  <si>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</si>
  <si>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</si>
  <si>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</si>
  <si>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</si>
  <si>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Yo = </t>
    <phoneticPr fontId="7" type="noConversion"/>
  </si>
  <si>
    <t>TOTAL</t>
    <phoneticPr fontId="7" type="noConversion"/>
  </si>
  <si>
    <t>Y = a X + b</t>
    <phoneticPr fontId="7" type="noConversion"/>
  </si>
  <si>
    <t>a = (n∑xy-∑x∑y) / (n∑x2-∑x∑x) =</t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</si>
  <si>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</si>
  <si>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t>장래 추정인구</t>
    <phoneticPr fontId="7" type="noConversion"/>
  </si>
  <si>
    <t xml:space="preserve">  라. 지수곡선식에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</si>
  <si>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Ax</t>
    </r>
    <r>
      <rPr>
        <vertAlign val="superscript"/>
        <sz val="8"/>
        <rFont val="맑은 고딕"/>
        <family val="3"/>
        <charset val="129"/>
      </rPr>
      <t>a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</si>
  <si>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</si>
  <si>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</si>
  <si>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: 기준년의 인구</t>
    </r>
    <phoneticPr fontId="7" type="noConversion"/>
  </si>
  <si>
    <t>x : 실적 초년도부터 계획년도까지의 경과년수</t>
    <phoneticPr fontId="7" type="noConversion"/>
  </si>
  <si>
    <t>PEGGY 함수법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</si>
  <si>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</si>
  <si>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</si>
  <si>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</si>
  <si>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y-yo</t>
    <phoneticPr fontId="7" type="noConversion"/>
  </si>
  <si>
    <t>Y</t>
    <phoneticPr fontId="7" type="noConversion"/>
  </si>
  <si>
    <t>X*Y</t>
    <phoneticPr fontId="7" type="noConversion"/>
  </si>
  <si>
    <t>Y = Yo + Ax ^ a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</si>
  <si>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</si>
  <si>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</si>
  <si>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</si>
  <si>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 xml:space="preserve">  마. 로지스틱 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</si>
  <si>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</si>
  <si>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t>K : 포화인구</t>
    <phoneticPr fontId="7" type="noConversion"/>
  </si>
  <si>
    <t>x : 기준년으로부터 경과년수</t>
    <phoneticPr fontId="7" type="noConversion"/>
  </si>
  <si>
    <t>LOGISTIC CURVE</t>
    <phoneticPr fontId="7" type="noConversion"/>
  </si>
  <si>
    <t>k-y</t>
    <phoneticPr fontId="7" type="noConversion"/>
  </si>
  <si>
    <t>LOG y</t>
    <phoneticPr fontId="7" type="noConversion"/>
  </si>
  <si>
    <t>LOG(k-y)</t>
    <phoneticPr fontId="7" type="noConversion"/>
  </si>
  <si>
    <t>x*Y</t>
    <phoneticPr fontId="7" type="noConversion"/>
  </si>
  <si>
    <t>Yt = K / (1 + e^(a-b))</t>
    <phoneticPr fontId="7" type="noConversion"/>
  </si>
  <si>
    <t>e =</t>
    <phoneticPr fontId="7" type="noConversion"/>
  </si>
  <si>
    <t>자연대수의 밑수</t>
    <phoneticPr fontId="7" type="noConversion"/>
  </si>
  <si>
    <t>Y = LOG y - LOG(K-y)</t>
    <phoneticPr fontId="7" type="noConversion"/>
  </si>
  <si>
    <t>a = 1/ log e × (∑X∑XY-∑X²∑Y) / (N∑X²-∑X∑X) =</t>
    <phoneticPr fontId="7" type="noConversion"/>
  </si>
  <si>
    <t>b = (N∑XY-∑X∑Y) / (N∑X²-∑X∑X)</t>
    <phoneticPr fontId="7" type="noConversion"/>
  </si>
  <si>
    <t>= N∑XY / N∑X² = ∑XY / ∑X² = ∑xY / LOGe(∑x²) =</t>
    <phoneticPr fontId="7" type="noConversion"/>
  </si>
  <si>
    <t>인구추정 총괄표</t>
    <phoneticPr fontId="7" type="noConversion"/>
  </si>
  <si>
    <t>단위 : 인</t>
    <phoneticPr fontId="7" type="noConversion"/>
  </si>
  <si>
    <t>등차급수</t>
    <phoneticPr fontId="7" type="noConversion"/>
  </si>
  <si>
    <t>등비급수</t>
    <phoneticPr fontId="7" type="noConversion"/>
  </si>
  <si>
    <t>최소자승</t>
    <phoneticPr fontId="7" type="noConversion"/>
  </si>
  <si>
    <t>PEGGY함수</t>
    <phoneticPr fontId="7" type="noConversion"/>
  </si>
  <si>
    <t>LOGISTIC</t>
    <phoneticPr fontId="7" type="noConversion"/>
  </si>
  <si>
    <t>평균</t>
    <phoneticPr fontId="7" type="noConversion"/>
  </si>
  <si>
    <t>비고(계)</t>
    <phoneticPr fontId="7" type="noConversion"/>
  </si>
  <si>
    <t xml:space="preserve"> 2.4 삼성면 수학적방법에 의한 급수원단위추정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</si>
  <si>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</si>
  <si>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</si>
  <si>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 2.4 삼성면 수학적방법에 의한 급수원단위추정</t>
    <phoneticPr fontId="7" type="noConversion"/>
  </si>
  <si>
    <t>계획년도</t>
    <phoneticPr fontId="7" type="noConversion"/>
  </si>
  <si>
    <t>PROJECT NAME:</t>
    <phoneticPr fontId="7" type="noConversion"/>
  </si>
  <si>
    <t>인구현황</t>
    <phoneticPr fontId="7" type="noConversion"/>
  </si>
  <si>
    <t>년도</t>
    <phoneticPr fontId="7" type="noConversion"/>
  </si>
  <si>
    <t>원단위</t>
    <phoneticPr fontId="7" type="noConversion"/>
  </si>
  <si>
    <t>증가수</t>
    <phoneticPr fontId="7" type="noConversion"/>
  </si>
  <si>
    <t>증가율(%)</t>
    <phoneticPr fontId="7" type="noConversion"/>
  </si>
  <si>
    <t>비고</t>
    <phoneticPr fontId="7" type="noConversion"/>
  </si>
  <si>
    <t>포화인구</t>
    <phoneticPr fontId="7" type="noConversion"/>
  </si>
  <si>
    <t>TOTAL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</si>
  <si>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</si>
  <si>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</si>
  <si>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</si>
  <si>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</si>
  <si>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</si>
  <si>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</si>
  <si>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</si>
  <si>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</si>
  <si>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</si>
  <si>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</si>
  <si>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</si>
  <si>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</si>
  <si>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</si>
  <si>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</si>
  <si>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</si>
  <si>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</si>
  <si>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</si>
  <si>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</si>
  <si>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</si>
  <si>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r = </t>
    <phoneticPr fontId="7" type="noConversion"/>
  </si>
  <si>
    <t xml:space="preserve">  다. 최소자승법에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</si>
  <si>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aX + b</t>
    </r>
    <phoneticPr fontId="7" type="noConversion"/>
  </si>
  <si>
    <t xml:space="preserve">여기서,   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</si>
  <si>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</si>
  <si>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X  : 기준년으로부터 경과년수</t>
    <phoneticPr fontId="7" type="noConversion"/>
  </si>
  <si>
    <t>n  : 인구통계 자료 수</t>
    <phoneticPr fontId="7" type="noConversion"/>
  </si>
  <si>
    <t>최소 자승법</t>
    <phoneticPr fontId="7" type="noConversion"/>
  </si>
  <si>
    <t>인구</t>
    <phoneticPr fontId="7" type="noConversion"/>
  </si>
  <si>
    <t>x</t>
    <phoneticPr fontId="7" type="noConversion"/>
  </si>
  <si>
    <t>x^2</t>
    <phoneticPr fontId="7" type="noConversion"/>
  </si>
  <si>
    <t>xy</t>
    <phoneticPr fontId="7" type="noConversion"/>
  </si>
  <si>
    <t>Y = Yo + Ax ^ a</t>
    <phoneticPr fontId="7" type="noConversion"/>
  </si>
  <si>
    <r>
      <t>a = (N∑XY-∑X∑Y)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 =</t>
    </r>
    <phoneticPr fontId="7" type="noConversion"/>
  </si>
  <si>
    <r>
      <t>b = (∑X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∑Y-∑X∑XY) / (N∑X</t>
    </r>
    <r>
      <rPr>
        <vertAlign val="superscript"/>
        <sz val="8"/>
        <rFont val="맑은 고딕"/>
        <family val="3"/>
        <charset val="129"/>
      </rPr>
      <t>2</t>
    </r>
    <r>
      <rPr>
        <sz val="8"/>
        <rFont val="맑은 고딕"/>
        <family val="3"/>
        <charset val="129"/>
      </rPr>
      <t>-∑X∑X)</t>
    </r>
    <phoneticPr fontId="7" type="noConversion"/>
  </si>
  <si>
    <t>logA = b</t>
    <phoneticPr fontId="7" type="noConversion"/>
  </si>
  <si>
    <t>장래 추정인구</t>
    <phoneticPr fontId="7" type="noConversion"/>
  </si>
  <si>
    <t xml:space="preserve">  마. 로지스틱 곡선식에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</si>
  <si>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= K / (1+e</t>
    </r>
    <r>
      <rPr>
        <vertAlign val="superscript"/>
        <sz val="8"/>
        <rFont val="맑은 고딕"/>
        <family val="3"/>
        <charset val="129"/>
      </rPr>
      <t>a-bx</t>
    </r>
    <r>
      <rPr>
        <sz val="8"/>
        <rFont val="맑은 고딕"/>
        <family val="3"/>
        <charset val="129"/>
      </rPr>
      <t>)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</si>
  <si>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x</t>
    </r>
    <r>
      <rPr>
        <sz val="8"/>
        <rFont val="맑은 고딕"/>
        <family val="3"/>
        <charset val="129"/>
      </rPr>
      <t xml:space="preserve"> : 기준년으로부터 x년후의 인구</t>
    </r>
    <phoneticPr fontId="7" type="noConversion"/>
  </si>
  <si>
    <t>K : 포화인구</t>
    <phoneticPr fontId="7" type="noConversion"/>
  </si>
  <si>
    <t xml:space="preserve"> 2.4 생극면 수학적방법에 의한 급수원단위추정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</si>
  <si>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</si>
  <si>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</si>
  <si>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 2.4 감곡면 수학적방법에 의한 급수원단위추정</t>
    <phoneticPr fontId="7" type="noConversion"/>
  </si>
  <si>
    <t xml:space="preserve">  가. 등차급수에 의한 추정</t>
    <phoneticPr fontId="7" type="noConversion"/>
  </si>
  <si>
    <t xml:space="preserve">  ◆ 계 산 식 :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</si>
  <si>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+ A × N</t>
    </r>
    <phoneticPr fontId="7" type="noConversion"/>
  </si>
  <si>
    <t>여기서,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</si>
  <si>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: 기준년으로부터 N년후의 인구</t>
    </r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</si>
  <si>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 xml:space="preserve"> : 기준년도 인구</t>
    </r>
    <phoneticPr fontId="7" type="noConversion"/>
  </si>
  <si>
    <t>A  : 연평균 인구증가수</t>
    <phoneticPr fontId="7" type="noConversion"/>
  </si>
  <si>
    <t>등차 급수법</t>
    <phoneticPr fontId="7" type="noConversion"/>
  </si>
  <si>
    <t>년도</t>
    <phoneticPr fontId="7" type="noConversion"/>
  </si>
  <si>
    <t>추정 인구</t>
    <phoneticPr fontId="7" type="noConversion"/>
  </si>
  <si>
    <t>사회적 증가</t>
    <phoneticPr fontId="7" type="noConversion"/>
  </si>
  <si>
    <t>추정총인구</t>
    <phoneticPr fontId="7" type="noConversion"/>
  </si>
  <si>
    <t>비고</t>
    <phoneticPr fontId="7" type="noConversion"/>
  </si>
  <si>
    <t>Y = Yo + A x N</t>
    <phoneticPr fontId="7" type="noConversion"/>
  </si>
  <si>
    <t xml:space="preserve">Yo = </t>
    <phoneticPr fontId="7" type="noConversion"/>
  </si>
  <si>
    <t xml:space="preserve">A = </t>
    <phoneticPr fontId="7" type="noConversion"/>
  </si>
  <si>
    <t>N =</t>
    <phoneticPr fontId="7" type="noConversion"/>
  </si>
  <si>
    <t>년수</t>
    <phoneticPr fontId="7" type="noConversion"/>
  </si>
  <si>
    <t xml:space="preserve">  나. 등비급수에 의한 추정</t>
    <phoneticPr fontId="7" type="noConversion"/>
  </si>
  <si>
    <r>
      <t>Y</t>
    </r>
    <r>
      <rPr>
        <vertAlign val="subscript"/>
        <sz val="8"/>
        <rFont val="맑은 고딕"/>
        <family val="3"/>
        <charset val="129"/>
      </rPr>
      <t>n</t>
    </r>
    <r>
      <rPr>
        <sz val="8"/>
        <rFont val="맑은 고딕"/>
        <family val="3"/>
        <charset val="129"/>
      </rPr>
      <t xml:space="preserve"> = Y</t>
    </r>
    <r>
      <rPr>
        <vertAlign val="subscript"/>
        <sz val="8"/>
        <rFont val="맑은 고딕"/>
        <family val="3"/>
        <charset val="129"/>
      </rPr>
      <t>o</t>
    </r>
    <r>
      <rPr>
        <sz val="8"/>
        <rFont val="맑은 고딕"/>
        <family val="3"/>
        <charset val="129"/>
      </rPr>
      <t xml:space="preserve"> × ( r)</t>
    </r>
    <r>
      <rPr>
        <vertAlign val="superscript"/>
        <sz val="8"/>
        <rFont val="맑은 고딕"/>
        <family val="3"/>
        <charset val="129"/>
      </rPr>
      <t>N</t>
    </r>
    <phoneticPr fontId="7" type="noConversion"/>
  </si>
  <si>
    <r>
      <t>r  : 연평균 인구증가율 = (Y</t>
    </r>
    <r>
      <rPr>
        <vertAlign val="subscript"/>
        <sz val="8"/>
        <rFont val="맑은 고딕"/>
        <family val="3"/>
        <charset val="129"/>
      </rPr>
      <t>0</t>
    </r>
    <r>
      <rPr>
        <sz val="8"/>
        <rFont val="맑은 고딕"/>
        <family val="3"/>
        <charset val="129"/>
      </rPr>
      <t>/Y</t>
    </r>
    <r>
      <rPr>
        <vertAlign val="subscript"/>
        <sz val="8"/>
        <rFont val="맑은 고딕"/>
        <family val="3"/>
        <charset val="129"/>
      </rPr>
      <t>t</t>
    </r>
    <r>
      <rPr>
        <sz val="8"/>
        <rFont val="맑은 고딕"/>
        <family val="3"/>
        <charset val="129"/>
      </rPr>
      <t>)</t>
    </r>
    <r>
      <rPr>
        <vertAlign val="superscript"/>
        <sz val="8"/>
        <rFont val="맑은 고딕"/>
        <family val="3"/>
        <charset val="129"/>
      </rPr>
      <t>(1/t)</t>
    </r>
    <r>
      <rPr>
        <sz val="8"/>
        <rFont val="맑은 고딕"/>
        <family val="3"/>
        <charset val="129"/>
      </rPr>
      <t>-1</t>
    </r>
    <phoneticPr fontId="7" type="noConversion"/>
  </si>
  <si>
    <t>등비 급수법</t>
    <phoneticPr fontId="7" type="noConversion"/>
  </si>
  <si>
    <t>Y = Yo * (r) ^ (N)</t>
    <phoneticPr fontId="7" type="noConversion"/>
  </si>
  <si>
    <t xml:space="preserve">Yo = </t>
    <phoneticPr fontId="7" type="noConversion"/>
  </si>
  <si>
    <t xml:space="preserve"> 2.4 감곡면 수학적방법에 의한 급수원단위추정</t>
    <phoneticPr fontId="7" type="noConversion"/>
  </si>
  <si>
    <t>● 음성 연간 상수도, 지하수 사용현황</t>
    <phoneticPr fontId="35" type="noConversion"/>
  </si>
  <si>
    <t>구분</t>
    <phoneticPr fontId="21" type="Hiragana"/>
  </si>
  <si>
    <t>상수도</t>
    <phoneticPr fontId="35" type="noConversion"/>
  </si>
  <si>
    <t>지하수</t>
    <phoneticPr fontId="35" type="noConversion"/>
  </si>
  <si>
    <t>사용량
(㎥/년)</t>
    <phoneticPr fontId="35" type="noConversion"/>
  </si>
  <si>
    <t>계
(㎥/일)</t>
    <phoneticPr fontId="35" type="noConversion"/>
  </si>
  <si>
    <t>음성군</t>
    <phoneticPr fontId="133" type="noConversion"/>
  </si>
  <si>
    <t>음성읍</t>
    <phoneticPr fontId="133" type="noConversion"/>
  </si>
  <si>
    <t>금왕읍</t>
    <phoneticPr fontId="133" type="noConversion"/>
  </si>
  <si>
    <t>소이면</t>
    <phoneticPr fontId="133" type="noConversion"/>
  </si>
  <si>
    <t>원남면</t>
    <phoneticPr fontId="133" type="noConversion"/>
  </si>
  <si>
    <t>맹동면</t>
    <phoneticPr fontId="133" type="noConversion"/>
  </si>
  <si>
    <t>대소면</t>
    <phoneticPr fontId="133" type="noConversion"/>
  </si>
  <si>
    <t>삼성면</t>
    <phoneticPr fontId="133" type="noConversion"/>
  </si>
  <si>
    <t>생극면</t>
    <phoneticPr fontId="133" type="noConversion"/>
  </si>
  <si>
    <t>감곡면</t>
    <phoneticPr fontId="133" type="noConversion"/>
  </si>
  <si>
    <t>소계
(㎥/일)</t>
    <phoneticPr fontId="35" type="noConversion"/>
  </si>
  <si>
    <t>2011년</t>
    <phoneticPr fontId="35" type="noConversion"/>
  </si>
  <si>
    <t>가정용</t>
    <phoneticPr fontId="21" type="Hiragana"/>
  </si>
  <si>
    <t>일반용</t>
    <phoneticPr fontId="21" type="Hiragana"/>
  </si>
  <si>
    <t>2012년</t>
    <phoneticPr fontId="35" type="noConversion"/>
  </si>
  <si>
    <t>계</t>
    <phoneticPr fontId="35" type="noConversion"/>
  </si>
  <si>
    <t>일반용</t>
    <phoneticPr fontId="21" type="Hiragana"/>
  </si>
  <si>
    <t>2013년</t>
    <phoneticPr fontId="35" type="noConversion"/>
  </si>
  <si>
    <t>계</t>
    <phoneticPr fontId="35" type="noConversion"/>
  </si>
  <si>
    <t>일반용</t>
    <phoneticPr fontId="21" type="Hiragana"/>
  </si>
  <si>
    <t>2014년</t>
    <phoneticPr fontId="35" type="noConversion"/>
  </si>
  <si>
    <t>계</t>
    <phoneticPr fontId="35" type="noConversion"/>
  </si>
  <si>
    <t>가정용</t>
    <phoneticPr fontId="21" type="Hiragana"/>
  </si>
  <si>
    <t>2016년</t>
    <phoneticPr fontId="35" type="noConversion"/>
  </si>
  <si>
    <t>공업용</t>
    <phoneticPr fontId="21" type="Hiragana"/>
  </si>
  <si>
    <t>산업용</t>
    <phoneticPr fontId="21" type="Hiragana"/>
  </si>
  <si>
    <t>보육시설</t>
    <phoneticPr fontId="21" type="Hiragana"/>
  </si>
  <si>
    <t>대중탕(욕1)</t>
  </si>
  <si>
    <t>대중탕(욕2)</t>
    <phoneticPr fontId="133" type="noConversion"/>
  </si>
  <si>
    <t>욕탕용</t>
    <phoneticPr fontId="21" type="Hiragana"/>
  </si>
  <si>
    <t>일반(업무)</t>
    <phoneticPr fontId="21" type="Hiragana"/>
  </si>
  <si>
    <t>일반(영업)</t>
    <phoneticPr fontId="21" type="Hiragana"/>
  </si>
  <si>
    <t>일반(학교)</t>
    <phoneticPr fontId="21" type="Hiragana"/>
  </si>
  <si>
    <t>일반용</t>
    <phoneticPr fontId="21" type="Hiragana"/>
  </si>
  <si>
    <t>2012년</t>
    <phoneticPr fontId="35" type="noConversion"/>
  </si>
  <si>
    <t>공업용</t>
    <phoneticPr fontId="21" type="Hiragana"/>
  </si>
  <si>
    <t>일반(업무)</t>
    <phoneticPr fontId="21" type="Hiragana"/>
  </si>
  <si>
    <t>일반(영업)</t>
    <phoneticPr fontId="21" type="Hiragana"/>
  </si>
  <si>
    <t>일반(학교)</t>
    <phoneticPr fontId="21" type="Hiragana"/>
  </si>
  <si>
    <t>2013년</t>
    <phoneticPr fontId="35" type="noConversion"/>
  </si>
  <si>
    <t>계</t>
    <phoneticPr fontId="35" type="noConversion"/>
  </si>
  <si>
    <t>가정용</t>
    <phoneticPr fontId="21" type="Hiragana"/>
  </si>
  <si>
    <t>산업용</t>
    <phoneticPr fontId="21" type="Hiragana"/>
  </si>
  <si>
    <t>2014년</t>
    <phoneticPr fontId="35" type="noConversion"/>
  </si>
  <si>
    <t>계</t>
    <phoneticPr fontId="35" type="noConversion"/>
  </si>
  <si>
    <t>가정용</t>
    <phoneticPr fontId="21" type="Hiragana"/>
  </si>
  <si>
    <t>보육시설</t>
    <phoneticPr fontId="21" type="Hiragana"/>
  </si>
  <si>
    <t>대중탕(욕2)</t>
    <phoneticPr fontId="133" type="noConversion"/>
  </si>
  <si>
    <t>욕탕용</t>
    <phoneticPr fontId="21" type="Hiragana"/>
  </si>
  <si>
    <t>일반(업무)</t>
    <phoneticPr fontId="21" type="Hiragana"/>
  </si>
  <si>
    <t>일반(영업)</t>
    <phoneticPr fontId="21" type="Hiragana"/>
  </si>
  <si>
    <t>일반(학교)</t>
    <phoneticPr fontId="21" type="Hiragana"/>
  </si>
  <si>
    <t>일반용</t>
    <phoneticPr fontId="21" type="Hiragana"/>
  </si>
  <si>
    <t>공업용</t>
    <phoneticPr fontId="21" type="Hiragana"/>
  </si>
  <si>
    <t>보육시설</t>
    <phoneticPr fontId="21" type="Hiragana"/>
  </si>
  <si>
    <t>대중탕(욕2)</t>
    <phoneticPr fontId="133" type="noConversion"/>
  </si>
  <si>
    <t>욕탕용</t>
    <phoneticPr fontId="21" type="Hiragana"/>
  </si>
  <si>
    <t>일반용</t>
    <phoneticPr fontId="21" type="Hiragana"/>
  </si>
  <si>
    <t>보육시설</t>
    <phoneticPr fontId="21" type="Hiragana"/>
  </si>
  <si>
    <t>사용량
(㎥/일)</t>
    <phoneticPr fontId="35" type="noConversion"/>
  </si>
  <si>
    <t>계
(㎥/년)</t>
    <phoneticPr fontId="35" type="noConversion"/>
  </si>
  <si>
    <t>소계
(㎥/년)</t>
    <phoneticPr fontId="35" type="noConversion"/>
  </si>
  <si>
    <t>가정용</t>
    <phoneticPr fontId="21" type="Hiragana"/>
  </si>
  <si>
    <t>대중탕(욕2)</t>
    <phoneticPr fontId="133" type="noConversion"/>
  </si>
  <si>
    <t>욕탕용</t>
    <phoneticPr fontId="21" type="Hiragana"/>
  </si>
  <si>
    <t>일반(업무)</t>
    <phoneticPr fontId="21" type="Hiragana"/>
  </si>
  <si>
    <t>일반(학교)</t>
    <phoneticPr fontId="21" type="Hiragana"/>
  </si>
  <si>
    <t>가정용</t>
    <phoneticPr fontId="21" type="Hiragana"/>
  </si>
  <si>
    <t>공업용</t>
    <phoneticPr fontId="21" type="Hiragana"/>
  </si>
  <si>
    <t>공업용</t>
    <phoneticPr fontId="21" type="Hiragana"/>
  </si>
  <si>
    <t>산업용</t>
    <phoneticPr fontId="21" type="Hiragana"/>
  </si>
  <si>
    <t>보육시설</t>
    <phoneticPr fontId="21" type="Hiragana"/>
  </si>
  <si>
    <t>산업용</t>
    <phoneticPr fontId="21" type="Hiragana"/>
  </si>
  <si>
    <t>2016년</t>
    <phoneticPr fontId="35" type="noConversion"/>
  </si>
  <si>
    <t xml:space="preserve">  나)  금왕처리구역</t>
    <phoneticPr fontId="7" type="noConversion"/>
  </si>
  <si>
    <t xml:space="preserve">  다)  대소 처리구역</t>
    <phoneticPr fontId="7" type="noConversion"/>
  </si>
  <si>
    <t xml:space="preserve">  다. 물사용량 실적</t>
    <phoneticPr fontId="7" type="noConversion"/>
  </si>
  <si>
    <t>음성읍</t>
  </si>
  <si>
    <t>음성읍</t>
    <phoneticPr fontId="7" type="noConversion"/>
  </si>
  <si>
    <t>금왕읍</t>
  </si>
  <si>
    <t>금왕읍</t>
    <phoneticPr fontId="7" type="noConversion"/>
  </si>
  <si>
    <t>대소면</t>
  </si>
  <si>
    <t>대소면</t>
    <phoneticPr fontId="7" type="noConversion"/>
  </si>
  <si>
    <t>감곡면</t>
  </si>
  <si>
    <t>감곡면</t>
    <phoneticPr fontId="7" type="noConversion"/>
  </si>
  <si>
    <t xml:space="preserve">  나)  금왕 처리구역</t>
    <phoneticPr fontId="7" type="noConversion"/>
  </si>
  <si>
    <t xml:space="preserve">  다. 물 사용량 조사 방법</t>
    <phoneticPr fontId="7" type="noConversion"/>
  </si>
  <si>
    <t xml:space="preserve">   1) 과거 상수도 물사용량 실적</t>
    <phoneticPr fontId="7" type="noConversion"/>
  </si>
  <si>
    <t>2016년</t>
  </si>
  <si>
    <t>음성군</t>
    <phoneticPr fontId="7" type="noConversion"/>
  </si>
  <si>
    <t>2016년
(현재)</t>
    <phoneticPr fontId="7" type="noConversion"/>
  </si>
  <si>
    <t xml:space="preserve">  4) 상수도 급수량 분석 원단위 산정</t>
    <phoneticPr fontId="7" type="noConversion"/>
  </si>
  <si>
    <t>○ 상수도 사용량 원단위 산정</t>
    <phoneticPr fontId="7" type="noConversion"/>
  </si>
  <si>
    <t>물사용량 조사에
 의한 방법</t>
    <phoneticPr fontId="7" type="noConversion"/>
  </si>
  <si>
    <t>음성읍급수인구
(인)</t>
    <phoneticPr fontId="133" type="noConversion"/>
  </si>
  <si>
    <t>음성읍 급수량
(㎥/일)</t>
    <phoneticPr fontId="133" type="noConversion"/>
  </si>
  <si>
    <t>2014년</t>
    <phoneticPr fontId="7" type="noConversion"/>
  </si>
  <si>
    <t>자료) 음성군 통계연보</t>
    <phoneticPr fontId="7" type="noConversion"/>
  </si>
  <si>
    <t>음성
처리구역</t>
    <phoneticPr fontId="35" type="noConversion"/>
  </si>
  <si>
    <t>금왕
처리구역</t>
    <phoneticPr fontId="35" type="noConversion"/>
  </si>
  <si>
    <t>대소
처리구역</t>
    <phoneticPr fontId="35" type="noConversion"/>
  </si>
  <si>
    <t>감곡
공동
처리구역</t>
    <phoneticPr fontId="35" type="noConversion"/>
  </si>
  <si>
    <t>음성</t>
    <phoneticPr fontId="35" type="noConversion"/>
  </si>
  <si>
    <t>금왕</t>
    <phoneticPr fontId="7" type="noConversion"/>
  </si>
  <si>
    <t>대소</t>
    <phoneticPr fontId="35" type="noConversion"/>
  </si>
  <si>
    <t>삼성</t>
    <phoneticPr fontId="7" type="noConversion"/>
  </si>
  <si>
    <t>음성처리구역</t>
    <phoneticPr fontId="35" type="noConversion"/>
  </si>
  <si>
    <t>금왕처리구역</t>
    <phoneticPr fontId="7" type="noConversion"/>
  </si>
  <si>
    <t>대소처리구역</t>
    <phoneticPr fontId="7" type="noConversion"/>
  </si>
  <si>
    <t>감곡처리구역</t>
    <phoneticPr fontId="7" type="noConversion"/>
  </si>
  <si>
    <t>2016년</t>
    <phoneticPr fontId="7" type="noConversion"/>
  </si>
  <si>
    <t>2011년</t>
    <phoneticPr fontId="7" type="noConversion"/>
  </si>
  <si>
    <t>2012년</t>
    <phoneticPr fontId="7" type="noConversion"/>
  </si>
  <si>
    <t>2013년</t>
    <phoneticPr fontId="7" type="noConversion"/>
  </si>
  <si>
    <t>2014년</t>
    <phoneticPr fontId="7" type="noConversion"/>
  </si>
  <si>
    <t>2015년</t>
    <phoneticPr fontId="7" type="noConversion"/>
  </si>
  <si>
    <t>2016년</t>
    <phoneticPr fontId="7" type="noConversion"/>
  </si>
  <si>
    <t>1. 부윤 상수 검측량</t>
    <phoneticPr fontId="7" type="noConversion"/>
  </si>
  <si>
    <t>2. 미곡 상수 검측량</t>
    <phoneticPr fontId="7" type="noConversion"/>
  </si>
  <si>
    <t>1) 부윤</t>
    <phoneticPr fontId="7" type="noConversion"/>
  </si>
  <si>
    <t>부윤</t>
    <phoneticPr fontId="7" type="noConversion"/>
  </si>
  <si>
    <t>2012년</t>
    <phoneticPr fontId="7" type="noConversion"/>
  </si>
  <si>
    <t>2013년</t>
    <phoneticPr fontId="7" type="noConversion"/>
  </si>
  <si>
    <t>2014년</t>
    <phoneticPr fontId="7" type="noConversion"/>
  </si>
  <si>
    <t>2015년</t>
    <phoneticPr fontId="7" type="noConversion"/>
  </si>
  <si>
    <t>2016년</t>
    <phoneticPr fontId="7" type="noConversion"/>
  </si>
  <si>
    <t>2) 미곡</t>
    <phoneticPr fontId="7" type="noConversion"/>
  </si>
  <si>
    <t>3) 관성</t>
    <phoneticPr fontId="7" type="noConversion"/>
  </si>
  <si>
    <t>4) 단평</t>
    <phoneticPr fontId="7" type="noConversion"/>
  </si>
  <si>
    <t>미곡</t>
    <phoneticPr fontId="7" type="noConversion"/>
  </si>
  <si>
    <t>관성</t>
    <phoneticPr fontId="7" type="noConversion"/>
  </si>
  <si>
    <t>단평</t>
    <phoneticPr fontId="7" type="noConversion"/>
  </si>
  <si>
    <t>오궁리</t>
    <phoneticPr fontId="7" type="noConversion"/>
  </si>
  <si>
    <t>5) 오궁리</t>
    <phoneticPr fontId="7" type="noConversion"/>
  </si>
  <si>
    <t>3. 관성 상수 검측량</t>
    <phoneticPr fontId="7" type="noConversion"/>
  </si>
  <si>
    <t>4. 단평 상수 검측량</t>
    <phoneticPr fontId="7" type="noConversion"/>
  </si>
  <si>
    <t>5. 오궁 상수 검측량</t>
    <phoneticPr fontId="7" type="noConversion"/>
  </si>
  <si>
    <t>단평</t>
    <phoneticPr fontId="7" type="noConversion"/>
  </si>
  <si>
    <t>오궁리</t>
    <phoneticPr fontId="7" type="noConversion"/>
  </si>
  <si>
    <t>부윤
소규모</t>
  </si>
  <si>
    <t>부윤
소규모</t>
    <phoneticPr fontId="7" type="noConversion"/>
  </si>
  <si>
    <t>미곡
소규모</t>
  </si>
  <si>
    <t>미곡
소규모</t>
    <phoneticPr fontId="7" type="noConversion"/>
  </si>
  <si>
    <t>관성
소규모</t>
  </si>
  <si>
    <t>관성
소규모</t>
    <phoneticPr fontId="7" type="noConversion"/>
  </si>
  <si>
    <t>단평
소규모</t>
  </si>
  <si>
    <t>단평
소규모</t>
    <phoneticPr fontId="7" type="noConversion"/>
  </si>
  <si>
    <t>오궁리
소규모</t>
  </si>
  <si>
    <t>오궁리
소규모</t>
    <phoneticPr fontId="7" type="noConversion"/>
  </si>
  <si>
    <t>연도별
물사용량</t>
    <phoneticPr fontId="35" type="noConversion"/>
  </si>
  <si>
    <t>2012년</t>
    <phoneticPr fontId="7" type="noConversion"/>
  </si>
  <si>
    <t>상수 사용량
(㎥/년)</t>
    <phoneticPr fontId="7" type="noConversion"/>
  </si>
  <si>
    <t>평균</t>
    <phoneticPr fontId="7" type="noConversion"/>
  </si>
  <si>
    <t xml:space="preserve"> 자료) 상수도 사용 검침량</t>
    <phoneticPr fontId="35" type="noConversion"/>
  </si>
  <si>
    <t>극동대학교</t>
    <phoneticPr fontId="7" type="noConversion"/>
  </si>
  <si>
    <t>강동대학교</t>
    <phoneticPr fontId="7" type="noConversion"/>
  </si>
  <si>
    <t>2580-3부대</t>
    <phoneticPr fontId="7" type="noConversion"/>
  </si>
  <si>
    <t>1891부대</t>
    <phoneticPr fontId="7" type="noConversion"/>
  </si>
  <si>
    <t>제외</t>
    <phoneticPr fontId="7" type="noConversion"/>
  </si>
  <si>
    <t>제외</t>
    <phoneticPr fontId="7" type="noConversion"/>
  </si>
  <si>
    <t>음성군 물 수요관리 시행계획
(2013)</t>
    <phoneticPr fontId="7" type="noConversion"/>
  </si>
  <si>
    <t xml:space="preserve">  라)  대소(삼성면) 처리구역</t>
    <phoneticPr fontId="7" type="noConversion"/>
  </si>
  <si>
    <t xml:space="preserve">  마)  생극 처리구역</t>
    <phoneticPr fontId="7" type="noConversion"/>
  </si>
  <si>
    <t xml:space="preserve">  마)  감곡 처리구역</t>
    <phoneticPr fontId="7" type="noConversion"/>
  </si>
  <si>
    <t xml:space="preserve">  바)  생극 처리구역</t>
    <phoneticPr fontId="7" type="noConversion"/>
  </si>
  <si>
    <t>생극면</t>
  </si>
  <si>
    <t>생극면</t>
    <phoneticPr fontId="7" type="noConversion"/>
  </si>
  <si>
    <t>삼성면</t>
  </si>
  <si>
    <t>삼성면</t>
    <phoneticPr fontId="7" type="noConversion"/>
  </si>
  <si>
    <t>감곡면</t>
    <phoneticPr fontId="7" type="noConversion"/>
  </si>
  <si>
    <t>삼성면</t>
    <phoneticPr fontId="7" type="noConversion"/>
  </si>
  <si>
    <t>감곡면</t>
    <phoneticPr fontId="7" type="noConversion"/>
  </si>
  <si>
    <t>라.소규모 생활오수 원단위 결정</t>
    <phoneticPr fontId="7" type="noConversion"/>
  </si>
  <si>
    <t>음성 연계처리수</t>
    <phoneticPr fontId="7" type="noConversion"/>
  </si>
  <si>
    <t>금왕 연계처리수</t>
    <phoneticPr fontId="7" type="noConversion"/>
  </si>
  <si>
    <t>슬러지
연계처리</t>
    <phoneticPr fontId="7" type="noConversion"/>
  </si>
  <si>
    <t>운영자료참조</t>
    <phoneticPr fontId="7" type="noConversion"/>
  </si>
  <si>
    <t>소규모</t>
    <phoneticPr fontId="7" type="noConversion"/>
  </si>
  <si>
    <t>소규모</t>
    <phoneticPr fontId="7" type="noConversion"/>
  </si>
  <si>
    <t>음성군</t>
    <phoneticPr fontId="7" type="noConversion"/>
  </si>
  <si>
    <t xml:space="preserve"> 2.4 생극면 수학적방법에 의한 급수원단위추정</t>
    <phoneticPr fontId="7" type="noConversion"/>
  </si>
  <si>
    <t>제6032, 7252부대</t>
    <phoneticPr fontId="7" type="noConversion"/>
  </si>
  <si>
    <t>제9715부대</t>
    <phoneticPr fontId="7" type="noConversion"/>
  </si>
  <si>
    <r>
      <t>2016년 사용량(m</t>
    </r>
    <r>
      <rPr>
        <vertAlign val="superscript"/>
        <sz val="9"/>
        <color indexed="8"/>
        <rFont val="돋움"/>
        <family val="3"/>
        <charset val="129"/>
      </rPr>
      <t>3</t>
    </r>
    <r>
      <rPr>
        <sz val="9"/>
        <color indexed="8"/>
        <rFont val="돋움"/>
        <family val="3"/>
        <charset val="129"/>
      </rPr>
      <t>)</t>
    </r>
    <phoneticPr fontId="35" type="noConversion"/>
  </si>
  <si>
    <t>생극</t>
    <phoneticPr fontId="7" type="noConversion"/>
  </si>
  <si>
    <t>감곡</t>
    <phoneticPr fontId="7" type="noConversion"/>
  </si>
  <si>
    <t>금왕 하수처리구역 관성리 군부대 상수도 사용량</t>
    <phoneticPr fontId="35" type="noConversion"/>
  </si>
  <si>
    <t>구분</t>
    <phoneticPr fontId="35" type="noConversion"/>
  </si>
  <si>
    <t>2580-3부대</t>
    <phoneticPr fontId="35" type="noConversion"/>
  </si>
  <si>
    <t>9715부대</t>
    <phoneticPr fontId="35" type="noConversion"/>
  </si>
  <si>
    <t>1891공병대</t>
    <phoneticPr fontId="35" type="noConversion"/>
  </si>
  <si>
    <t>주소</t>
    <phoneticPr fontId="35" type="noConversion"/>
  </si>
  <si>
    <t>생극면 관성리 720</t>
    <phoneticPr fontId="35" type="noConversion"/>
  </si>
  <si>
    <t>생극면 관성리 9715부대</t>
    <phoneticPr fontId="35" type="noConversion"/>
  </si>
  <si>
    <t>생극면 관성리 1028</t>
    <phoneticPr fontId="35" type="noConversion"/>
  </si>
  <si>
    <t>전화번호</t>
    <phoneticPr fontId="35" type="noConversion"/>
  </si>
  <si>
    <t>010-5089-9573</t>
    <phoneticPr fontId="35" type="noConversion"/>
  </si>
  <si>
    <t>010-5070-3230</t>
    <phoneticPr fontId="35" type="noConversion"/>
  </si>
  <si>
    <t>010-5074-4578</t>
    <phoneticPr fontId="35" type="noConversion"/>
  </si>
  <si>
    <t>검침기록</t>
    <phoneticPr fontId="35" type="noConversion"/>
  </si>
  <si>
    <t>월사용량(㎥)</t>
    <phoneticPr fontId="35" type="noConversion"/>
  </si>
  <si>
    <t>2011년1월</t>
    <phoneticPr fontId="35" type="noConversion"/>
  </si>
  <si>
    <t>2011년2월</t>
    <phoneticPr fontId="35" type="noConversion"/>
  </si>
  <si>
    <t>2011년3월</t>
  </si>
  <si>
    <t>2011년4월</t>
  </si>
  <si>
    <t>2011년5월</t>
  </si>
  <si>
    <t>2011년6월</t>
  </si>
  <si>
    <t>2011년7월</t>
  </si>
  <si>
    <t>2011년8월</t>
  </si>
  <si>
    <t>2011년9월</t>
  </si>
  <si>
    <t>2011년10월</t>
  </si>
  <si>
    <t>2011년11월</t>
  </si>
  <si>
    <t>2011년12월</t>
  </si>
  <si>
    <t>2012년1월</t>
    <phoneticPr fontId="35" type="noConversion"/>
  </si>
  <si>
    <t>2012년2월</t>
    <phoneticPr fontId="35" type="noConversion"/>
  </si>
  <si>
    <t>2012년3월</t>
  </si>
  <si>
    <t>2012년4월</t>
  </si>
  <si>
    <t>2012년5월</t>
  </si>
  <si>
    <t>2012년6월</t>
  </si>
  <si>
    <t>2012년7월</t>
  </si>
  <si>
    <t>2012년8월</t>
  </si>
  <si>
    <t>2012년9월</t>
  </si>
  <si>
    <t>2012년10월</t>
  </si>
  <si>
    <t>2012년11월</t>
  </si>
  <si>
    <t>2012년12월</t>
  </si>
  <si>
    <t>2013년1월</t>
    <phoneticPr fontId="35" type="noConversion"/>
  </si>
  <si>
    <t>2013년2월</t>
    <phoneticPr fontId="35" type="noConversion"/>
  </si>
  <si>
    <t>2013년3월</t>
    <phoneticPr fontId="35" type="noConversion"/>
  </si>
  <si>
    <t>2013년4월</t>
    <phoneticPr fontId="35" type="noConversion"/>
  </si>
  <si>
    <t>2013년5월</t>
    <phoneticPr fontId="35" type="noConversion"/>
  </si>
  <si>
    <t>2013년6월</t>
    <phoneticPr fontId="35" type="noConversion"/>
  </si>
  <si>
    <t>2013년7월</t>
    <phoneticPr fontId="35" type="noConversion"/>
  </si>
  <si>
    <t>2013년8월</t>
    <phoneticPr fontId="35" type="noConversion"/>
  </si>
  <si>
    <t>2013년9월</t>
    <phoneticPr fontId="35" type="noConversion"/>
  </si>
  <si>
    <t>2013년10월</t>
    <phoneticPr fontId="35" type="noConversion"/>
  </si>
  <si>
    <t>2013년11월</t>
    <phoneticPr fontId="35" type="noConversion"/>
  </si>
  <si>
    <t>2013년12월</t>
    <phoneticPr fontId="35" type="noConversion"/>
  </si>
  <si>
    <t>2014년1월</t>
    <phoneticPr fontId="35" type="noConversion"/>
  </si>
  <si>
    <t>2014년2월</t>
    <phoneticPr fontId="35" type="noConversion"/>
  </si>
  <si>
    <t>2014년3월</t>
    <phoneticPr fontId="35" type="noConversion"/>
  </si>
  <si>
    <t>2014년4월</t>
    <phoneticPr fontId="35" type="noConversion"/>
  </si>
  <si>
    <t>2014년5월</t>
    <phoneticPr fontId="35" type="noConversion"/>
  </si>
  <si>
    <t>2014년6월</t>
    <phoneticPr fontId="35" type="noConversion"/>
  </si>
  <si>
    <t>2014년7월</t>
    <phoneticPr fontId="35" type="noConversion"/>
  </si>
  <si>
    <t>2014년8월</t>
    <phoneticPr fontId="35" type="noConversion"/>
  </si>
  <si>
    <t>2014년9월</t>
    <phoneticPr fontId="35" type="noConversion"/>
  </si>
  <si>
    <t>2014년10월</t>
    <phoneticPr fontId="35" type="noConversion"/>
  </si>
  <si>
    <t>2014년11월</t>
    <phoneticPr fontId="35" type="noConversion"/>
  </si>
  <si>
    <t>2014년12월</t>
    <phoneticPr fontId="35" type="noConversion"/>
  </si>
  <si>
    <t>2015년1월</t>
    <phoneticPr fontId="35" type="noConversion"/>
  </si>
  <si>
    <t>2015년2월</t>
  </si>
  <si>
    <t>2015년3월</t>
  </si>
  <si>
    <t>2015년4월</t>
  </si>
  <si>
    <t>2015년5월</t>
  </si>
  <si>
    <t>2015년6월</t>
  </si>
  <si>
    <t>2015년7월</t>
  </si>
  <si>
    <t>2015년8월</t>
  </si>
  <si>
    <t>2015년9월</t>
  </si>
  <si>
    <t>2015년10월</t>
    <phoneticPr fontId="35" type="noConversion"/>
  </si>
  <si>
    <t>월평균 사용량</t>
    <phoneticPr fontId="35" type="noConversion"/>
  </si>
  <si>
    <t>일평균 사용량</t>
    <phoneticPr fontId="35" type="noConversion"/>
  </si>
  <si>
    <t>오수전환율(%)</t>
    <phoneticPr fontId="35" type="noConversion"/>
  </si>
  <si>
    <t>변동부하율</t>
    <phoneticPr fontId="35" type="noConversion"/>
  </si>
  <si>
    <t>일최대하수량</t>
    <phoneticPr fontId="35" type="noConversion"/>
  </si>
  <si>
    <t>2012년</t>
    <phoneticPr fontId="7" type="noConversion"/>
  </si>
  <si>
    <t xml:space="preserve">13 년도 하수찌꺼기 반류수 유량 및 수질자료 </t>
    <phoneticPr fontId="35" type="noConversion"/>
  </si>
  <si>
    <t>날 짜</t>
    <phoneticPr fontId="35" type="noConversion"/>
  </si>
  <si>
    <t>반류수량</t>
    <phoneticPr fontId="35" type="noConversion"/>
  </si>
  <si>
    <t>BOD</t>
    <phoneticPr fontId="35" type="noConversion"/>
  </si>
  <si>
    <t>COD</t>
    <phoneticPr fontId="35" type="noConversion"/>
  </si>
  <si>
    <t>SS</t>
    <phoneticPr fontId="35" type="noConversion"/>
  </si>
  <si>
    <t>T-N</t>
    <phoneticPr fontId="35" type="noConversion"/>
  </si>
  <si>
    <t>T-P</t>
    <phoneticPr fontId="35" type="noConversion"/>
  </si>
  <si>
    <t>하수찌꺼기 처리시설 6월부터 실 가동 이전 데이터 없음</t>
    <phoneticPr fontId="35" type="noConversion"/>
  </si>
  <si>
    <t>2013년 평균</t>
    <phoneticPr fontId="35" type="noConversion"/>
  </si>
  <si>
    <t xml:space="preserve">14 년도 하수찌꺼기 반류수 유량 및 수질자료 </t>
    <phoneticPr fontId="35" type="noConversion"/>
  </si>
  <si>
    <t>날 짜</t>
  </si>
  <si>
    <t>반류수량</t>
  </si>
  <si>
    <t xml:space="preserve"> </t>
    <phoneticPr fontId="35" type="noConversion"/>
  </si>
  <si>
    <t>2014년 평균</t>
    <phoneticPr fontId="35" type="noConversion"/>
  </si>
  <si>
    <t xml:space="preserve">15 년도 하수찌꺼기 반류수 유량 및 수질자료 </t>
    <phoneticPr fontId="35" type="noConversion"/>
  </si>
  <si>
    <t>2015년 평균</t>
    <phoneticPr fontId="35" type="noConversion"/>
  </si>
  <si>
    <t xml:space="preserve">16 년도 하수찌꺼기 반류수 유량 및 수질자료 </t>
    <phoneticPr fontId="35" type="noConversion"/>
  </si>
  <si>
    <t>2016년 평균</t>
    <phoneticPr fontId="35" type="noConversion"/>
  </si>
  <si>
    <t>최근5년평균</t>
    <phoneticPr fontId="35" type="noConversion"/>
  </si>
  <si>
    <t>5.2 기타오염부하량 산정</t>
    <phoneticPr fontId="201" type="noConversion"/>
  </si>
  <si>
    <t xml:space="preserve"> 5.2.1 환경기초시설 오염부하량</t>
    <phoneticPr fontId="201" type="noConversion"/>
  </si>
  <si>
    <t xml:space="preserve">  가. 쓰레기 침출수 오염부하량(서산처리구역)</t>
    <phoneticPr fontId="7" type="noConversion"/>
  </si>
  <si>
    <t xml:space="preserve">   1) 산정기준</t>
    <phoneticPr fontId="7" type="noConversion"/>
  </si>
  <si>
    <t xml:space="preserve">    - 서산 공공하수처리시설 소화조 연계 유입량 및 수질 적용</t>
    <phoneticPr fontId="7" type="noConversion"/>
  </si>
  <si>
    <t xml:space="preserve">   2) 연계처리(쓰레기침출수) 유입현황</t>
    <phoneticPr fontId="7" type="noConversion"/>
  </si>
  <si>
    <t>BOD</t>
    <phoneticPr fontId="7" type="noConversion"/>
  </si>
  <si>
    <t>COD</t>
    <phoneticPr fontId="7" type="noConversion"/>
  </si>
  <si>
    <t>SS</t>
    <phoneticPr fontId="7" type="noConversion"/>
  </si>
  <si>
    <t>T-N</t>
    <phoneticPr fontId="7" type="noConversion"/>
  </si>
  <si>
    <t>T-P</t>
    <phoneticPr fontId="7" type="noConversion"/>
  </si>
  <si>
    <t>비 고</t>
    <phoneticPr fontId="7" type="noConversion"/>
  </si>
  <si>
    <t>유입수질
(㎎/L)</t>
    <phoneticPr fontId="7" type="noConversion"/>
  </si>
  <si>
    <t>적용</t>
    <phoneticPr fontId="7" type="noConversion"/>
  </si>
  <si>
    <t>자료: 쓰레기 침출수 연계처리 현황 참조</t>
    <phoneticPr fontId="7" type="noConversion"/>
  </si>
  <si>
    <t xml:space="preserve">   3) 연계처리(쓰레기침출수) 오염부하량 산정</t>
    <phoneticPr fontId="7" type="noConversion"/>
  </si>
  <si>
    <t>구 분</t>
    <phoneticPr fontId="7" type="noConversion"/>
  </si>
  <si>
    <t>2020년</t>
    <phoneticPr fontId="7" type="noConversion"/>
  </si>
  <si>
    <t>2025년</t>
    <phoneticPr fontId="7" type="noConversion"/>
  </si>
  <si>
    <t>2030년</t>
    <phoneticPr fontId="7" type="noConversion"/>
  </si>
  <si>
    <r>
      <t>2035년</t>
    </r>
    <r>
      <rPr>
        <b/>
        <sz val="9"/>
        <color indexed="8"/>
        <rFont val="돋움"/>
        <family val="3"/>
        <charset val="129"/>
      </rPr>
      <t/>
    </r>
  </si>
  <si>
    <t>비 고</t>
    <phoneticPr fontId="7" type="noConversion"/>
  </si>
  <si>
    <t>연계처리유입량(㎥/일)</t>
    <phoneticPr fontId="7" type="noConversion"/>
  </si>
  <si>
    <t>연계수질
(㎎/L)</t>
    <phoneticPr fontId="209" type="noConversion"/>
  </si>
  <si>
    <t>BOD</t>
    <phoneticPr fontId="209" type="noConversion"/>
  </si>
  <si>
    <t>COD</t>
    <phoneticPr fontId="209" type="noConversion"/>
  </si>
  <si>
    <t>SS</t>
    <phoneticPr fontId="209" type="noConversion"/>
  </si>
  <si>
    <t>T-N</t>
    <phoneticPr fontId="209" type="noConversion"/>
  </si>
  <si>
    <t>T-P</t>
    <phoneticPr fontId="209" type="noConversion"/>
  </si>
  <si>
    <t>연계처리수
부하량
(kg/일)</t>
    <phoneticPr fontId="209" type="noConversion"/>
  </si>
  <si>
    <t>COD</t>
    <phoneticPr fontId="209" type="noConversion"/>
  </si>
  <si>
    <t>T-P</t>
    <phoneticPr fontId="209" type="noConversion"/>
  </si>
  <si>
    <t>구분</t>
    <phoneticPr fontId="35" type="noConversion"/>
  </si>
  <si>
    <t>연계처리량
(㎥/일)</t>
    <phoneticPr fontId="35" type="noConversion"/>
  </si>
  <si>
    <t>유입수질(mg/L)</t>
    <phoneticPr fontId="35" type="noConversion"/>
  </si>
  <si>
    <t>BOD</t>
    <phoneticPr fontId="35" type="noConversion"/>
  </si>
  <si>
    <t>COD</t>
    <phoneticPr fontId="35" type="noConversion"/>
  </si>
  <si>
    <t>SS</t>
    <phoneticPr fontId="35" type="noConversion"/>
  </si>
  <si>
    <t>T-N</t>
    <phoneticPr fontId="35" type="noConversion"/>
  </si>
  <si>
    <t>T-P</t>
    <phoneticPr fontId="35" type="noConversion"/>
  </si>
  <si>
    <t>1월</t>
    <phoneticPr fontId="35" type="noConversion"/>
  </si>
  <si>
    <t>평균</t>
    <phoneticPr fontId="35" type="noConversion"/>
  </si>
  <si>
    <t>최소</t>
    <phoneticPr fontId="35" type="noConversion"/>
  </si>
  <si>
    <t>최대</t>
    <phoneticPr fontId="35" type="noConversion"/>
  </si>
  <si>
    <t>3년간</t>
    <phoneticPr fontId="35" type="noConversion"/>
  </si>
  <si>
    <t>최소</t>
    <phoneticPr fontId="35" type="noConversion"/>
  </si>
  <si>
    <t>최대</t>
    <phoneticPr fontId="35" type="noConversion"/>
  </si>
  <si>
    <t>&lt;분뇨연계처리현황&gt;</t>
    <phoneticPr fontId="35" type="noConversion"/>
  </si>
  <si>
    <t>소이
소규모</t>
    <phoneticPr fontId="7" type="noConversion"/>
  </si>
  <si>
    <t>원남
소규모</t>
    <phoneticPr fontId="7" type="noConversion"/>
  </si>
  <si>
    <t>하수도정비
부분변경 인용</t>
    <phoneticPr fontId="7" type="noConversion"/>
  </si>
  <si>
    <t>음성읍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</si>
  <si>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</si>
  <si>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</si>
  <si>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</si>
  <si>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금왕읍</t>
    <phoneticPr fontId="7" type="noConversion"/>
  </si>
  <si>
    <t>대소면</t>
    <phoneticPr fontId="7" type="noConversion"/>
  </si>
  <si>
    <t>삼성면</t>
    <phoneticPr fontId="7" type="noConversion"/>
  </si>
  <si>
    <t>감곡면</t>
    <phoneticPr fontId="7" type="noConversion"/>
  </si>
  <si>
    <t>생극면</t>
    <phoneticPr fontId="7" type="noConversion"/>
  </si>
  <si>
    <t>부윤
소규모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</si>
  <si>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</si>
  <si>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</si>
  <si>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</si>
  <si>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미곡
소규모</t>
    <phoneticPr fontId="7" type="noConversion"/>
  </si>
  <si>
    <t>관성
소규모</t>
    <phoneticPr fontId="7" type="noConversion"/>
  </si>
  <si>
    <t>단평
소규모</t>
    <phoneticPr fontId="7" type="noConversion"/>
  </si>
  <si>
    <t>오궁리
소규모</t>
    <phoneticPr fontId="7" type="noConversion"/>
  </si>
  <si>
    <t>소이
소규모</t>
    <phoneticPr fontId="7" type="noConversion"/>
  </si>
  <si>
    <t>원남
소규모</t>
    <phoneticPr fontId="7" type="noConversion"/>
  </si>
  <si>
    <t>일평균</t>
    <phoneticPr fontId="7" type="noConversion"/>
  </si>
  <si>
    <t>일최대</t>
    <phoneticPr fontId="7" type="noConversion"/>
  </si>
  <si>
    <t>시간최대</t>
    <phoneticPr fontId="7" type="noConversion"/>
  </si>
  <si>
    <t>건축물오수
발생량</t>
    <phoneticPr fontId="7" type="noConversion"/>
  </si>
  <si>
    <t>실시설계
성과 반영</t>
    <phoneticPr fontId="7" type="noConversion"/>
  </si>
  <si>
    <t>맹동
소규모</t>
    <phoneticPr fontId="7" type="noConversion"/>
  </si>
  <si>
    <t>금왕읍 원단위추정</t>
    <phoneticPr fontId="7" type="noConversion"/>
  </si>
  <si>
    <t>음성읍 원단위추정</t>
    <phoneticPr fontId="7" type="noConversion"/>
  </si>
  <si>
    <t>소이면 원단위추정</t>
    <phoneticPr fontId="7" type="noConversion"/>
  </si>
  <si>
    <t>원남면 원단위추정</t>
    <phoneticPr fontId="7" type="noConversion"/>
  </si>
  <si>
    <t>맹동면 원단위추정</t>
    <phoneticPr fontId="7" type="noConversion"/>
  </si>
  <si>
    <t>대소면 원단위추정</t>
    <phoneticPr fontId="7" type="noConversion"/>
  </si>
  <si>
    <t>삼성면 원단위추정</t>
    <phoneticPr fontId="7" type="noConversion"/>
  </si>
  <si>
    <t>생극면 원단위추정</t>
    <phoneticPr fontId="7" type="noConversion"/>
  </si>
  <si>
    <t>감곡면 원단위추정</t>
    <phoneticPr fontId="7" type="noConversion"/>
  </si>
  <si>
    <t xml:space="preserve">생활오수원단위
</t>
    <phoneticPr fontId="7" type="noConversion"/>
  </si>
  <si>
    <t>생활오수원단위</t>
    <phoneticPr fontId="7" type="noConversion"/>
  </si>
  <si>
    <t>금왕읍급수인구
(인)</t>
    <phoneticPr fontId="133" type="noConversion"/>
  </si>
  <si>
    <t>금왕읍 급수량
(㎥/일)</t>
    <phoneticPr fontId="133" type="noConversion"/>
  </si>
  <si>
    <t>2010년</t>
    <phoneticPr fontId="133" type="noConversion"/>
  </si>
  <si>
    <t>2011년</t>
    <phoneticPr fontId="133" type="noConversion"/>
  </si>
  <si>
    <t>2012년</t>
    <phoneticPr fontId="133" type="noConversion"/>
  </si>
  <si>
    <t>2013년</t>
    <phoneticPr fontId="133" type="noConversion"/>
  </si>
  <si>
    <t>2014년</t>
    <phoneticPr fontId="133" type="noConversion"/>
  </si>
  <si>
    <t>평균</t>
    <phoneticPr fontId="7" type="noConversion"/>
  </si>
  <si>
    <t>제외</t>
  </si>
  <si>
    <t>제외</t>
    <phoneticPr fontId="7" type="noConversion"/>
  </si>
  <si>
    <t>대소면급수인구
(인)</t>
    <phoneticPr fontId="133" type="noConversion"/>
  </si>
  <si>
    <t>대소면 급수량
(㎥/일)</t>
    <phoneticPr fontId="133" type="noConversion"/>
  </si>
  <si>
    <t>적 용</t>
    <phoneticPr fontId="7" type="noConversion"/>
  </si>
  <si>
    <t>채택</t>
    <phoneticPr fontId="7" type="noConversion"/>
  </si>
  <si>
    <t>대소면 급수량
(㎥/일)</t>
    <phoneticPr fontId="133" type="noConversion"/>
  </si>
  <si>
    <t>삼성면 급수량
(㎥/일)</t>
    <phoneticPr fontId="133" type="noConversion"/>
  </si>
  <si>
    <t>생극면 급수량
(㎥/일)</t>
    <phoneticPr fontId="133" type="noConversion"/>
  </si>
  <si>
    <t>감곡면 급수량
(㎥/일)</t>
    <phoneticPr fontId="133" type="noConversion"/>
  </si>
  <si>
    <t>감곡면 급수인구
(인)</t>
    <phoneticPr fontId="133" type="noConversion"/>
  </si>
  <si>
    <t>생극면 급수인구
(인)</t>
    <phoneticPr fontId="133" type="noConversion"/>
  </si>
  <si>
    <t>삼성면 급수인구
(인)</t>
    <phoneticPr fontId="133" type="noConversion"/>
  </si>
  <si>
    <t>대소면 급수인구
(인)</t>
    <phoneticPr fontId="133" type="noConversion"/>
  </si>
  <si>
    <t>금왕읍 급수인구
(인)</t>
    <phoneticPr fontId="133" type="noConversion"/>
  </si>
  <si>
    <t>음성읍 급수인구
(인)</t>
    <phoneticPr fontId="133" type="noConversion"/>
  </si>
  <si>
    <t xml:space="preserve">   2) 급수량원단위 수학적 추정</t>
    <phoneticPr fontId="7" type="noConversion"/>
  </si>
  <si>
    <t xml:space="preserve">   3) 급수량원단위 결정</t>
    <phoneticPr fontId="7" type="noConversion"/>
  </si>
  <si>
    <t>○ 생활용수량(유수수량) 원단위 수학적 추정</t>
    <phoneticPr fontId="7" type="noConversion"/>
  </si>
  <si>
    <t xml:space="preserve">  4) 유효수율 계획</t>
    <phoneticPr fontId="7" type="noConversion"/>
  </si>
  <si>
    <t xml:space="preserve">   2) 상수도 물사용량 원단위 수학적 추정</t>
    <phoneticPr fontId="7" type="noConversion"/>
  </si>
  <si>
    <t xml:space="preserve">  라. 상수도 사용량 원단위 결정</t>
    <phoneticPr fontId="7" type="noConversion"/>
  </si>
  <si>
    <t xml:space="preserve">   3) 상수도 사용량 원단위 산정</t>
    <phoneticPr fontId="7" type="noConversion"/>
  </si>
  <si>
    <t>처리인구</t>
    <phoneticPr fontId="7" type="noConversion"/>
  </si>
  <si>
    <t>2017년</t>
    <phoneticPr fontId="133" type="noConversion"/>
  </si>
  <si>
    <t>음성군</t>
    <phoneticPr fontId="7" type="noConversion"/>
  </si>
  <si>
    <t>2015년</t>
    <phoneticPr fontId="133" type="noConversion"/>
  </si>
  <si>
    <t>2016년</t>
    <phoneticPr fontId="133" type="noConversion"/>
  </si>
  <si>
    <t>2017년</t>
    <phoneticPr fontId="133" type="noConversion"/>
  </si>
  <si>
    <t>음성읍</t>
    <phoneticPr fontId="7" type="noConversion"/>
  </si>
  <si>
    <t>금왕읍</t>
    <phoneticPr fontId="7" type="noConversion"/>
  </si>
  <si>
    <t>소이면</t>
    <phoneticPr fontId="7" type="noConversion"/>
  </si>
  <si>
    <t>원남면</t>
    <phoneticPr fontId="7" type="noConversion"/>
  </si>
  <si>
    <t>맹동면</t>
    <phoneticPr fontId="7" type="noConversion"/>
  </si>
  <si>
    <t>대소면</t>
    <phoneticPr fontId="7" type="noConversion"/>
  </si>
  <si>
    <t>삼성면</t>
    <phoneticPr fontId="7" type="noConversion"/>
  </si>
  <si>
    <t>생극면</t>
    <phoneticPr fontId="7" type="noConversion"/>
  </si>
  <si>
    <t>감곡면</t>
    <phoneticPr fontId="7" type="noConversion"/>
  </si>
  <si>
    <t>7년 평균</t>
    <phoneticPr fontId="7" type="noConversion"/>
  </si>
  <si>
    <t>602대대</t>
    <phoneticPr fontId="7" type="noConversion"/>
  </si>
  <si>
    <t>검침날짜</t>
    <phoneticPr fontId="7" type="noConversion"/>
  </si>
  <si>
    <t>검침숫자</t>
    <phoneticPr fontId="133" type="noConversion"/>
  </si>
  <si>
    <t>일유량</t>
    <phoneticPr fontId="7" type="noConversion"/>
  </si>
  <si>
    <t>평균</t>
    <phoneticPr fontId="7" type="noConversion"/>
  </si>
  <si>
    <t>최대</t>
    <phoneticPr fontId="7" type="noConversion"/>
  </si>
  <si>
    <t>최소</t>
    <phoneticPr fontId="7" type="noConversion"/>
  </si>
  <si>
    <t>가. 음성분뇨처리수 (기존)</t>
    <phoneticPr fontId="35" type="noConversion"/>
  </si>
  <si>
    <t>구분</t>
    <phoneticPr fontId="35" type="noConversion"/>
  </si>
  <si>
    <t>유량
(㎥/일)</t>
    <phoneticPr fontId="35" type="noConversion"/>
  </si>
  <si>
    <t>수질(㎎/L)</t>
    <phoneticPr fontId="35" type="noConversion"/>
  </si>
  <si>
    <t>부하량(kg/일)</t>
    <phoneticPr fontId="35" type="noConversion"/>
  </si>
  <si>
    <t>비고</t>
    <phoneticPr fontId="35" type="noConversion"/>
  </si>
  <si>
    <t>BOD</t>
    <phoneticPr fontId="35" type="noConversion"/>
  </si>
  <si>
    <t>COD</t>
    <phoneticPr fontId="35" type="noConversion"/>
  </si>
  <si>
    <t>SS</t>
    <phoneticPr fontId="35" type="noConversion"/>
  </si>
  <si>
    <t>T-N</t>
    <phoneticPr fontId="35" type="noConversion"/>
  </si>
  <si>
    <t>T-P</t>
    <phoneticPr fontId="35" type="noConversion"/>
  </si>
  <si>
    <t>① 기존 하수도 정비 기본계획</t>
    <phoneticPr fontId="35" type="noConversion"/>
  </si>
  <si>
    <t>부하량 = 유량 x 수질</t>
    <phoneticPr fontId="35" type="noConversion"/>
  </si>
  <si>
    <t>② 분뇨운영현황평균(2012~2014년)</t>
    <phoneticPr fontId="35" type="noConversion"/>
  </si>
  <si>
    <t xml:space="preserve">    운영현황 75% (2012~2014년)</t>
    <phoneticPr fontId="35" type="noConversion"/>
  </si>
  <si>
    <t>수질 = 부하량/유량</t>
    <phoneticPr fontId="35" type="noConversion"/>
  </si>
  <si>
    <t>③ 기술진단시 연계처리계획 (2013년)</t>
    <phoneticPr fontId="35" type="noConversion"/>
  </si>
  <si>
    <t>④ 적용</t>
    <phoneticPr fontId="35" type="noConversion"/>
  </si>
  <si>
    <t>나. 금왕분뇨처리수 (기존)</t>
    <phoneticPr fontId="35" type="noConversion"/>
  </si>
  <si>
    <t>유량
(㎥/일)</t>
    <phoneticPr fontId="35" type="noConversion"/>
  </si>
  <si>
    <t>수질(㎎/L)</t>
    <phoneticPr fontId="35" type="noConversion"/>
  </si>
  <si>
    <t>부하량(kg/일)</t>
    <phoneticPr fontId="35" type="noConversion"/>
  </si>
  <si>
    <t>비고</t>
    <phoneticPr fontId="35" type="noConversion"/>
  </si>
  <si>
    <t>② 운영현황평균(2015~2017년)</t>
    <phoneticPr fontId="35" type="noConversion"/>
  </si>
  <si>
    <t xml:space="preserve">   운영현황75%(2015~2017년)</t>
    <phoneticPr fontId="35" type="noConversion"/>
  </si>
  <si>
    <t>③ 금왕 하수도정비 부분변경(2016.12)</t>
    <phoneticPr fontId="35" type="noConversion"/>
  </si>
  <si>
    <t>다. 금왕분뇨처리수 (기존)</t>
    <phoneticPr fontId="35" type="noConversion"/>
  </si>
  <si>
    <t>① 분뇨처리시설 설계</t>
    <phoneticPr fontId="35" type="noConversion"/>
  </si>
  <si>
    <t>1) 음성분뇨 처리수</t>
    <phoneticPr fontId="7" type="noConversion"/>
  </si>
  <si>
    <t>'14</t>
    <phoneticPr fontId="7" type="noConversion"/>
  </si>
  <si>
    <t>2) 금왕분뇨처리수</t>
    <phoneticPr fontId="7" type="noConversion"/>
  </si>
  <si>
    <r>
      <t>2009</t>
    </r>
    <r>
      <rPr>
        <sz val="10.5"/>
        <color rgb="FF000000"/>
        <rFont val="돋움"/>
        <family val="3"/>
        <charset val="129"/>
      </rPr>
      <t>년</t>
    </r>
  </si>
  <si>
    <r>
      <t>2010</t>
    </r>
    <r>
      <rPr>
        <sz val="10.5"/>
        <color rgb="FF000000"/>
        <rFont val="돋움"/>
        <family val="3"/>
        <charset val="129"/>
      </rPr>
      <t>년</t>
    </r>
  </si>
  <si>
    <r>
      <t>2011</t>
    </r>
    <r>
      <rPr>
        <sz val="10.5"/>
        <color rgb="FF000000"/>
        <rFont val="돋움"/>
        <family val="3"/>
        <charset val="129"/>
      </rPr>
      <t>년</t>
    </r>
  </si>
  <si>
    <r>
      <t>2012</t>
    </r>
    <r>
      <rPr>
        <sz val="10.5"/>
        <color rgb="FF000000"/>
        <rFont val="돋움"/>
        <family val="3"/>
        <charset val="129"/>
      </rPr>
      <t>년</t>
    </r>
  </si>
  <si>
    <t>평 균</t>
  </si>
  <si>
    <t>금왕하수처리시설</t>
  </si>
  <si>
    <t>연계처리량</t>
  </si>
  <si>
    <r>
      <t xml:space="preserve">38.0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</si>
  <si>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 xml:space="preserve">34.7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</si>
  <si>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 xml:space="preserve">29.2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</si>
  <si>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 xml:space="preserve">28.2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</si>
  <si>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 xml:space="preserve">32.5 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</si>
  <si>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t>'14</t>
  </si>
  <si>
    <t>'15</t>
  </si>
  <si>
    <t>3) 금왕 슬러지 처리수</t>
    <phoneticPr fontId="7" type="noConversion"/>
  </si>
  <si>
    <r>
      <t>2013</t>
    </r>
    <r>
      <rPr>
        <sz val="10.5"/>
        <color rgb="FF000000"/>
        <rFont val="돋움"/>
        <family val="3"/>
        <charset val="129"/>
      </rPr>
      <t>년</t>
    </r>
  </si>
  <si>
    <r>
      <t>2014</t>
    </r>
    <r>
      <rPr>
        <sz val="10.5"/>
        <color rgb="FF000000"/>
        <rFont val="돋움"/>
        <family val="3"/>
        <charset val="129"/>
      </rPr>
      <t>년</t>
    </r>
  </si>
  <si>
    <r>
      <t>2015</t>
    </r>
    <r>
      <rPr>
        <sz val="10.5"/>
        <color rgb="FF000000"/>
        <rFont val="돋움"/>
        <family val="3"/>
        <charset val="129"/>
      </rPr>
      <t>년</t>
    </r>
  </si>
  <si>
    <r>
      <t>2016</t>
    </r>
    <r>
      <rPr>
        <sz val="10.5"/>
        <color rgb="FF000000"/>
        <rFont val="돋움"/>
        <family val="3"/>
        <charset val="129"/>
      </rPr>
      <t>년</t>
    </r>
  </si>
  <si>
    <r>
      <t>359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</si>
  <si>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>316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</si>
  <si>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>340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</si>
  <si>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>301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</si>
  <si>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r>
      <t>327</t>
    </r>
    <r>
      <rPr>
        <sz val="10"/>
        <color rgb="FF000000"/>
        <rFont val="돋움"/>
        <family val="3"/>
        <charset val="129"/>
      </rPr>
      <t>㎥</t>
    </r>
    <r>
      <rPr>
        <sz val="10"/>
        <color rgb="FF000000"/>
        <rFont val="-윤고딕120"/>
        <family val="3"/>
        <charset val="129"/>
      </rPr>
      <t>/</t>
    </r>
    <r>
      <rPr>
        <sz val="10"/>
        <color rgb="FF000000"/>
        <rFont val="돋움"/>
        <family val="3"/>
        <charset val="129"/>
      </rPr>
      <t>일</t>
    </r>
  </si>
  <si>
    <t xml:space="preserve"> 자료) 운영자료</t>
    <phoneticPr fontId="35" type="noConversion"/>
  </si>
  <si>
    <t>2.4 환경 기초시설 연계처리량</t>
    <phoneticPr fontId="7" type="noConversion"/>
  </si>
  <si>
    <t>2.5 기타오수량</t>
    <phoneticPr fontId="7" type="noConversion"/>
  </si>
  <si>
    <t>2.5.1 극동대학교</t>
  </si>
  <si>
    <t>2.5.2 강동대학교</t>
  </si>
  <si>
    <t>2.5.3 2580-3부대</t>
  </si>
  <si>
    <t>2.5.4 1891 부대</t>
  </si>
  <si>
    <t>2.5.5 9715 부대</t>
  </si>
  <si>
    <t>2.5.6  6032,7252부대</t>
  </si>
  <si>
    <t>처리구역내
급수인구(명)</t>
    <phoneticPr fontId="7" type="noConversion"/>
  </si>
  <si>
    <t>지하수
유입량 
원단위</t>
    <phoneticPr fontId="7" type="noConversion"/>
  </si>
  <si>
    <t>2035년</t>
    <phoneticPr fontId="7" type="noConversion"/>
  </si>
  <si>
    <t>맹동면</t>
    <phoneticPr fontId="7" type="noConversion"/>
  </si>
  <si>
    <t xml:space="preserve">  마. 맹동 공공하수처리시설 원단위 검토(신규)</t>
    <phoneticPr fontId="7" type="noConversion"/>
  </si>
  <si>
    <t>급수인구</t>
    <phoneticPr fontId="7" type="noConversion"/>
  </si>
  <si>
    <t xml:space="preserve">   2) 유효 무수수량 원단위</t>
    <phoneticPr fontId="7" type="noConversion"/>
  </si>
  <si>
    <t>상수도사용량 
원단위 (ℓ/인·일)</t>
    <phoneticPr fontId="7" type="noConversion"/>
  </si>
  <si>
    <t>생극면</t>
    <phoneticPr fontId="7" type="noConversion"/>
  </si>
  <si>
    <t>생극면</t>
    <phoneticPr fontId="7" type="noConversion"/>
  </si>
  <si>
    <t xml:space="preserve">   4) 실시설계 상수도 사용량 원단위와 비교</t>
    <phoneticPr fontId="7" type="noConversion"/>
  </si>
  <si>
    <t>실시설계</t>
    <phoneticPr fontId="7" type="noConversion"/>
  </si>
  <si>
    <t>본 계획</t>
    <phoneticPr fontId="7" type="noConversion"/>
  </si>
  <si>
    <t xml:space="preserve">   5) 상수도 사용량 원단위 결정</t>
    <phoneticPr fontId="7" type="noConversion"/>
  </si>
  <si>
    <t xml:space="preserve">맹동 </t>
    <phoneticPr fontId="7" type="noConversion"/>
  </si>
  <si>
    <t>급수 원단위
(ℓ/인·일)</t>
    <phoneticPr fontId="7" type="noConversion"/>
  </si>
  <si>
    <t>지하수 사용량
(㎥/년)</t>
    <phoneticPr fontId="7" type="noConversion"/>
  </si>
  <si>
    <t>당초 대비 증설용량
(㎥/일, 일최대)</t>
    <phoneticPr fontId="7" type="noConversion"/>
  </si>
  <si>
    <t>2020년</t>
    <phoneticPr fontId="7" type="noConversion"/>
  </si>
  <si>
    <t>2025년</t>
    <phoneticPr fontId="7" type="noConversion"/>
  </si>
  <si>
    <t>처리인구(인)</t>
    <phoneticPr fontId="7" type="noConversion"/>
  </si>
  <si>
    <t>하수량(㎥/일)</t>
    <phoneticPr fontId="7" type="noConversion"/>
  </si>
  <si>
    <t>쌍정리 1,4,5리</t>
    <phoneticPr fontId="7" type="noConversion"/>
  </si>
  <si>
    <t>쌍정3리 추가</t>
    <phoneticPr fontId="7" type="noConversion"/>
  </si>
  <si>
    <t>신축
공동주택</t>
    <phoneticPr fontId="7" type="noConversion"/>
  </si>
  <si>
    <t>처리구역 내</t>
    <phoneticPr fontId="7" type="noConversion"/>
  </si>
  <si>
    <t>처리구역
 인근</t>
    <phoneticPr fontId="7" type="noConversion"/>
  </si>
  <si>
    <t>소계</t>
    <phoneticPr fontId="7" type="noConversion"/>
  </si>
  <si>
    <t>추가지역 반영 안</t>
    <phoneticPr fontId="7" type="noConversion"/>
  </si>
  <si>
    <t>비고</t>
    <phoneticPr fontId="7" type="noConversion"/>
  </si>
  <si>
    <t>당초 설계안</t>
    <phoneticPr fontId="7" type="noConversion"/>
  </si>
  <si>
    <t>맹동 신축 공동주택</t>
    <phoneticPr fontId="7" type="noConversion"/>
  </si>
  <si>
    <t>맹동STP</t>
    <phoneticPr fontId="7" type="noConversion"/>
  </si>
  <si>
    <t>2.5.7  맹동 신축 공공주택</t>
    <phoneticPr fontId="7" type="noConversion"/>
  </si>
  <si>
    <t>보고 자료</t>
    <phoneticPr fontId="7" type="noConversion"/>
  </si>
  <si>
    <t>문헌자료
적용</t>
    <phoneticPr fontId="7" type="noConversion"/>
  </si>
  <si>
    <t>기타 소규모</t>
    <phoneticPr fontId="7" type="noConversion"/>
  </si>
  <si>
    <t xml:space="preserve"> 자료) 하수량 검토자료</t>
    <phoneticPr fontId="35" type="noConversion"/>
  </si>
  <si>
    <t>기반영</t>
    <phoneticPr fontId="7" type="noConversion"/>
  </si>
  <si>
    <t>적용 기타 하수량</t>
    <phoneticPr fontId="7" type="noConversion"/>
  </si>
  <si>
    <t>하수량
(㎥/일, 일최대)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</si>
</sst>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0">
    <numFmt numFmtId="5" formatCode="&quot;₩&quot;#,##0;\-&quot;₩&quot;#,##0"/>
    <numFmt numFmtId="7" formatCode="&quot;₩&quot;#,##0.00;\-&quot;₩&quot;#,##0.00"/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0_ "/>
    <numFmt numFmtId="177" formatCode="0.0_ "/>
    <numFmt numFmtId="178" formatCode="_-* #,##0_-;\-* #,##0_-;_-* &quot;-&quot;??_-;_-@_-"/>
    <numFmt numFmtId="179" formatCode="#,##0_ "/>
    <numFmt numFmtId="180" formatCode="0.0%"/>
    <numFmt numFmtId="181" formatCode="#,##0.0_ "/>
    <numFmt numFmtId="182" formatCode="0_ "/>
    <numFmt numFmtId="183" formatCode="_-* #,##0.0_-;\-* #,##0.0_-;_-* &quot;-&quot;_-;_-@_-"/>
    <numFmt numFmtId="184" formatCode="_-* #,##0.00_-;\-* #,##0.00_-;_-* &quot;-&quot;_-;_-@_-"/>
    <numFmt numFmtId="185" formatCode="#,##0;[Red]&quot;-&quot;#,##0"/>
    <numFmt numFmtId="186" formatCode="#,##0.00000"/>
    <numFmt numFmtId="187" formatCode="_ * #,##0_ ;_ * \-#,##0_ ;_ * &quot;-&quot;_ ;_ @_ "/>
    <numFmt numFmtId="188" formatCode="_ * #,##0.00_ ;_ * \-#,##0.00_ ;_ * &quot;-&quot;??_ ;_ @_ "/>
    <numFmt numFmtId="189" formatCode="&quot;₩&quot;#,##0;&quot;₩&quot;&quot;₩&quot;&quot;₩&quot;&quot;₩&quot;&quot;₩&quot;&quot;₩&quot;&quot;₩&quot;&quot;₩&quot;\-#,##0"/>
    <numFmt numFmtId="190" formatCode="&quot;₩&quot;#,##0.00;&quot;₩&quot;&quot;₩&quot;&quot;₩&quot;&quot;₩&quot;&quot;₩&quot;&quot;₩&quot;&quot;₩&quot;&quot;₩&quot;\-#,##0.00"/>
    <numFmt numFmtId="191" formatCode="0.0_);[Red]\(0.0\)"/>
    <numFmt numFmtId="192" formatCode="#,##0.00;[Red]&quot;-&quot;#,##0.00"/>
    <numFmt numFmtId="193" formatCode="&quot;₩&quot;#,##0"/>
    <numFmt numFmtId="194" formatCode="&quot;₩&quot;#,##0.00;[Red]&quot;₩&quot;\-#,##0.00"/>
    <numFmt numFmtId="195" formatCode="_ &quot;₩&quot;* #,##0_ ;_ &quot;₩&quot;* \-#,##0_ ;_ &quot;₩&quot;* &quot;-&quot;_ ;_ @_ "/>
    <numFmt numFmtId="196" formatCode="&quot;$&quot;#,##0_);[Red]\(&quot;$&quot;#,##0\)"/>
    <numFmt numFmtId="197" formatCode="&quot;₩&quot;#,##0;[Red]&quot;₩&quot;\-#,##0"/>
    <numFmt numFmtId="198" formatCode="_ &quot;₩&quot;* #,##0.00_ ;_ &quot;₩&quot;* \-#,##0.00_ ;_ &quot;₩&quot;* &quot;-&quot;??_ ;_ @_ "/>
    <numFmt numFmtId="199" formatCode="&quot;$&quot;#,##0.00_);[Red]\(&quot;$&quot;#,##0.00\)"/>
    <numFmt numFmtId="200" formatCode="_-* #,##0.0_-;\-* #,##0.0_-;_-* &quot;-&quot;??_-;_-@_-"/>
    <numFmt numFmtId="201" formatCode="#,##0_);[Red]\(#,##0\)"/>
    <numFmt numFmtId="202" formatCode="#."/>
    <numFmt numFmtId="203" formatCode="0.00\ &quot;)&quot;"/>
    <numFmt numFmtId="204" formatCode="0.00\ &quot;)]&quot;"/>
    <numFmt numFmtId="205" formatCode="0.000\ &quot;²&quot;"/>
    <numFmt numFmtId="206" formatCode="&quot;(&quot;\ 0.00"/>
    <numFmt numFmtId="207" formatCode="&quot;[(&quot;\ 0.00"/>
    <numFmt numFmtId="208" formatCode="_ * #,##0_ ;_ * &quot;₩&quot;&quot;₩&quot;&quot;₩&quot;&quot;₩&quot;\-#,##0_ ;_ * &quot;-&quot;_ ;_ @_ "/>
    <numFmt numFmtId="209" formatCode="#,##0.00_ "/>
    <numFmt numFmtId="210" formatCode="yyyy&quot;年&quot;&quot;₩&quot;&quot;₩&quot;&quot;₩&quot;&quot;₩&quot;\ mm&quot;月&quot;&quot;₩&quot;&quot;₩&quot;&quot;₩&quot;&quot;₩&quot;\ dd&quot;日&quot;"/>
    <numFmt numFmtId="211" formatCode="&quot;₩&quot;\!\$#,##0&quot;₩&quot;\!\ ;&quot;₩&quot;\!\(&quot;₩&quot;\!\$#,##0&quot;₩&quot;\!\)"/>
    <numFmt numFmtId="212" formatCode="#,##0.0000000;[Red]&quot;-&quot;#,##0.0000000"/>
    <numFmt numFmtId="213" formatCode="#,##0.0;[Red]\(#,##0.0\)"/>
    <numFmt numFmtId="214" formatCode="#,##0.000000000;[Red]&quot;-&quot;#,##0.000000000"/>
    <numFmt numFmtId="215" formatCode="0\ &quot;EA&quot;"/>
    <numFmt numFmtId="216" formatCode="#,000"/>
    <numFmt numFmtId="217" formatCode="0\ &quot;t&quot;"/>
    <numFmt numFmtId="218" formatCode="#,##0;[Red]\(#,##0\)"/>
    <numFmt numFmtId="219" formatCode="#,##0_ ;[Red]\-#,##0\ "/>
    <numFmt numFmtId="220" formatCode="General&quot;년&quot;"/>
    <numFmt numFmtId="221" formatCode="0_ ;[Red]\-0\ "/>
    <numFmt numFmtId="222" formatCode="0.00_ ;[Red]\-0.00\ "/>
    <numFmt numFmtId="223" formatCode="#,##0_);\(#,##0\)"/>
    <numFmt numFmtId="224" formatCode="General\ &quot;%&quot;"/>
    <numFmt numFmtId="225" formatCode="&quot;avr=&quot;\ General\ &quot;%&quot;"/>
    <numFmt numFmtId="226" formatCode="#,##0.000000"/>
    <numFmt numFmtId="227" formatCode="0.000000_ "/>
    <numFmt numFmtId="228" formatCode="0.00000_ "/>
    <numFmt numFmtId="229" formatCode="&quot;= &quot;#,###.00000"/>
    <numFmt numFmtId="230" formatCode="&quot;(≒ &quot;#,###&quot;인)&quot;"/>
    <numFmt numFmtId="231" formatCode="#.00"/>
    <numFmt numFmtId="232" formatCode="%#.00"/>
    <numFmt numFmtId="233" formatCode="#,##0."/>
    <numFmt numFmtId="234" formatCode="#,##0.00\ ;\(#,##0.00\);\ \-\ "/>
    <numFmt numFmtId="235" formatCode="#,##0.0\ ;\(#,##0.0\);&quot;-&quot;\ "/>
    <numFmt numFmtId="236" formatCode="\$#.00"/>
    <numFmt numFmtId="237" formatCode="\$#."/>
    <numFmt numFmtId="238" formatCode="_(&quot;$&quot;* #,##0.0_);_(&quot;$&quot;* \(#,##0.0\);_(&quot;$&quot;* &quot;-&quot;??_);_(@_)"/>
    <numFmt numFmtId="239" formatCode="&quot;R$&quot;#,##0.00;&quot;R$&quot;\-#,##0.00"/>
    <numFmt numFmtId="240" formatCode="#,##0.000000000;[Red]\-#,##0.000000000"/>
    <numFmt numFmtId="241" formatCode="#,##0.0_);[Red]\(#,##0.0\)"/>
    <numFmt numFmtId="242" formatCode="#,##0.00_);[Red]\(#,##0.00\)"/>
    <numFmt numFmtId="243" formatCode="0_);[Red]\(0\)"/>
    <numFmt numFmtId="244" formatCode="0.0"/>
    <numFmt numFmtId="245" formatCode="0&quot;인&quot;"/>
    <numFmt numFmtId="246" formatCode="_-* #,##0_-;&quot;₩&quot;\!\-* #,##0_-;_-* &quot;-&quot;_-;_-@_-"/>
    <numFmt numFmtId="247" formatCode="_-* #,##0.0_-;\-* #,##0.0_-;_-* &quot;-&quot;?_-;_-@_-"/>
    <numFmt numFmtId="248" formatCode="_-* #,##0_-;&quot;₩&quot;&quot;₩&quot;&quot;₩&quot;&quot;₩&quot;&quot;₩&quot;\!\!\!\!\!\-* #,##0_-;_-* &quot;-&quot;_-;_-@_-"/>
    <numFmt numFmtId="249" formatCode="_-* #,##0_-;&quot;₩&quot;&quot;₩&quot;&quot;₩&quot;\!\!\!\-* #,##0_-;_-* &quot;-&quot;_-;_-@_-"/>
    <numFmt numFmtId="250" formatCode="_-* #,##0.000_-;\-* #,##0.000_-;_-* &quot;-&quot;???_-;_-@_-"/>
    <numFmt numFmtId="251" formatCode="0.000"/>
    <numFmt numFmtId="252" formatCode="0.000_);[Red]\(0.000\)"/>
    <numFmt numFmtId="253" formatCode="0.000_ "/>
    <numFmt numFmtId="254" formatCode="#,##0.000_ "/>
    <numFmt numFmtId="255" formatCode="#,##0.000_);[Red]\(#,##0.000\)"/>
    <numFmt numFmtId="256" formatCode="#,##0.0"/>
    <numFmt numFmtId="257" formatCode="_-[$€-2]* #,##0.00_-;\-[$€-2]* #,##0.00_-;_-[$€-2]* &quot;-&quot;??_-"/>
    <numFmt numFmtId="258" formatCode="#,##0;[Red]&quot;△&quot;#,##0"/>
    <numFmt numFmtId="259" formatCode="_-* #,##0.000_-;\-* #,##0.000_-;_-* &quot;-&quot;_-;_-@_-"/>
    <numFmt numFmtId="260" formatCode="mm&quot;월&quot;\ dd&quot;일&quot;"/>
  </numFmts>
  <fonts count="226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sz val="10"/>
      <name val="Times New Roman"/>
      <family val="1"/>
    </font>
    <font>
      <sz val="10"/>
      <name val="돋움체"/>
      <family val="3"/>
      <charset val="129"/>
    </font>
    <font>
      <sz val="10"/>
      <name val="Arial"/>
      <family val="2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2"/>
      <name val="명조"/>
      <family val="3"/>
      <charset val="129"/>
    </font>
    <font>
      <u/>
      <sz val="11"/>
      <color indexed="36"/>
      <name val="돋움"/>
      <family val="3"/>
      <charset val="129"/>
    </font>
    <font>
      <sz val="12"/>
      <name val="뼻뮝"/>
      <family val="3"/>
      <charset val="129"/>
    </font>
    <font>
      <sz val="12"/>
      <name val="바탕체"/>
      <family val="1"/>
      <charset val="129"/>
    </font>
    <font>
      <sz val="12"/>
      <name val="¹UAAA¼"/>
      <family val="3"/>
      <charset val="129"/>
    </font>
    <font>
      <sz val="9"/>
      <name val="돋움"/>
      <family val="3"/>
      <charset val="129"/>
    </font>
    <font>
      <sz val="11"/>
      <color indexed="8"/>
      <name val="맑은 고딕"/>
      <family val="3"/>
      <charset val="129"/>
    </font>
    <font>
      <sz val="12"/>
      <name val="¸íÁ¶"/>
      <family val="3"/>
      <charset val="129"/>
    </font>
    <font>
      <sz val="12"/>
      <name val="¸iA¶"/>
      <family val="3"/>
      <charset val="129"/>
    </font>
    <font>
      <sz val="11"/>
      <name val="µ¸¿ò"/>
      <family val="3"/>
      <charset val="129"/>
    </font>
    <font>
      <sz val="12"/>
      <name val="¹ÙÅÁÃ¼"/>
      <family val="1"/>
      <charset val="129"/>
    </font>
    <font>
      <sz val="10"/>
      <name val="Geneva"/>
      <family val="2"/>
    </font>
    <font>
      <sz val="11"/>
      <name val="μ¸¿o"/>
      <family val="3"/>
      <charset val="129"/>
    </font>
    <font>
      <sz val="12"/>
      <name val="±¼¸²A¼"/>
      <family val="3"/>
      <charset val="129"/>
    </font>
    <font>
      <sz val="12"/>
      <name val="±¼¸²Ã¼"/>
      <family val="3"/>
      <charset val="129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8"/>
      <name val="맑은 고딕"/>
      <family val="3"/>
      <charset val="129"/>
    </font>
    <font>
      <sz val="1"/>
      <color indexed="8"/>
      <name val="맑은 고딕"/>
      <family val="3"/>
      <charset val="129"/>
    </font>
    <font>
      <sz val="10"/>
      <name val="바탕"/>
      <family val="1"/>
      <charset val="129"/>
    </font>
    <font>
      <sz val="10"/>
      <color indexed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"/>
      <color indexed="8"/>
      <name val="맑은 고딕"/>
      <family val="3"/>
      <charset val="129"/>
    </font>
    <font>
      <sz val="10"/>
      <color indexed="8"/>
      <name val="돋움"/>
      <family val="3"/>
      <charset val="129"/>
    </font>
    <font>
      <sz val="11"/>
      <color indexed="10"/>
      <name val="돋움"/>
      <family val="3"/>
      <charset val="129"/>
    </font>
    <font>
      <sz val="10"/>
      <name val="가는으뜸체"/>
      <family val="1"/>
      <charset val="129"/>
    </font>
    <font>
      <b/>
      <sz val="10"/>
      <name val="가는으뜸체"/>
      <family val="1"/>
      <charset val="129"/>
    </font>
    <font>
      <sz val="8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"/>
      <color indexed="16"/>
      <name val="Courier"/>
      <family val="3"/>
    </font>
    <font>
      <sz val="14"/>
      <name val="뼻뮝"/>
      <family val="3"/>
      <charset val="129"/>
    </font>
    <font>
      <sz val="11"/>
      <name val="굴림체"/>
      <family val="3"/>
      <charset val="129"/>
    </font>
    <font>
      <b/>
      <sz val="12"/>
      <color indexed="16"/>
      <name val="굴림체"/>
      <family val="3"/>
      <charset val="129"/>
    </font>
    <font>
      <sz val="9"/>
      <name val="Arial"/>
      <family val="2"/>
    </font>
    <font>
      <sz val="11"/>
      <name val="굴림"/>
      <family val="3"/>
      <charset val="129"/>
    </font>
    <font>
      <sz val="12"/>
      <name val="굴림체"/>
      <family val="3"/>
      <charset val="129"/>
    </font>
    <font>
      <sz val="10"/>
      <name val="MS Sans Serif"/>
      <family val="2"/>
    </font>
    <font>
      <b/>
      <sz val="10"/>
      <name val="Helv"/>
      <family val="2"/>
    </font>
    <font>
      <sz val="10"/>
      <color indexed="24"/>
      <name val="Arial"/>
      <family val="2"/>
    </font>
    <font>
      <sz val="8"/>
      <name val="Arial"/>
      <family val="2"/>
    </font>
    <font>
      <b/>
      <sz val="12"/>
      <name val="Helv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name val="Helv"/>
      <family val="2"/>
    </font>
    <font>
      <b/>
      <u/>
      <sz val="13"/>
      <name val="굴림체"/>
      <family val="3"/>
      <charset val="129"/>
    </font>
    <font>
      <b/>
      <sz val="10"/>
      <color indexed="8"/>
      <name val="돋움"/>
      <family val="3"/>
      <charset val="129"/>
    </font>
    <font>
      <sz val="10"/>
      <color indexed="10"/>
      <name val="돋움"/>
      <family val="3"/>
      <charset val="129"/>
    </font>
    <font>
      <sz val="8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indexed="10"/>
      <name val="맑은 고딕"/>
      <family val="3"/>
      <charset val="129"/>
      <scheme val="minor"/>
    </font>
    <font>
      <b/>
      <sz val="14"/>
      <color indexed="8"/>
      <name val="맑은 고딕"/>
      <family val="3"/>
      <charset val="129"/>
      <scheme val="minor"/>
    </font>
    <font>
      <b/>
      <sz val="13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3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10"/>
      <color indexed="9"/>
      <name val="맑은 고딕"/>
      <family val="3"/>
      <charset val="129"/>
      <scheme val="major"/>
    </font>
    <font>
      <sz val="7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sz val="8"/>
      <color indexed="9"/>
      <name val="맑은 고딕"/>
      <family val="3"/>
      <charset val="129"/>
      <scheme val="major"/>
    </font>
    <font>
      <b/>
      <sz val="8"/>
      <name val="맑은 고딕"/>
      <family val="3"/>
      <charset val="129"/>
      <scheme val="major"/>
    </font>
    <font>
      <vertAlign val="subscript"/>
      <sz val="8"/>
      <name val="맑은 고딕"/>
      <family val="3"/>
      <charset val="129"/>
    </font>
    <font>
      <vertAlign val="superscript"/>
      <sz val="8"/>
      <name val="맑은 고딕"/>
      <family val="3"/>
      <charset val="129"/>
    </font>
    <font>
      <sz val="8"/>
      <color rgb="FFFF0000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0.5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i/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1"/>
      <color indexed="8"/>
      <name val="Courier"/>
      <family val="3"/>
    </font>
    <font>
      <sz val="11"/>
      <color indexed="8"/>
      <name val="돋움"/>
      <family val="3"/>
      <charset val="129"/>
    </font>
    <font>
      <b/>
      <sz val="1"/>
      <color indexed="8"/>
      <name val="Courier"/>
      <family val="3"/>
    </font>
    <font>
      <sz val="11"/>
      <name val="HY신명조"/>
      <family val="1"/>
      <charset val="129"/>
    </font>
    <font>
      <sz val="1"/>
      <color indexed="0"/>
      <name val="Courier"/>
      <family val="3"/>
    </font>
    <font>
      <sz val="10"/>
      <name val="바탕체"/>
      <family val="1"/>
      <charset val="129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1"/>
      <color theme="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18"/>
      <color theme="3"/>
      <name val="맑은 고딕"/>
      <family val="3"/>
      <charset val="129"/>
      <scheme val="major"/>
    </font>
    <font>
      <u/>
      <sz val="11"/>
      <color indexed="12"/>
      <name val="돋움"/>
      <family val="3"/>
      <charset val="129"/>
    </font>
    <font>
      <sz val="10"/>
      <color theme="1"/>
      <name val="돋움"/>
      <family val="3"/>
      <charset val="129"/>
    </font>
    <font>
      <b/>
      <sz val="14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i/>
      <sz val="10"/>
      <color theme="1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rgb="FF0000CC"/>
      <name val="Times New Roman"/>
      <family val="1"/>
    </font>
    <font>
      <b/>
      <sz val="10"/>
      <color theme="1"/>
      <name val="맑은 고딕"/>
      <family val="3"/>
      <charset val="129"/>
      <scheme val="major"/>
    </font>
    <font>
      <sz val="10"/>
      <color indexed="8"/>
      <name val="한양신명조"/>
      <family val="3"/>
      <charset val="129"/>
    </font>
    <font>
      <b/>
      <sz val="11"/>
      <name val="돋움"/>
      <family val="3"/>
      <charset val="129"/>
    </font>
    <font>
      <sz val="10"/>
      <color rgb="FF000000"/>
      <name val="맑은 고딕"/>
      <family val="3"/>
      <charset val="129"/>
      <scheme val="major"/>
    </font>
    <font>
      <b/>
      <sz val="10.5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0.5"/>
      <color rgb="FF000000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b/>
      <i/>
      <sz val="10"/>
      <color theme="1"/>
      <name val="맑은 고딕"/>
      <family val="3"/>
      <charset val="129"/>
      <scheme val="major"/>
    </font>
    <font>
      <b/>
      <sz val="10"/>
      <color rgb="FF000000"/>
      <name val="맑은 고딕"/>
      <family val="3"/>
      <charset val="129"/>
      <scheme val="major"/>
    </font>
    <font>
      <vertAlign val="superscript"/>
      <sz val="10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8"/>
      <name val="HY그래픽"/>
      <family val="1"/>
      <charset val="129"/>
    </font>
    <font>
      <sz val="9"/>
      <name val="맑은 고딕"/>
      <family val="3"/>
      <charset val="129"/>
    </font>
    <font>
      <sz val="9"/>
      <color indexed="12"/>
      <name val="맑은 고딕"/>
      <family val="3"/>
      <charset val="129"/>
    </font>
    <font>
      <b/>
      <sz val="9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vertAlign val="superscript"/>
      <sz val="9"/>
      <name val="맑은 고딕"/>
      <family val="3"/>
      <charset val="129"/>
      <scheme val="minor"/>
    </font>
    <font>
      <sz val="11"/>
      <color rgb="FFFFFFFF"/>
      <name val="돋움"/>
      <family val="3"/>
      <charset val="129"/>
    </font>
    <font>
      <sz val="11"/>
      <color rgb="FFFFFFFF"/>
      <name val="-윤명조130"/>
      <family val="3"/>
      <charset val="129"/>
    </font>
    <font>
      <sz val="11"/>
      <color rgb="FF000000"/>
      <name val="돋움"/>
      <family val="3"/>
      <charset val="129"/>
    </font>
    <font>
      <sz val="11"/>
      <color rgb="FF000000"/>
      <name val="-윤명조120"/>
      <family val="3"/>
      <charset val="129"/>
    </font>
    <font>
      <b/>
      <sz val="11"/>
      <color rgb="FF000000"/>
      <name val="돋움"/>
      <family val="3"/>
      <charset val="129"/>
    </font>
    <font>
      <b/>
      <sz val="11"/>
      <color rgb="FF000000"/>
      <name val="한양신명조"/>
      <family val="3"/>
      <charset val="129"/>
    </font>
    <font>
      <sz val="11"/>
      <color rgb="FF000000"/>
      <name val="한양신명조"/>
      <family val="3"/>
      <charset val="129"/>
    </font>
    <font>
      <b/>
      <sz val="12"/>
      <name val="돋움"/>
      <family val="3"/>
      <charset val="129"/>
    </font>
    <font>
      <sz val="9"/>
      <name val="굴림"/>
      <family val="3"/>
      <charset val="129"/>
    </font>
    <font>
      <sz val="9"/>
      <color theme="1"/>
      <name val="돋움"/>
      <family val="3"/>
      <charset val="129"/>
    </font>
    <font>
      <vertAlign val="superscript"/>
      <sz val="9"/>
      <color indexed="8"/>
      <name val="돋움"/>
      <family val="3"/>
      <charset val="129"/>
    </font>
    <font>
      <sz val="9"/>
      <color indexed="8"/>
      <name val="돋움"/>
      <family val="3"/>
      <charset val="129"/>
    </font>
    <font>
      <sz val="9"/>
      <color rgb="FF000000"/>
      <name val="돋움"/>
      <family val="3"/>
      <charset val="129"/>
    </font>
    <font>
      <sz val="11"/>
      <color theme="1"/>
      <name val="돋움"/>
      <family val="3"/>
      <charset val="129"/>
    </font>
    <font>
      <sz val="10"/>
      <name val="굴림"/>
      <family val="3"/>
      <charset val="129"/>
    </font>
    <font>
      <b/>
      <sz val="10"/>
      <name val="돋움"/>
      <family val="3"/>
      <charset val="129"/>
    </font>
    <font>
      <b/>
      <sz val="10.5"/>
      <color rgb="FF000000"/>
      <name val="돋움"/>
      <family val="3"/>
      <charset val="129"/>
    </font>
    <font>
      <b/>
      <sz val="10.5"/>
      <color rgb="FF000000"/>
      <name val="HY신명조"/>
      <family val="1"/>
      <charset val="129"/>
    </font>
    <font>
      <sz val="10.5"/>
      <color rgb="FF000000"/>
      <name val="돋움"/>
      <family val="3"/>
      <charset val="129"/>
    </font>
    <font>
      <sz val="10.5"/>
      <color rgb="FF000000"/>
      <name val="HY신명조"/>
      <family val="1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b/>
      <sz val="8"/>
      <name val="돋움"/>
      <family val="3"/>
      <charset val="129"/>
    </font>
    <font>
      <vertAlign val="superscript"/>
      <sz val="8"/>
      <name val="돋움"/>
      <family val="3"/>
      <charset val="129"/>
    </font>
    <font>
      <b/>
      <sz val="15"/>
      <color theme="1"/>
      <name val="맑은 고딕"/>
      <family val="3"/>
      <charset val="129"/>
      <scheme val="minor"/>
    </font>
    <font>
      <sz val="10"/>
      <color indexed="12"/>
      <name val="맑은 고딕"/>
      <family val="3"/>
      <charset val="129"/>
      <scheme val="minor"/>
    </font>
    <font>
      <vertAlign val="superscript"/>
      <sz val="10"/>
      <color indexed="8"/>
      <name val="맑은 고딕"/>
      <family val="3"/>
      <charset val="129"/>
      <scheme val="minor"/>
    </font>
    <font>
      <sz val="9"/>
      <color rgb="FF606060"/>
      <name val="돋움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1"/>
      <color rgb="FFFF0000"/>
      <name val="돋움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9.5"/>
      <color indexed="8"/>
      <name val="맑은 고딕"/>
      <family val="3"/>
      <charset val="129"/>
    </font>
    <font>
      <sz val="9.5"/>
      <name val="맑은 고딕"/>
      <family val="3"/>
      <charset val="129"/>
    </font>
    <font>
      <b/>
      <sz val="16"/>
      <color theme="1"/>
      <name val="맑은 고딕"/>
      <family val="3"/>
      <charset val="129"/>
      <scheme val="minor"/>
    </font>
    <font>
      <sz val="13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8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3"/>
      <name val="맑은 고딕"/>
      <family val="3"/>
      <charset val="129"/>
      <scheme val="minor"/>
    </font>
    <font>
      <sz val="13"/>
      <color rgb="FFFF0000"/>
      <name val="맑은 고딕"/>
      <family val="3"/>
      <charset val="129"/>
      <scheme val="minor"/>
    </font>
    <font>
      <sz val="10"/>
      <name val="굴림체"/>
      <family val="3"/>
      <charset val="129"/>
    </font>
    <font>
      <sz val="12"/>
      <name val="-윤고딕330"/>
      <family val="1"/>
      <charset val="129"/>
    </font>
    <font>
      <sz val="8"/>
      <name val="굴림체"/>
      <family val="3"/>
      <charset val="129"/>
    </font>
    <font>
      <sz val="9"/>
      <name val="-윤고딕330"/>
      <family val="1"/>
      <charset val="129"/>
    </font>
    <font>
      <sz val="11"/>
      <name val="-윤고딕330"/>
      <family val="1"/>
      <charset val="129"/>
    </font>
    <font>
      <sz val="10"/>
      <name val="-윤고딕330"/>
      <family val="1"/>
      <charset val="129"/>
    </font>
    <font>
      <sz val="10"/>
      <color indexed="8"/>
      <name val="-윤고딕330"/>
      <family val="1"/>
      <charset val="129"/>
    </font>
    <font>
      <sz val="12"/>
      <color rgb="FF000000"/>
      <name val="-윤고딕330"/>
      <family val="1"/>
      <charset val="129"/>
    </font>
    <font>
      <b/>
      <sz val="9"/>
      <color indexed="8"/>
      <name val="돋움"/>
      <family val="3"/>
      <charset val="129"/>
    </font>
    <font>
      <sz val="10"/>
      <color rgb="FF000000"/>
      <name val="-윤고딕330"/>
      <family val="1"/>
      <charset val="129"/>
    </font>
    <font>
      <sz val="8"/>
      <name val="바탕"/>
      <family val="1"/>
      <charset val="129"/>
    </font>
    <font>
      <b/>
      <sz val="14"/>
      <color rgb="FF002060"/>
      <name val="굴림"/>
      <family val="3"/>
      <charset val="129"/>
    </font>
    <font>
      <b/>
      <sz val="11"/>
      <color rgb="FFFF0000"/>
      <name val="굴림"/>
      <family val="3"/>
      <charset val="129"/>
    </font>
    <font>
      <b/>
      <sz val="11"/>
      <color rgb="FF002060"/>
      <name val="굴림"/>
      <family val="3"/>
      <charset val="129"/>
    </font>
    <font>
      <sz val="11"/>
      <name val="￥i￠￢￠?o"/>
      <family val="3"/>
      <charset val="129"/>
    </font>
    <font>
      <sz val="12"/>
      <name val="¹ÙÅÁÃ¼"/>
      <family val="3"/>
      <charset val="129"/>
    </font>
    <font>
      <sz val="12"/>
      <name val="ⓒoUAAA¨u"/>
      <family val="1"/>
      <charset val="129"/>
    </font>
    <font>
      <sz val="12"/>
      <color indexed="32"/>
      <name val="MIN 훈민08체"/>
      <family val="3"/>
      <charset val="129"/>
    </font>
    <font>
      <sz val="12"/>
      <name val="System"/>
      <family val="2"/>
      <charset val="129"/>
    </font>
    <font>
      <i/>
      <sz val="1"/>
      <color indexed="8"/>
      <name val="Courier"/>
      <family val="3"/>
    </font>
    <font>
      <sz val="7"/>
      <name val="Small Fonts"/>
      <family val="2"/>
    </font>
    <font>
      <sz val="12"/>
      <name val="Helv"/>
      <family val="2"/>
    </font>
    <font>
      <sz val="10"/>
      <color indexed="8"/>
      <name val="Arial"/>
      <family val="2"/>
    </font>
    <font>
      <sz val="12"/>
      <color indexed="32"/>
      <name val="모음디"/>
      <family val="1"/>
      <charset val="129"/>
    </font>
    <font>
      <sz val="10.5"/>
      <color rgb="FF000000"/>
      <name val="-윤고딕130"/>
      <family val="3"/>
      <charset val="129"/>
    </font>
    <font>
      <sz val="10"/>
      <color rgb="FF000000"/>
      <name val="돋움"/>
      <family val="3"/>
      <charset val="129"/>
    </font>
    <font>
      <sz val="10"/>
      <color rgb="FF000000"/>
      <name val="-윤고딕120"/>
      <family val="3"/>
      <charset val="129"/>
    </font>
  </fonts>
  <fills count="6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EEECE1"/>
        <bgColor indexed="64"/>
      </patternFill>
    </fill>
    <fill>
      <patternFill patternType="gray0625">
        <fgColor indexed="15"/>
      </patternFill>
    </fill>
    <fill>
      <patternFill patternType="solid">
        <fgColor indexed="65"/>
        <bgColor indexed="64"/>
      </patternFill>
    </fill>
    <fill>
      <patternFill patternType="gray0625">
        <fgColor indexed="13"/>
      </patternFill>
    </fill>
    <fill>
      <patternFill patternType="solid">
        <fgColor rgb="FFCCCCCC"/>
        <bgColor indexed="64"/>
      </patternFill>
    </fill>
  </fills>
  <borders count="349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36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36"/>
      </bottom>
      <diagonal/>
    </border>
    <border>
      <left/>
      <right/>
      <top style="medium">
        <color indexed="36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7F7F7F"/>
      </right>
      <top style="thin">
        <color rgb="FFFFFFF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FFFFFF"/>
      </top>
      <bottom style="thin">
        <color rgb="FF7F7F7F"/>
      </bottom>
      <diagonal/>
    </border>
    <border>
      <left style="thin">
        <color rgb="FF7F7F7F"/>
      </left>
      <right/>
      <top style="thin">
        <color rgb="FFFFFFFF"/>
      </top>
      <bottom style="thin">
        <color rgb="FF7F7F7F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hair">
        <color rgb="FF000000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rgb="FF000000"/>
      </left>
      <right/>
      <top style="thick">
        <color rgb="FF818181"/>
      </top>
      <bottom style="thick">
        <color rgb="FF818181"/>
      </bottom>
      <diagonal/>
    </border>
    <border>
      <left/>
      <right style="thick">
        <color rgb="FFFFFFFF"/>
      </right>
      <top style="thick">
        <color rgb="FF818181"/>
      </top>
      <bottom style="thick">
        <color rgb="FF818181"/>
      </bottom>
      <diagonal/>
    </border>
    <border>
      <left style="thick">
        <color rgb="FFFFFFFF"/>
      </left>
      <right style="thick">
        <color rgb="FFFFFFFF"/>
      </right>
      <top style="thick">
        <color rgb="FF818181"/>
      </top>
      <bottom style="thick">
        <color rgb="FF818181"/>
      </bottom>
      <diagonal/>
    </border>
    <border>
      <left style="thick">
        <color rgb="FFFFFFFF"/>
      </left>
      <right style="thin">
        <color rgb="FF000000"/>
      </right>
      <top style="thick">
        <color rgb="FF818181"/>
      </top>
      <bottom style="thick">
        <color rgb="FF818181"/>
      </bottom>
      <diagonal/>
    </border>
    <border>
      <left style="thin">
        <color rgb="FF000000"/>
      </left>
      <right style="thin">
        <color rgb="FF808080"/>
      </right>
      <top style="thick">
        <color rgb="FF818181"/>
      </top>
      <bottom/>
      <diagonal/>
    </border>
    <border>
      <left style="thin">
        <color rgb="FF808080"/>
      </left>
      <right style="thin">
        <color rgb="FF808080"/>
      </right>
      <top style="thick">
        <color rgb="FF818181"/>
      </top>
      <bottom style="thin">
        <color rgb="FF818181"/>
      </bottom>
      <diagonal/>
    </border>
    <border>
      <left style="thin">
        <color rgb="FF808080"/>
      </left>
      <right style="thin">
        <color rgb="FF000000"/>
      </right>
      <top style="thick">
        <color rgb="FF818181"/>
      </top>
      <bottom style="thin">
        <color rgb="FF818181"/>
      </bottom>
      <diagonal/>
    </border>
    <border>
      <left style="thin">
        <color rgb="FF00000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18181"/>
      </top>
      <bottom style="thin">
        <color rgb="FF818181"/>
      </bottom>
      <diagonal/>
    </border>
    <border>
      <left style="thin">
        <color rgb="FF808080"/>
      </left>
      <right style="thin">
        <color rgb="FF000000"/>
      </right>
      <top style="thin">
        <color rgb="FF818181"/>
      </top>
      <bottom style="thin">
        <color rgb="FF818181"/>
      </bottom>
      <diagonal/>
    </border>
    <border>
      <left style="thin">
        <color rgb="FF000000"/>
      </left>
      <right style="thin">
        <color rgb="FF808080"/>
      </right>
      <top/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18181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818181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hair">
        <color rgb="FF000000"/>
      </right>
      <top/>
      <bottom/>
      <diagonal/>
    </border>
    <border>
      <left style="thin">
        <color indexed="64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/>
      <diagonal/>
    </border>
    <border>
      <left style="hair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 style="thin">
        <color indexed="64"/>
      </left>
      <right/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medium">
        <color indexed="64"/>
      </top>
      <bottom style="medium">
        <color indexed="64"/>
      </bottom>
      <diagonal/>
    </border>
    <border>
      <left style="hair">
        <color rgb="FF000000"/>
      </left>
      <right style="hair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/>
      <diagonal/>
    </border>
    <border>
      <left style="hair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</borders>
  <cellStyleXfs count="1802">
    <xf numFmtId="0" fontId="0" fillId="0" borderId="0"/>
    <xf numFmtId="0" fontId="18" fillId="0" borderId="0"/>
    <xf numFmtId="0" fontId="11" fillId="0" borderId="0" applyFont="0" applyFill="0" applyBorder="0" applyAlignment="0" applyProtection="0"/>
    <xf numFmtId="0" fontId="18" fillId="0" borderId="1">
      <alignment horizontal="center"/>
    </xf>
    <xf numFmtId="194" fontId="22" fillId="0" borderId="0" applyFont="0" applyFill="0" applyBorder="0" applyAlignment="0" applyProtection="0"/>
    <xf numFmtId="194" fontId="23" fillId="0" borderId="0" applyFont="0" applyFill="0" applyBorder="0" applyAlignment="0" applyProtection="0"/>
    <xf numFmtId="195" fontId="24" fillId="0" borderId="0" applyFont="0" applyFill="0" applyBorder="0" applyAlignment="0" applyProtection="0"/>
    <xf numFmtId="194" fontId="23" fillId="0" borderId="0" applyFont="0" applyFill="0" applyBorder="0" applyAlignment="0" applyProtection="0"/>
    <xf numFmtId="195" fontId="24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197" fontId="22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4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4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54" fillId="0" borderId="0"/>
    <xf numFmtId="185" fontId="22" fillId="0" borderId="0" applyFont="0" applyFill="0" applyBorder="0" applyAlignment="0" applyProtection="0"/>
    <xf numFmtId="185" fontId="23" fillId="0" borderId="0" applyFont="0" applyFill="0" applyBorder="0" applyAlignment="0" applyProtection="0"/>
    <xf numFmtId="187" fontId="24" fillId="0" borderId="0" applyFont="0" applyFill="0" applyBorder="0" applyAlignment="0" applyProtection="0"/>
    <xf numFmtId="185" fontId="23" fillId="0" borderId="0" applyFont="0" applyFill="0" applyBorder="0" applyAlignment="0" applyProtection="0"/>
    <xf numFmtId="187" fontId="24" fillId="0" borderId="0" applyFont="0" applyFill="0" applyBorder="0" applyAlignment="0" applyProtection="0"/>
    <xf numFmtId="38" fontId="19" fillId="0" borderId="0" applyFont="0" applyFill="0" applyBorder="0" applyAlignment="0" applyProtection="0"/>
    <xf numFmtId="38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192" fontId="22" fillId="0" borderId="0" applyFont="0" applyFill="0" applyBorder="0" applyAlignment="0" applyProtection="0"/>
    <xf numFmtId="192" fontId="23" fillId="0" borderId="0" applyFont="0" applyFill="0" applyBorder="0" applyAlignment="0" applyProtection="0"/>
    <xf numFmtId="188" fontId="24" fillId="0" borderId="0" applyFont="0" applyFill="0" applyBorder="0" applyAlignment="0" applyProtection="0"/>
    <xf numFmtId="192" fontId="23" fillId="0" borderId="0" applyFont="0" applyFill="0" applyBorder="0" applyAlignment="0" applyProtection="0"/>
    <xf numFmtId="188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/>
    <xf numFmtId="0" fontId="22" fillId="0" borderId="0"/>
    <xf numFmtId="0" fontId="23" fillId="0" borderId="0"/>
    <xf numFmtId="0" fontId="24" fillId="0" borderId="0"/>
    <xf numFmtId="0" fontId="23" fillId="0" borderId="0"/>
    <xf numFmtId="0" fontId="25" fillId="0" borderId="0"/>
    <xf numFmtId="0" fontId="27" fillId="0" borderId="0"/>
    <xf numFmtId="0" fontId="24" fillId="0" borderId="0"/>
    <xf numFmtId="0" fontId="19" fillId="0" borderId="0"/>
    <xf numFmtId="0" fontId="25" fillId="0" borderId="0"/>
    <xf numFmtId="0" fontId="19" fillId="0" borderId="0"/>
    <xf numFmtId="0" fontId="25" fillId="0" borderId="0"/>
    <xf numFmtId="0" fontId="27" fillId="0" borderId="0"/>
    <xf numFmtId="0" fontId="24" fillId="0" borderId="0"/>
    <xf numFmtId="0" fontId="28" fillId="0" borderId="0"/>
    <xf numFmtId="0" fontId="29" fillId="0" borderId="0"/>
    <xf numFmtId="0" fontId="26" fillId="0" borderId="0"/>
    <xf numFmtId="0" fontId="26" fillId="0" borderId="0"/>
    <xf numFmtId="0" fontId="28" fillId="0" borderId="0"/>
    <xf numFmtId="0" fontId="29" fillId="0" borderId="0"/>
    <xf numFmtId="0" fontId="25" fillId="0" borderId="0"/>
    <xf numFmtId="0" fontId="55" fillId="0" borderId="0"/>
    <xf numFmtId="187" fontId="11" fillId="0" borderId="0" applyFont="0" applyFill="0" applyBorder="0" applyAlignment="0" applyProtection="0"/>
    <xf numFmtId="210" fontId="18" fillId="0" borderId="0"/>
    <xf numFmtId="188" fontId="11" fillId="0" borderId="0" applyFont="0" applyFill="0" applyBorder="0" applyAlignment="0" applyProtection="0"/>
    <xf numFmtId="3" fontId="56" fillId="0" borderId="0" applyFont="0" applyFill="0" applyBorder="0" applyAlignment="0" applyProtection="0"/>
    <xf numFmtId="189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211" fontId="56" fillId="0" borderId="0" applyFont="0" applyFill="0" applyBorder="0" applyAlignment="0" applyProtection="0"/>
    <xf numFmtId="212" fontId="18" fillId="0" borderId="0"/>
    <xf numFmtId="0" fontId="30" fillId="0" borderId="0" applyFill="0" applyBorder="0" applyAlignment="0" applyProtection="0"/>
    <xf numFmtId="0" fontId="56" fillId="0" borderId="0" applyFont="0" applyFill="0" applyBorder="0" applyAlignment="0" applyProtection="0"/>
    <xf numFmtId="200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18" fillId="0" borderId="0"/>
    <xf numFmtId="215" fontId="51" fillId="0" borderId="0" applyFill="0" applyBorder="0">
      <alignment horizontal="centerContinuous"/>
    </xf>
    <xf numFmtId="2" fontId="30" fillId="0" borderId="0" applyFill="0" applyBorder="0" applyAlignment="0" applyProtection="0"/>
    <xf numFmtId="2" fontId="56" fillId="0" borderId="0" applyFont="0" applyFill="0" applyBorder="0" applyAlignment="0" applyProtection="0"/>
    <xf numFmtId="38" fontId="57" fillId="2" borderId="0" applyNumberFormat="0" applyBorder="0" applyAlignment="0" applyProtection="0"/>
    <xf numFmtId="0" fontId="58" fillId="0" borderId="0">
      <alignment horizontal="left"/>
    </xf>
    <xf numFmtId="0" fontId="31" fillId="0" borderId="2" applyNumberFormat="0" applyAlignment="0" applyProtection="0">
      <alignment horizontal="left" vertical="center"/>
    </xf>
    <xf numFmtId="0" fontId="31" fillId="0" borderId="3">
      <alignment horizontal="left" vertical="center"/>
    </xf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0" fontId="57" fillId="3" borderId="4" applyNumberFormat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1" fillId="0" borderId="5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216" fontId="18" fillId="0" borderId="0"/>
    <xf numFmtId="0" fontId="11" fillId="0" borderId="0"/>
    <xf numFmtId="10" fontId="11" fillId="0" borderId="0" applyFont="0" applyFill="0" applyBorder="0" applyAlignment="0" applyProtection="0"/>
    <xf numFmtId="0" fontId="11" fillId="0" borderId="0"/>
    <xf numFmtId="0" fontId="61" fillId="0" borderId="0"/>
    <xf numFmtId="0" fontId="62" fillId="0" borderId="0" applyFill="0" applyBorder="0" applyProtection="0">
      <alignment horizontal="centerContinuous" vertical="center"/>
    </xf>
    <xf numFmtId="0" fontId="53" fillId="4" borderId="0" applyFill="0" applyBorder="0" applyProtection="0">
      <alignment horizontal="center" vertical="center"/>
    </xf>
    <xf numFmtId="217" fontId="51" fillId="0" borderId="0" applyFill="0" applyBorder="0">
      <alignment horizontal="centerContinuous"/>
    </xf>
    <xf numFmtId="0" fontId="30" fillId="0" borderId="6" applyNumberFormat="0" applyFill="0" applyAlignment="0" applyProtection="0"/>
    <xf numFmtId="0" fontId="56" fillId="0" borderId="7" applyNumberFormat="0" applyFont="0" applyFill="0" applyAlignment="0" applyProtection="0"/>
    <xf numFmtId="21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2" fontId="12" fillId="0" borderId="0" applyFont="0" applyFill="0" applyBorder="0" applyAlignment="0" applyProtection="0"/>
    <xf numFmtId="202" fontId="47" fillId="0" borderId="0">
      <protection locked="0"/>
    </xf>
    <xf numFmtId="0" fontId="13" fillId="0" borderId="0" applyNumberFormat="0" applyFill="0" applyBorder="0" applyAlignment="0" applyProtection="0"/>
    <xf numFmtId="202" fontId="47" fillId="0" borderId="0">
      <protection locked="0"/>
    </xf>
    <xf numFmtId="0" fontId="14" fillId="0" borderId="0" applyNumberFormat="0" applyFill="0" applyBorder="0" applyAlignment="0" applyProtection="0"/>
    <xf numFmtId="202" fontId="47" fillId="0" borderId="0">
      <protection locked="0"/>
    </xf>
    <xf numFmtId="0" fontId="12" fillId="0" borderId="0" applyFont="0" applyFill="0" applyBorder="0" applyAlignment="0" applyProtection="0"/>
    <xf numFmtId="202" fontId="47" fillId="0" borderId="0">
      <protection locked="0"/>
    </xf>
    <xf numFmtId="0" fontId="12" fillId="0" borderId="0" applyFont="0" applyFill="0" applyBorder="0" applyAlignment="0" applyProtection="0"/>
    <xf numFmtId="202" fontId="47" fillId="0" borderId="0"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9" fillId="4" borderId="0" applyFill="0" applyBorder="0" applyProtection="0">
      <alignment horizontal="right"/>
    </xf>
    <xf numFmtId="10" fontId="49" fillId="0" borderId="0" applyFill="0" applyBorder="0" applyProtection="0">
      <alignment horizontal="right"/>
    </xf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0" fontId="17" fillId="0" borderId="0"/>
    <xf numFmtId="185" fontId="50" fillId="0" borderId="0">
      <alignment vertical="center"/>
    </xf>
    <xf numFmtId="41" fontId="6" fillId="0" borderId="0" applyFont="0" applyFill="0" applyBorder="0" applyAlignment="0" applyProtection="0"/>
    <xf numFmtId="41" fontId="4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7" fillId="0" borderId="0" applyFont="0" applyFill="0" applyBorder="0" applyAlignment="0" applyProtection="0"/>
    <xf numFmtId="41" fontId="3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0" fontId="11" fillId="0" borderId="0"/>
    <xf numFmtId="203" fontId="20" fillId="0" borderId="0" applyFill="0" applyBorder="0">
      <alignment horizontal="centerContinuous"/>
    </xf>
    <xf numFmtId="204" fontId="20" fillId="0" borderId="0" applyFill="0" applyBorder="0">
      <alignment horizontal="centerContinuous"/>
    </xf>
    <xf numFmtId="2" fontId="20" fillId="0" borderId="0" applyFill="0" applyBorder="0" applyProtection="0">
      <alignment horizontal="centerContinuous"/>
    </xf>
    <xf numFmtId="4" fontId="12" fillId="0" borderId="0" applyFont="0" applyFill="0" applyBorder="0" applyAlignment="0" applyProtection="0"/>
    <xf numFmtId="202" fontId="47" fillId="0" borderId="0">
      <protection locked="0"/>
    </xf>
    <xf numFmtId="3" fontId="12" fillId="0" borderId="0" applyFont="0" applyFill="0" applyBorder="0" applyAlignment="0" applyProtection="0"/>
    <xf numFmtId="202" fontId="47" fillId="0" borderId="0">
      <protection locked="0"/>
    </xf>
    <xf numFmtId="205" fontId="51" fillId="0" borderId="0" applyFill="0" applyBorder="0">
      <alignment horizontal="centerContinuous"/>
    </xf>
    <xf numFmtId="206" fontId="20" fillId="0" borderId="0" applyFill="0" applyBorder="0">
      <alignment horizontal="centerContinuous"/>
    </xf>
    <xf numFmtId="207" fontId="20" fillId="0" borderId="0" applyFill="0" applyBorder="0">
      <alignment horizontal="centerContinuous"/>
    </xf>
    <xf numFmtId="0" fontId="18" fillId="0" borderId="0"/>
    <xf numFmtId="208" fontId="11" fillId="0" borderId="4"/>
    <xf numFmtId="209" fontId="49" fillId="4" borderId="0" applyFill="0" applyBorder="0" applyProtection="0">
      <alignment horizontal="right"/>
    </xf>
    <xf numFmtId="10" fontId="12" fillId="0" borderId="0" applyFont="0" applyFill="0" applyBorder="0" applyAlignment="0" applyProtection="0"/>
    <xf numFmtId="202" fontId="47" fillId="0" borderId="0">
      <protection locked="0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18" fillId="0" borderId="0" applyProtection="0"/>
    <xf numFmtId="0" fontId="6" fillId="0" borderId="0"/>
    <xf numFmtId="0" fontId="18" fillId="0" borderId="0"/>
    <xf numFmtId="0" fontId="33" fillId="0" borderId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18" fillId="0" borderId="0" applyProtection="0"/>
    <xf numFmtId="0" fontId="69" fillId="0" borderId="0">
      <alignment vertical="center"/>
    </xf>
    <xf numFmtId="0" fontId="69" fillId="0" borderId="0">
      <alignment vertical="center"/>
    </xf>
    <xf numFmtId="0" fontId="18" fillId="0" borderId="0" applyProtection="0"/>
    <xf numFmtId="0" fontId="69" fillId="0" borderId="0">
      <alignment vertical="center"/>
    </xf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18" fillId="0" borderId="0"/>
    <xf numFmtId="0" fontId="6" fillId="0" borderId="0">
      <alignment vertical="center"/>
    </xf>
    <xf numFmtId="0" fontId="70" fillId="0" borderId="0">
      <alignment vertical="center"/>
    </xf>
    <xf numFmtId="0" fontId="52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33" fillId="0" borderId="0">
      <alignment vertical="center"/>
    </xf>
    <xf numFmtId="0" fontId="21" fillId="0" borderId="0">
      <alignment vertical="center"/>
    </xf>
    <xf numFmtId="0" fontId="70" fillId="0" borderId="0">
      <alignment vertical="center"/>
    </xf>
    <xf numFmtId="0" fontId="37" fillId="0" borderId="0"/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15" fillId="0" borderId="0"/>
    <xf numFmtId="49" fontId="10" fillId="0" borderId="0">
      <alignment horizontal="left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" fillId="0" borderId="7" applyNumberFormat="0" applyFont="0" applyFill="0" applyAlignment="0" applyProtection="0"/>
    <xf numFmtId="202" fontId="47" fillId="0" borderId="7">
      <protection locked="0"/>
    </xf>
    <xf numFmtId="7" fontId="12" fillId="0" borderId="0" applyFont="0" applyFill="0" applyBorder="0" applyAlignment="0" applyProtection="0"/>
    <xf numFmtId="202" fontId="47" fillId="0" borderId="0">
      <protection locked="0"/>
    </xf>
    <xf numFmtId="5" fontId="12" fillId="0" borderId="0" applyFont="0" applyFill="0" applyBorder="0" applyAlignment="0" applyProtection="0"/>
    <xf numFmtId="202" fontId="47" fillId="0" borderId="0">
      <protection locked="0"/>
    </xf>
    <xf numFmtId="0" fontId="52" fillId="0" borderId="0">
      <alignment vertical="center"/>
    </xf>
    <xf numFmtId="9" fontId="69" fillId="0" borderId="0" applyFont="0" applyFill="0" applyBorder="0" applyAlignment="0" applyProtection="0">
      <alignment vertical="center"/>
    </xf>
    <xf numFmtId="41" fontId="69" fillId="0" borderId="0" applyFont="0" applyFill="0" applyBorder="0" applyAlignment="0" applyProtection="0">
      <alignment vertical="center"/>
    </xf>
    <xf numFmtId="41" fontId="69" fillId="0" borderId="0" applyFont="0" applyFill="0" applyBorder="0" applyAlignment="0" applyProtection="0">
      <alignment vertical="center"/>
    </xf>
    <xf numFmtId="187" fontId="18" fillId="0" borderId="0" applyFont="0" applyFill="0" applyBorder="0" applyAlignment="0" applyProtection="0"/>
    <xf numFmtId="0" fontId="5" fillId="0" borderId="0">
      <alignment vertical="center"/>
    </xf>
    <xf numFmtId="0" fontId="6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0" borderId="0"/>
    <xf numFmtId="9" fontId="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0" borderId="0"/>
    <xf numFmtId="41" fontId="6" fillId="0" borderId="0" applyFont="0" applyFill="0" applyBorder="0" applyAlignment="0" applyProtection="0"/>
    <xf numFmtId="202" fontId="47" fillId="0" borderId="0">
      <protection locked="0"/>
    </xf>
    <xf numFmtId="0" fontId="101" fillId="0" borderId="0">
      <protection locked="0"/>
    </xf>
    <xf numFmtId="202" fontId="47" fillId="0" borderId="0">
      <protection locked="0"/>
    </xf>
    <xf numFmtId="231" fontId="101" fillId="0" borderId="0">
      <protection locked="0"/>
    </xf>
    <xf numFmtId="202" fontId="47" fillId="0" borderId="0">
      <protection locked="0"/>
    </xf>
    <xf numFmtId="0" fontId="102" fillId="0" borderId="0"/>
    <xf numFmtId="0" fontId="103" fillId="0" borderId="0">
      <protection locked="0"/>
    </xf>
    <xf numFmtId="0" fontId="103" fillId="0" borderId="0">
      <protection locked="0"/>
    </xf>
    <xf numFmtId="0" fontId="69" fillId="25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69" fillId="41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202" fontId="47" fillId="0" borderId="0">
      <protection locked="0"/>
    </xf>
    <xf numFmtId="0" fontId="101" fillId="0" borderId="0">
      <protection locked="0"/>
    </xf>
    <xf numFmtId="0" fontId="69" fillId="26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109" fillId="27" borderId="0" applyNumberFormat="0" applyBorder="0" applyAlignment="0" applyProtection="0">
      <alignment vertical="center"/>
    </xf>
    <xf numFmtId="0" fontId="109" fillId="31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3" borderId="0" applyNumberFormat="0" applyBorder="0" applyAlignment="0" applyProtection="0">
      <alignment vertical="center"/>
    </xf>
    <xf numFmtId="0" fontId="109" fillId="47" borderId="0" applyNumberFormat="0" applyBorder="0" applyAlignment="0" applyProtection="0">
      <alignment vertical="center"/>
    </xf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202" fontId="47" fillId="0" borderId="0">
      <protection locked="0"/>
    </xf>
    <xf numFmtId="232" fontId="101" fillId="0" borderId="0">
      <protection locked="0"/>
    </xf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4" fontId="101" fillId="0" borderId="0">
      <protection locked="0"/>
    </xf>
    <xf numFmtId="233" fontId="101" fillId="0" borderId="0">
      <protection locked="0"/>
    </xf>
    <xf numFmtId="202" fontId="47" fillId="0" borderId="0">
      <protection locked="0"/>
    </xf>
    <xf numFmtId="202" fontId="47" fillId="0" borderId="0">
      <protection locked="0"/>
    </xf>
    <xf numFmtId="0" fontId="101" fillId="0" borderId="7">
      <protection locked="0"/>
    </xf>
    <xf numFmtId="202" fontId="47" fillId="0" borderId="7">
      <protection locked="0"/>
    </xf>
    <xf numFmtId="234" fontId="37" fillId="0" borderId="0"/>
    <xf numFmtId="0" fontId="9" fillId="0" borderId="0"/>
    <xf numFmtId="235" fontId="6" fillId="0" borderId="0"/>
    <xf numFmtId="202" fontId="47" fillId="0" borderId="0">
      <protection locked="0"/>
    </xf>
    <xf numFmtId="202" fontId="47" fillId="0" borderId="0">
      <protection locked="0"/>
    </xf>
    <xf numFmtId="236" fontId="101" fillId="0" borderId="0">
      <protection locked="0"/>
    </xf>
    <xf numFmtId="237" fontId="101" fillId="0" borderId="0">
      <protection locked="0"/>
    </xf>
    <xf numFmtId="0" fontId="57" fillId="0" borderId="0" applyNumberFormat="0" applyFill="0" applyBorder="0" applyProtection="0"/>
    <xf numFmtId="0" fontId="107" fillId="0" borderId="0" applyNumberFormat="0" applyFill="0" applyBorder="0" applyProtection="0"/>
    <xf numFmtId="238" fontId="6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08" fillId="0" borderId="0" applyNumberFormat="0" applyFill="0" applyBorder="0" applyProtection="0"/>
    <xf numFmtId="0" fontId="109" fillId="24" borderId="0" applyNumberFormat="0" applyBorder="0" applyAlignment="0" applyProtection="0">
      <alignment vertical="center"/>
    </xf>
    <xf numFmtId="0" fontId="109" fillId="28" borderId="0" applyNumberFormat="0" applyBorder="0" applyAlignment="0" applyProtection="0">
      <alignment vertical="center"/>
    </xf>
    <xf numFmtId="0" fontId="109" fillId="32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0" fillId="21" borderId="63" applyNumberFormat="0" applyAlignment="0" applyProtection="0">
      <alignment vertical="center"/>
    </xf>
    <xf numFmtId="0" fontId="104" fillId="0" borderId="0" applyFill="0" applyBorder="0" applyProtection="0">
      <alignment horizontal="left" shrinkToFit="1"/>
    </xf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239" fontId="18" fillId="0" borderId="0"/>
    <xf numFmtId="0" fontId="111" fillId="18" borderId="0" applyNumberFormat="0" applyBorder="0" applyAlignment="0" applyProtection="0">
      <alignment vertical="center"/>
    </xf>
    <xf numFmtId="3" fontId="54" fillId="0" borderId="17">
      <alignment horizontal="center"/>
    </xf>
    <xf numFmtId="0" fontId="69" fillId="23" borderId="67" applyNumberFormat="0" applyFont="0" applyAlignment="0" applyProtection="0">
      <alignment vertical="center"/>
    </xf>
    <xf numFmtId="202" fontId="105" fillId="0" borderId="0">
      <protection locked="0"/>
    </xf>
    <xf numFmtId="9" fontId="6" fillId="0" borderId="0" applyFont="0" applyFill="0" applyBorder="0" applyAlignment="0" applyProtection="0">
      <alignment vertical="center"/>
    </xf>
    <xf numFmtId="0" fontId="112" fillId="19" borderId="0" applyNumberFormat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22" borderId="66" applyNumberFormat="0" applyAlignment="0" applyProtection="0">
      <alignment vertical="center"/>
    </xf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115" fillId="0" borderId="65" applyNumberFormat="0" applyFill="0" applyAlignment="0" applyProtection="0">
      <alignment vertical="center"/>
    </xf>
    <xf numFmtId="0" fontId="116" fillId="0" borderId="68" applyNumberFormat="0" applyFill="0" applyAlignment="0" applyProtection="0">
      <alignment vertical="center"/>
    </xf>
    <xf numFmtId="0" fontId="117" fillId="20" borderId="63" applyNumberFormat="0" applyAlignment="0" applyProtection="0">
      <alignment vertical="center"/>
    </xf>
    <xf numFmtId="0" fontId="119" fillId="0" borderId="60" applyNumberFormat="0" applyFill="0" applyAlignment="0" applyProtection="0">
      <alignment vertical="center"/>
    </xf>
    <xf numFmtId="0" fontId="120" fillId="0" borderId="61" applyNumberFormat="0" applyFill="0" applyAlignment="0" applyProtection="0">
      <alignment vertical="center"/>
    </xf>
    <xf numFmtId="0" fontId="121" fillId="0" borderId="62" applyNumberFormat="0" applyFill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22" fillId="17" borderId="0" applyNumberFormat="0" applyBorder="0" applyAlignment="0" applyProtection="0">
      <alignment vertical="center"/>
    </xf>
    <xf numFmtId="0" fontId="123" fillId="21" borderId="64" applyNumberFormat="0" applyAlignment="0" applyProtection="0">
      <alignment vertical="center"/>
    </xf>
    <xf numFmtId="202" fontId="105" fillId="0" borderId="0">
      <protection locked="0"/>
    </xf>
    <xf numFmtId="202" fontId="105" fillId="0" borderId="0">
      <protection locked="0"/>
    </xf>
    <xf numFmtId="41" fontId="6" fillId="0" borderId="0" applyFont="0" applyFill="0" applyBorder="0" applyAlignment="0" applyProtection="0"/>
    <xf numFmtId="240" fontId="6" fillId="4" borderId="0" applyFill="0" applyBorder="0" applyProtection="0">
      <alignment horizontal="right"/>
    </xf>
    <xf numFmtId="202" fontId="105" fillId="0" borderId="0">
      <protection locked="0"/>
    </xf>
    <xf numFmtId="202" fontId="105" fillId="0" borderId="0">
      <protection locked="0"/>
    </xf>
    <xf numFmtId="202" fontId="105" fillId="0" borderId="0">
      <protection locked="0"/>
    </xf>
    <xf numFmtId="0" fontId="52" fillId="0" borderId="0"/>
    <xf numFmtId="0" fontId="52" fillId="0" borderId="0"/>
    <xf numFmtId="0" fontId="57" fillId="0" borderId="0" applyNumberFormat="0" applyFill="0" applyBorder="0" applyProtection="0"/>
    <xf numFmtId="0" fontId="52" fillId="0" borderId="0"/>
    <xf numFmtId="0" fontId="52" fillId="0" borderId="0"/>
    <xf numFmtId="0" fontId="124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52" fillId="0" borderId="0"/>
    <xf numFmtId="179" fontId="106" fillId="0" borderId="0">
      <alignment horizontal="right"/>
    </xf>
    <xf numFmtId="0" fontId="52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25" fillId="0" borderId="0">
      <alignment vertical="center"/>
    </xf>
    <xf numFmtId="0" fontId="52" fillId="0" borderId="0"/>
    <xf numFmtId="0" fontId="52" fillId="0" borderId="0"/>
    <xf numFmtId="2" fontId="1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9" fontId="2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28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118" fillId="0" borderId="0" applyNumberForma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10" fontId="12" fillId="0" borderId="0" applyFont="0" applyFill="0" applyBorder="0" applyAlignment="0" applyProtection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" fillId="0" borderId="0">
      <alignment vertical="center"/>
    </xf>
    <xf numFmtId="0" fontId="70" fillId="0" borderId="0">
      <alignment vertical="center"/>
    </xf>
    <xf numFmtId="0" fontId="6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12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9" fontId="21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12" fillId="0" borderId="7" applyNumberFormat="0" applyFont="0" applyFill="0" applyAlignment="0" applyProtection="0"/>
    <xf numFmtId="7" fontId="12" fillId="0" borderId="0" applyFont="0" applyFill="0" applyBorder="0" applyAlignment="0" applyProtection="0"/>
    <xf numFmtId="5" fontId="12" fillId="0" borderId="0" applyFont="0" applyFill="0" applyBorder="0" applyAlignment="0" applyProtection="0"/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>
      <alignment vertical="center"/>
    </xf>
    <xf numFmtId="0" fontId="6" fillId="0" borderId="0">
      <alignment vertical="center"/>
    </xf>
    <xf numFmtId="0" fontId="69" fillId="25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69" fillId="41" borderId="0" applyNumberFormat="0" applyBorder="0" applyAlignment="0" applyProtection="0">
      <alignment vertical="center"/>
    </xf>
    <xf numFmtId="0" fontId="69" fillId="45" borderId="0" applyNumberFormat="0" applyBorder="0" applyAlignment="0" applyProtection="0">
      <alignment vertical="center"/>
    </xf>
    <xf numFmtId="0" fontId="69" fillId="26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69" fillId="42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109" fillId="27" borderId="0" applyNumberFormat="0" applyBorder="0" applyAlignment="0" applyProtection="0">
      <alignment vertical="center"/>
    </xf>
    <xf numFmtId="0" fontId="109" fillId="31" borderId="0" applyNumberFormat="0" applyBorder="0" applyAlignment="0" applyProtection="0">
      <alignment vertical="center"/>
    </xf>
    <xf numFmtId="0" fontId="109" fillId="35" borderId="0" applyNumberFormat="0" applyBorder="0" applyAlignment="0" applyProtection="0">
      <alignment vertical="center"/>
    </xf>
    <xf numFmtId="0" fontId="109" fillId="39" borderId="0" applyNumberFormat="0" applyBorder="0" applyAlignment="0" applyProtection="0">
      <alignment vertical="center"/>
    </xf>
    <xf numFmtId="0" fontId="109" fillId="43" borderId="0" applyNumberFormat="0" applyBorder="0" applyAlignment="0" applyProtection="0">
      <alignment vertical="center"/>
    </xf>
    <xf numFmtId="0" fontId="109" fillId="47" borderId="0" applyNumberFormat="0" applyBorder="0" applyAlignment="0" applyProtection="0">
      <alignment vertical="center"/>
    </xf>
    <xf numFmtId="0" fontId="109" fillId="24" borderId="0" applyNumberFormat="0" applyBorder="0" applyAlignment="0" applyProtection="0">
      <alignment vertical="center"/>
    </xf>
    <xf numFmtId="0" fontId="109" fillId="28" borderId="0" applyNumberFormat="0" applyBorder="0" applyAlignment="0" applyProtection="0">
      <alignment vertical="center"/>
    </xf>
    <xf numFmtId="0" fontId="109" fillId="32" borderId="0" applyNumberFormat="0" applyBorder="0" applyAlignment="0" applyProtection="0">
      <alignment vertical="center"/>
    </xf>
    <xf numFmtId="0" fontId="109" fillId="36" borderId="0" applyNumberFormat="0" applyBorder="0" applyAlignment="0" applyProtection="0">
      <alignment vertical="center"/>
    </xf>
    <xf numFmtId="0" fontId="109" fillId="40" borderId="0" applyNumberFormat="0" applyBorder="0" applyAlignment="0" applyProtection="0">
      <alignment vertical="center"/>
    </xf>
    <xf numFmtId="0" fontId="109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0" fillId="21" borderId="63" applyNumberFormat="0" applyAlignment="0" applyProtection="0">
      <alignment vertical="center"/>
    </xf>
    <xf numFmtId="0" fontId="111" fillId="18" borderId="0" applyNumberFormat="0" applyBorder="0" applyAlignment="0" applyProtection="0">
      <alignment vertical="center"/>
    </xf>
    <xf numFmtId="0" fontId="69" fillId="23" borderId="67" applyNumberFormat="0" applyFont="0" applyAlignment="0" applyProtection="0">
      <alignment vertical="center"/>
    </xf>
    <xf numFmtId="9" fontId="6" fillId="0" borderId="0" applyFont="0" applyFill="0" applyBorder="0" applyAlignment="0" applyProtection="0"/>
    <xf numFmtId="0" fontId="112" fillId="19" borderId="0" applyNumberFormat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4" fillId="22" borderId="66" applyNumberFormat="0" applyAlignment="0" applyProtection="0">
      <alignment vertical="center"/>
    </xf>
    <xf numFmtId="41" fontId="6" fillId="0" borderId="0" applyFont="0" applyFill="0" applyBorder="0" applyAlignment="0" applyProtection="0"/>
    <xf numFmtId="0" fontId="115" fillId="0" borderId="65" applyNumberFormat="0" applyFill="0" applyAlignment="0" applyProtection="0">
      <alignment vertical="center"/>
    </xf>
    <xf numFmtId="0" fontId="116" fillId="0" borderId="68" applyNumberFormat="0" applyFill="0" applyAlignment="0" applyProtection="0">
      <alignment vertical="center"/>
    </xf>
    <xf numFmtId="0" fontId="117" fillId="20" borderId="63" applyNumberFormat="0" applyAlignment="0" applyProtection="0">
      <alignment vertical="center"/>
    </xf>
    <xf numFmtId="0" fontId="119" fillId="0" borderId="60" applyNumberFormat="0" applyFill="0" applyAlignment="0" applyProtection="0">
      <alignment vertical="center"/>
    </xf>
    <xf numFmtId="0" fontId="120" fillId="0" borderId="61" applyNumberFormat="0" applyFill="0" applyAlignment="0" applyProtection="0">
      <alignment vertical="center"/>
    </xf>
    <xf numFmtId="0" fontId="121" fillId="0" borderId="62" applyNumberFormat="0" applyFill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2" fillId="17" borderId="0" applyNumberFormat="0" applyBorder="0" applyAlignment="0" applyProtection="0">
      <alignment vertical="center"/>
    </xf>
    <xf numFmtId="0" fontId="123" fillId="21" borderId="64" applyNumberFormat="0" applyAlignment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" fillId="0" borderId="0">
      <alignment vertical="center"/>
    </xf>
    <xf numFmtId="0" fontId="18" fillId="0" borderId="0"/>
    <xf numFmtId="41" fontId="69" fillId="0" borderId="0" applyFont="0" applyFill="0" applyBorder="0" applyAlignment="0" applyProtection="0">
      <alignment vertical="center"/>
    </xf>
    <xf numFmtId="41" fontId="70" fillId="0" borderId="0" applyFont="0" applyFill="0" applyBorder="0" applyAlignment="0" applyProtection="0">
      <alignment vertical="center"/>
    </xf>
    <xf numFmtId="9" fontId="70" fillId="0" borderId="0" applyFont="0" applyFill="0" applyBorder="0" applyAlignment="0" applyProtection="0">
      <alignment vertical="center"/>
    </xf>
    <xf numFmtId="0" fontId="6" fillId="0" borderId="0"/>
    <xf numFmtId="0" fontId="6" fillId="0" borderId="0"/>
    <xf numFmtId="0" fontId="6" fillId="0" borderId="0">
      <alignment vertical="center"/>
    </xf>
    <xf numFmtId="0" fontId="31" fillId="0" borderId="3">
      <alignment horizontal="left" vertical="center"/>
    </xf>
    <xf numFmtId="41" fontId="2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8" fillId="0" borderId="139">
      <alignment horizontal="center"/>
    </xf>
    <xf numFmtId="0" fontId="30" fillId="0" borderId="0" applyFill="0" applyBorder="0" applyAlignment="0" applyProtection="0"/>
    <xf numFmtId="2" fontId="30" fillId="0" borderId="0" applyFill="0" applyBorder="0" applyAlignment="0" applyProtection="0"/>
    <xf numFmtId="0" fontId="30" fillId="0" borderId="6" applyNumberFormat="0" applyFill="0" applyAlignment="0" applyProtection="0"/>
    <xf numFmtId="9" fontId="21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246" fontId="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4" fillId="0" borderId="0">
      <alignment vertical="center"/>
    </xf>
    <xf numFmtId="0" fontId="18" fillId="0" borderId="0"/>
    <xf numFmtId="208" fontId="11" fillId="0" borderId="4"/>
    <xf numFmtId="0" fontId="31" fillId="0" borderId="3">
      <alignment horizontal="left" vertical="center"/>
    </xf>
    <xf numFmtId="0" fontId="31" fillId="0" borderId="3">
      <alignment horizontal="left" vertical="center"/>
    </xf>
    <xf numFmtId="10" fontId="57" fillId="3" borderId="4" applyNumberFormat="0" applyBorder="0" applyAlignment="0" applyProtection="0"/>
    <xf numFmtId="248" fontId="6" fillId="0" borderId="0" applyFont="0" applyFill="0" applyBorder="0" applyAlignment="0" applyProtection="0"/>
    <xf numFmtId="249" fontId="6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0" fontId="18" fillId="0" borderId="139">
      <alignment horizontal="center"/>
    </xf>
    <xf numFmtId="0" fontId="31" fillId="0" borderId="3">
      <alignment horizontal="left" vertical="center"/>
    </xf>
    <xf numFmtId="0" fontId="31" fillId="0" borderId="3">
      <alignment horizontal="left" vertical="center"/>
    </xf>
    <xf numFmtId="10" fontId="57" fillId="3" borderId="4" applyNumberFormat="0" applyBorder="0" applyAlignment="0" applyProtection="0"/>
    <xf numFmtId="41" fontId="6" fillId="0" borderId="0" applyFont="0" applyFill="0" applyBorder="0" applyAlignment="0" applyProtection="0"/>
    <xf numFmtId="208" fontId="11" fillId="0" borderId="4"/>
    <xf numFmtId="208" fontId="11" fillId="0" borderId="4"/>
    <xf numFmtId="0" fontId="31" fillId="0" borderId="3">
      <alignment horizontal="left" vertical="center"/>
    </xf>
    <xf numFmtId="0" fontId="31" fillId="0" borderId="3">
      <alignment horizontal="left" vertical="center"/>
    </xf>
    <xf numFmtId="10" fontId="57" fillId="3" borderId="4" applyNumberFormat="0" applyBorder="0" applyAlignment="0" applyProtection="0"/>
    <xf numFmtId="0" fontId="31" fillId="0" borderId="209">
      <alignment horizontal="left" vertical="center"/>
    </xf>
    <xf numFmtId="246" fontId="6" fillId="0" borderId="0" applyFont="0" applyFill="0" applyBorder="0" applyAlignment="0" applyProtection="0"/>
    <xf numFmtId="0" fontId="6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8" fillId="0" borderId="213">
      <alignment horizontal="center"/>
    </xf>
    <xf numFmtId="0" fontId="18" fillId="0" borderId="172">
      <alignment horizontal="center"/>
    </xf>
    <xf numFmtId="10" fontId="57" fillId="3" borderId="217" applyNumberFormat="0" applyBorder="0" applyAlignment="0" applyProtection="0"/>
    <xf numFmtId="10" fontId="57" fillId="3" borderId="191" applyNumberFormat="0" applyBorder="0" applyAlignment="0" applyProtection="0"/>
    <xf numFmtId="0" fontId="31" fillId="0" borderId="227">
      <alignment horizontal="left" vertical="center"/>
    </xf>
    <xf numFmtId="208" fontId="11" fillId="0" borderId="226"/>
    <xf numFmtId="9" fontId="36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3" fontId="54" fillId="0" borderId="225">
      <alignment horizont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36" fillId="0" borderId="0" applyFont="0" applyFill="0" applyBorder="0" applyAlignment="0" applyProtection="0">
      <alignment vertical="center"/>
    </xf>
    <xf numFmtId="208" fontId="11" fillId="0" borderId="191"/>
    <xf numFmtId="0" fontId="18" fillId="0" borderId="224">
      <alignment horizontal="center"/>
    </xf>
    <xf numFmtId="0" fontId="31" fillId="0" borderId="219">
      <alignment horizontal="left" vertical="center"/>
    </xf>
    <xf numFmtId="208" fontId="11" fillId="0" borderId="217"/>
    <xf numFmtId="3" fontId="54" fillId="0" borderId="222">
      <alignment horizontal="center"/>
    </xf>
    <xf numFmtId="10" fontId="57" fillId="3" borderId="226" applyNumberFormat="0" applyBorder="0" applyAlignment="0" applyProtection="0"/>
    <xf numFmtId="0" fontId="18" fillId="0" borderId="228">
      <alignment horizontal="center"/>
    </xf>
    <xf numFmtId="0" fontId="31" fillId="0" borderId="227">
      <alignment horizontal="left" vertical="center"/>
    </xf>
    <xf numFmtId="10" fontId="57" fillId="3" borderId="212" applyNumberFormat="0" applyBorder="0" applyAlignment="0" applyProtection="0"/>
    <xf numFmtId="0" fontId="31" fillId="0" borderId="214">
      <alignment horizontal="left" vertical="center"/>
    </xf>
    <xf numFmtId="0" fontId="18" fillId="0" borderId="220">
      <alignment horizontal="center"/>
    </xf>
    <xf numFmtId="0" fontId="18" fillId="0" borderId="210">
      <alignment horizont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0" fontId="57" fillId="3" borderId="226" applyNumberFormat="0" applyBorder="0" applyAlignment="0" applyProtection="0"/>
    <xf numFmtId="0" fontId="31" fillId="0" borderId="214">
      <alignment horizontal="left" vertical="center"/>
    </xf>
    <xf numFmtId="0" fontId="18" fillId="0" borderId="218">
      <alignment horizontal="center"/>
    </xf>
    <xf numFmtId="0" fontId="18" fillId="0" borderId="215">
      <alignment horizontal="center"/>
    </xf>
    <xf numFmtId="3" fontId="54" fillId="0" borderId="176">
      <alignment horizontal="center"/>
    </xf>
    <xf numFmtId="208" fontId="11" fillId="0" borderId="221"/>
    <xf numFmtId="0" fontId="18" fillId="0" borderId="223">
      <alignment horizontal="center"/>
    </xf>
    <xf numFmtId="0" fontId="31" fillId="0" borderId="219">
      <alignment horizontal="left" vertical="center"/>
    </xf>
    <xf numFmtId="0" fontId="31" fillId="0" borderId="227">
      <alignment horizontal="left" vertical="center"/>
    </xf>
    <xf numFmtId="3" fontId="54" fillId="0" borderId="216">
      <alignment horizontal="center"/>
    </xf>
    <xf numFmtId="208" fontId="11" fillId="0" borderId="212"/>
    <xf numFmtId="0" fontId="31" fillId="0" borderId="227">
      <alignment horizontal="left" vertical="center"/>
    </xf>
    <xf numFmtId="3" fontId="54" fillId="0" borderId="211">
      <alignment horizontal="center"/>
    </xf>
    <xf numFmtId="10" fontId="57" fillId="3" borderId="221" applyNumberFormat="0" applyBorder="0" applyAlignment="0" applyProtection="0"/>
    <xf numFmtId="0" fontId="31" fillId="0" borderId="209">
      <alignment horizontal="left"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8" fillId="0" borderId="199">
      <alignment horizont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208" fontId="11" fillId="0" borderId="191"/>
    <xf numFmtId="0" fontId="31" fillId="0" borderId="209">
      <alignment horizontal="left" vertical="center"/>
    </xf>
    <xf numFmtId="0" fontId="31" fillId="0" borderId="209">
      <alignment horizontal="left" vertical="center"/>
    </xf>
    <xf numFmtId="10" fontId="57" fillId="3" borderId="191" applyNumberFormat="0" applyBorder="0" applyAlignment="0" applyProtection="0"/>
    <xf numFmtId="0" fontId="18" fillId="0" borderId="199">
      <alignment horizontal="center"/>
    </xf>
    <xf numFmtId="0" fontId="31" fillId="0" borderId="209">
      <alignment horizontal="left" vertical="center"/>
    </xf>
    <xf numFmtId="0" fontId="31" fillId="0" borderId="209">
      <alignment horizontal="left" vertical="center"/>
    </xf>
    <xf numFmtId="10" fontId="57" fillId="3" borderId="191" applyNumberFormat="0" applyBorder="0" applyAlignment="0" applyProtection="0"/>
    <xf numFmtId="208" fontId="11" fillId="0" borderId="191"/>
    <xf numFmtId="208" fontId="11" fillId="0" borderId="191"/>
    <xf numFmtId="0" fontId="31" fillId="0" borderId="209">
      <alignment horizontal="left" vertical="center"/>
    </xf>
    <xf numFmtId="0" fontId="31" fillId="0" borderId="209">
      <alignment horizontal="left" vertical="center"/>
    </xf>
    <xf numFmtId="10" fontId="57" fillId="3" borderId="191" applyNumberFormat="0" applyBorder="0" applyAlignment="0" applyProtection="0"/>
    <xf numFmtId="208" fontId="11" fillId="0" borderId="212"/>
    <xf numFmtId="0" fontId="31" fillId="0" borderId="214">
      <alignment horizontal="left" vertical="center"/>
    </xf>
    <xf numFmtId="0" fontId="31" fillId="0" borderId="214">
      <alignment horizontal="left" vertical="center"/>
    </xf>
    <xf numFmtId="10" fontId="57" fillId="3" borderId="212" applyNumberFormat="0" applyBorder="0" applyAlignment="0" applyProtection="0"/>
    <xf numFmtId="208" fontId="11" fillId="0" borderId="226"/>
    <xf numFmtId="0" fontId="18" fillId="0" borderId="213">
      <alignment horizontal="center"/>
    </xf>
    <xf numFmtId="0" fontId="31" fillId="0" borderId="214">
      <alignment horizontal="left" vertical="center"/>
    </xf>
    <xf numFmtId="0" fontId="31" fillId="0" borderId="214">
      <alignment horizontal="left" vertical="center"/>
    </xf>
    <xf numFmtId="10" fontId="57" fillId="3" borderId="212" applyNumberFormat="0" applyBorder="0" applyAlignment="0" applyProtection="0"/>
    <xf numFmtId="208" fontId="11" fillId="0" borderId="212"/>
    <xf numFmtId="208" fontId="11" fillId="0" borderId="212"/>
    <xf numFmtId="0" fontId="31" fillId="0" borderId="214">
      <alignment horizontal="left" vertical="center"/>
    </xf>
    <xf numFmtId="0" fontId="31" fillId="0" borderId="214">
      <alignment horizontal="left" vertical="center"/>
    </xf>
    <xf numFmtId="10" fontId="57" fillId="3" borderId="212" applyNumberFormat="0" applyBorder="0" applyAlignment="0" applyProtection="0"/>
    <xf numFmtId="208" fontId="11" fillId="0" borderId="217"/>
    <xf numFmtId="0" fontId="31" fillId="0" borderId="219">
      <alignment horizontal="left" vertical="center"/>
    </xf>
    <xf numFmtId="0" fontId="31" fillId="0" borderId="219">
      <alignment horizontal="left" vertical="center"/>
    </xf>
    <xf numFmtId="10" fontId="57" fillId="3" borderId="217" applyNumberFormat="0" applyBorder="0" applyAlignment="0" applyProtection="0"/>
    <xf numFmtId="0" fontId="18" fillId="0" borderId="218">
      <alignment horizontal="center"/>
    </xf>
    <xf numFmtId="0" fontId="31" fillId="0" borderId="219">
      <alignment horizontal="left" vertical="center"/>
    </xf>
    <xf numFmtId="0" fontId="31" fillId="0" borderId="219">
      <alignment horizontal="left" vertical="center"/>
    </xf>
    <xf numFmtId="10" fontId="57" fillId="3" borderId="217" applyNumberFormat="0" applyBorder="0" applyAlignment="0" applyProtection="0"/>
    <xf numFmtId="208" fontId="11" fillId="0" borderId="217"/>
    <xf numFmtId="208" fontId="11" fillId="0" borderId="217"/>
    <xf numFmtId="0" fontId="31" fillId="0" borderId="219">
      <alignment horizontal="left" vertical="center"/>
    </xf>
    <xf numFmtId="0" fontId="31" fillId="0" borderId="219">
      <alignment horizontal="left" vertical="center"/>
    </xf>
    <xf numFmtId="10" fontId="57" fillId="3" borderId="217" applyNumberFormat="0" applyBorder="0" applyAlignment="0" applyProtection="0"/>
    <xf numFmtId="208" fontId="11" fillId="0" borderId="221"/>
    <xf numFmtId="10" fontId="57" fillId="3" borderId="221" applyNumberFormat="0" applyBorder="0" applyAlignment="0" applyProtection="0"/>
    <xf numFmtId="0" fontId="18" fillId="0" borderId="223">
      <alignment horizontal="center"/>
    </xf>
    <xf numFmtId="10" fontId="57" fillId="3" borderId="221" applyNumberFormat="0" applyBorder="0" applyAlignment="0" applyProtection="0"/>
    <xf numFmtId="208" fontId="11" fillId="0" borderId="221"/>
    <xf numFmtId="208" fontId="11" fillId="0" borderId="221"/>
    <xf numFmtId="10" fontId="57" fillId="3" borderId="221" applyNumberFormat="0" applyBorder="0" applyAlignment="0" applyProtection="0"/>
    <xf numFmtId="0" fontId="18" fillId="0" borderId="228">
      <alignment horizontal="center"/>
    </xf>
    <xf numFmtId="0" fontId="31" fillId="0" borderId="227">
      <alignment horizontal="left" vertical="center"/>
    </xf>
    <xf numFmtId="0" fontId="31" fillId="0" borderId="227">
      <alignment horizontal="left" vertical="center"/>
    </xf>
    <xf numFmtId="10" fontId="57" fillId="3" borderId="226" applyNumberFormat="0" applyBorder="0" applyAlignment="0" applyProtection="0"/>
    <xf numFmtId="208" fontId="11" fillId="0" borderId="226"/>
    <xf numFmtId="208" fontId="11" fillId="0" borderId="226"/>
    <xf numFmtId="0" fontId="31" fillId="0" borderId="227">
      <alignment horizontal="left" vertical="center"/>
    </xf>
    <xf numFmtId="0" fontId="31" fillId="0" borderId="227">
      <alignment horizontal="left" vertical="center"/>
    </xf>
    <xf numFmtId="10" fontId="57" fillId="3" borderId="226" applyNumberFormat="0" applyBorder="0" applyAlignment="0" applyProtection="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6" fillId="0" borderId="0">
      <alignment vertical="center"/>
    </xf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194" fontId="19" fillId="0" borderId="0" applyFont="0" applyFill="0" applyBorder="0" applyAlignment="0" applyProtection="0"/>
    <xf numFmtId="194" fontId="25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6" fontId="26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25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9" fontId="26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19" fillId="0" borderId="0" applyFont="0" applyFill="0" applyBorder="0" applyAlignment="0" applyProtection="0"/>
    <xf numFmtId="187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2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>
      <alignment vertical="center"/>
    </xf>
    <xf numFmtId="0" fontId="199" fillId="0" borderId="0"/>
    <xf numFmtId="0" fontId="6" fillId="0" borderId="0"/>
    <xf numFmtId="0" fontId="6" fillId="0" borderId="0">
      <alignment vertical="center"/>
    </xf>
    <xf numFmtId="0" fontId="18" fillId="0" borderId="0"/>
    <xf numFmtId="0" fontId="19" fillId="0" borderId="0" applyFont="0" applyFill="0" applyBorder="0" applyAlignment="0" applyProtection="0"/>
    <xf numFmtId="0" fontId="213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16" fillId="65" borderId="194">
      <alignment horizontal="center" vertical="center"/>
    </xf>
    <xf numFmtId="0" fontId="217" fillId="0" borderId="0"/>
    <xf numFmtId="0" fontId="217" fillId="0" borderId="0"/>
    <xf numFmtId="0" fontId="217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0" fontId="11" fillId="0" borderId="0"/>
    <xf numFmtId="256" fontId="11" fillId="0" borderId="0" applyFill="0" applyBorder="0" applyAlignment="0" applyProtection="0"/>
    <xf numFmtId="7" fontId="11" fillId="0" borderId="0" applyFill="0" applyBorder="0" applyAlignment="0" applyProtection="0"/>
    <xf numFmtId="257" fontId="6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218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218" fillId="0" borderId="0">
      <protection locked="0"/>
    </xf>
    <xf numFmtId="37" fontId="219" fillId="0" borderId="0"/>
    <xf numFmtId="0" fontId="11" fillId="0" borderId="0" applyNumberFormat="0" applyFill="0" applyBorder="0" applyAlignment="0" applyProtection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0" fontId="220" fillId="0" borderId="0"/>
    <xf numFmtId="258" fontId="221" fillId="66" borderId="0">
      <alignment vertical="center"/>
    </xf>
    <xf numFmtId="10" fontId="11" fillId="0" borderId="0" applyFill="0" applyBorder="0" applyAlignment="0" applyProtection="0"/>
    <xf numFmtId="0" fontId="222" fillId="67" borderId="194">
      <alignment horizontal="center" vertical="center"/>
    </xf>
    <xf numFmtId="0" fontId="45" fillId="0" borderId="231">
      <alignment horizontal="left"/>
    </xf>
    <xf numFmtId="41" fontId="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58" fontId="11" fillId="0" borderId="194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2276">
    <xf numFmtId="0" fontId="0" fillId="0" borderId="0" xfId="0"/>
    <xf numFmtId="0" fontId="8" fillId="0" borderId="0" xfId="0" applyFont="1"/>
    <xf numFmtId="0" fontId="6" fillId="0" borderId="0" xfId="750">
      <alignment vertical="center"/>
    </xf>
    <xf numFmtId="0" fontId="6" fillId="0" borderId="0" xfId="750" applyBorder="1" applyAlignment="1">
      <alignment horizontal="center" vertical="center"/>
    </xf>
    <xf numFmtId="0" fontId="6" fillId="0" borderId="0" xfId="750" applyFont="1">
      <alignment vertical="center"/>
    </xf>
    <xf numFmtId="184" fontId="6" fillId="0" borderId="0" xfId="750" applyNumberFormat="1">
      <alignment vertical="center"/>
    </xf>
    <xf numFmtId="43" fontId="6" fillId="0" borderId="0" xfId="750" applyNumberFormat="1">
      <alignment vertical="center"/>
    </xf>
    <xf numFmtId="41" fontId="6" fillId="0" borderId="0" xfId="750" applyNumberFormat="1" applyBorder="1">
      <alignment vertical="center"/>
    </xf>
    <xf numFmtId="41" fontId="6" fillId="0" borderId="0" xfId="750" applyNumberFormat="1">
      <alignment vertical="center"/>
    </xf>
    <xf numFmtId="0" fontId="6" fillId="2" borderId="0" xfId="750" applyFill="1" applyBorder="1" applyAlignment="1">
      <alignment horizontal="center" vertical="center"/>
    </xf>
    <xf numFmtId="41" fontId="6" fillId="2" borderId="0" xfId="149" applyFill="1" applyBorder="1" applyAlignment="1">
      <alignment horizontal="center" vertical="center"/>
    </xf>
    <xf numFmtId="184" fontId="6" fillId="0" borderId="0" xfId="149" applyNumberFormat="1" applyBorder="1" applyAlignment="1">
      <alignment horizontal="center" vertical="center"/>
    </xf>
    <xf numFmtId="43" fontId="6" fillId="0" borderId="0" xfId="750" applyNumberFormat="1" applyFont="1">
      <alignment vertical="center"/>
    </xf>
    <xf numFmtId="184" fontId="42" fillId="0" borderId="0" xfId="149" applyNumberFormat="1" applyFont="1" applyBorder="1" applyAlignment="1">
      <alignment horizontal="center" vertical="center"/>
    </xf>
    <xf numFmtId="0" fontId="43" fillId="0" borderId="0" xfId="0" applyFont="1" applyFill="1" applyBorder="1" applyAlignment="1">
      <alignment vertical="center"/>
    </xf>
    <xf numFmtId="10" fontId="43" fillId="0" borderId="0" xfId="140" applyNumberFormat="1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41" fontId="41" fillId="0" borderId="0" xfId="750" applyNumberFormat="1" applyFont="1" applyBorder="1">
      <alignment vertical="center"/>
    </xf>
    <xf numFmtId="41" fontId="6" fillId="0" borderId="0" xfId="149" applyBorder="1" applyAlignment="1">
      <alignment horizontal="center" vertical="center"/>
    </xf>
    <xf numFmtId="41" fontId="6" fillId="7" borderId="0" xfId="149" applyFill="1" applyBorder="1" applyAlignment="1">
      <alignment horizontal="center" vertical="center"/>
    </xf>
    <xf numFmtId="41" fontId="42" fillId="0" borderId="0" xfId="149" applyNumberFormat="1" applyFont="1" applyBorder="1" applyAlignment="1">
      <alignment horizontal="center" vertical="center"/>
    </xf>
    <xf numFmtId="41" fontId="8" fillId="0" borderId="0" xfId="149" applyFont="1" applyBorder="1" applyAlignment="1">
      <alignment horizontal="center" vertical="center"/>
    </xf>
    <xf numFmtId="41" fontId="8" fillId="2" borderId="0" xfId="149" applyFont="1" applyFill="1" applyBorder="1" applyAlignment="1">
      <alignment horizontal="center" vertical="center"/>
    </xf>
    <xf numFmtId="0" fontId="8" fillId="0" borderId="0" xfId="750" applyFont="1">
      <alignment vertical="center"/>
    </xf>
    <xf numFmtId="0" fontId="8" fillId="0" borderId="0" xfId="750" applyFont="1" applyBorder="1" applyAlignment="1">
      <alignment horizontal="center" vertical="center"/>
    </xf>
    <xf numFmtId="184" fontId="64" fillId="0" borderId="0" xfId="149" applyNumberFormat="1" applyFont="1" applyBorder="1" applyAlignment="1">
      <alignment horizontal="center" vertical="center"/>
    </xf>
    <xf numFmtId="184" fontId="8" fillId="0" borderId="0" xfId="149" applyNumberFormat="1" applyFont="1" applyBorder="1" applyAlignment="1">
      <alignment horizontal="center" vertical="center"/>
    </xf>
    <xf numFmtId="41" fontId="64" fillId="0" borderId="0" xfId="149" applyNumberFormat="1" applyFont="1" applyBorder="1" applyAlignment="1">
      <alignment horizontal="center" vertical="center"/>
    </xf>
    <xf numFmtId="0" fontId="68" fillId="0" borderId="0" xfId="0" applyFont="1"/>
    <xf numFmtId="219" fontId="66" fillId="7" borderId="4" xfId="188" applyNumberFormat="1" applyFont="1" applyFill="1" applyBorder="1" applyAlignment="1">
      <alignment horizontal="right" vertical="center"/>
    </xf>
    <xf numFmtId="201" fontId="66" fillId="2" borderId="30" xfId="188" applyNumberFormat="1" applyFont="1" applyFill="1" applyBorder="1" applyAlignment="1">
      <alignment horizontal="center" vertical="center" wrapText="1"/>
    </xf>
    <xf numFmtId="201" fontId="66" fillId="2" borderId="31" xfId="188" applyNumberFormat="1" applyFont="1" applyFill="1" applyBorder="1" applyAlignment="1">
      <alignment horizontal="center" vertical="center" wrapText="1"/>
    </xf>
    <xf numFmtId="201" fontId="66" fillId="2" borderId="29" xfId="188" applyNumberFormat="1" applyFont="1" applyFill="1" applyBorder="1" applyAlignment="1">
      <alignment horizontal="center" vertical="center" wrapText="1"/>
    </xf>
    <xf numFmtId="201" fontId="66" fillId="2" borderId="32" xfId="188" applyNumberFormat="1" applyFont="1" applyFill="1" applyBorder="1" applyAlignment="1">
      <alignment vertical="center" wrapText="1"/>
    </xf>
    <xf numFmtId="201" fontId="66" fillId="2" borderId="35" xfId="188" applyNumberFormat="1" applyFont="1" applyFill="1" applyBorder="1" applyAlignment="1">
      <alignment vertical="center" wrapText="1"/>
    </xf>
    <xf numFmtId="201" fontId="66" fillId="2" borderId="33" xfId="188" applyNumberFormat="1" applyFont="1" applyFill="1" applyBorder="1" applyAlignment="1">
      <alignment vertical="center" wrapText="1"/>
    </xf>
    <xf numFmtId="180" fontId="66" fillId="9" borderId="4" xfId="150" applyNumberFormat="1" applyFont="1" applyFill="1" applyBorder="1">
      <alignment vertical="center"/>
    </xf>
    <xf numFmtId="180" fontId="66" fillId="0" borderId="4" xfId="150" applyNumberFormat="1" applyFont="1" applyBorder="1">
      <alignment vertical="center"/>
    </xf>
    <xf numFmtId="0" fontId="66" fillId="0" borderId="0" xfId="0" applyFont="1" applyAlignment="1">
      <alignment horizontal="right" vertical="center"/>
    </xf>
    <xf numFmtId="41" fontId="66" fillId="0" borderId="0" xfId="0" applyNumberFormat="1" applyFont="1" applyAlignment="1">
      <alignment vertical="center"/>
    </xf>
    <xf numFmtId="43" fontId="66" fillId="0" borderId="0" xfId="0" applyNumberFormat="1" applyFont="1" applyAlignment="1">
      <alignment vertical="center"/>
    </xf>
    <xf numFmtId="41" fontId="66" fillId="0" borderId="4" xfId="150" applyFont="1" applyBorder="1">
      <alignment vertical="center"/>
    </xf>
    <xf numFmtId="41" fontId="66" fillId="11" borderId="4" xfId="150" applyFont="1" applyFill="1" applyBorder="1">
      <alignment vertical="center"/>
    </xf>
    <xf numFmtId="41" fontId="67" fillId="0" borderId="4" xfId="150" applyFont="1" applyFill="1" applyBorder="1" applyAlignment="1">
      <alignment horizontal="right" vertical="center"/>
    </xf>
    <xf numFmtId="41" fontId="66" fillId="11" borderId="4" xfId="150" applyFont="1" applyFill="1" applyBorder="1" applyAlignment="1">
      <alignment horizontal="right" vertical="center"/>
    </xf>
    <xf numFmtId="41" fontId="66" fillId="0" borderId="4" xfId="150" applyFont="1" applyBorder="1" applyAlignment="1">
      <alignment horizontal="right" vertical="center" wrapText="1"/>
    </xf>
    <xf numFmtId="41" fontId="66" fillId="0" borderId="4" xfId="150" applyFont="1" applyFill="1" applyBorder="1" applyAlignment="1">
      <alignment horizontal="right" vertical="center" wrapText="1"/>
    </xf>
    <xf numFmtId="41" fontId="66" fillId="5" borderId="4" xfId="150" applyFont="1" applyFill="1" applyBorder="1" applyAlignment="1">
      <alignment horizontal="right" vertical="center" wrapText="1"/>
    </xf>
    <xf numFmtId="0" fontId="66" fillId="0" borderId="4" xfId="0" applyFont="1" applyBorder="1" applyAlignment="1">
      <alignment vertical="center"/>
    </xf>
    <xf numFmtId="201" fontId="66" fillId="2" borderId="4" xfId="188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vertical="center"/>
    </xf>
    <xf numFmtId="0" fontId="72" fillId="0" borderId="0" xfId="750" applyFont="1">
      <alignment vertical="center"/>
    </xf>
    <xf numFmtId="0" fontId="34" fillId="0" borderId="0" xfId="750" applyFont="1">
      <alignment vertical="center"/>
    </xf>
    <xf numFmtId="41" fontId="35" fillId="0" borderId="0" xfId="750" applyNumberFormat="1" applyFont="1">
      <alignment vertical="center"/>
    </xf>
    <xf numFmtId="41" fontId="34" fillId="0" borderId="0" xfId="750" applyNumberFormat="1" applyFont="1">
      <alignment vertical="center"/>
    </xf>
    <xf numFmtId="0" fontId="73" fillId="0" borderId="0" xfId="750" applyFont="1">
      <alignment vertical="center"/>
    </xf>
    <xf numFmtId="0" fontId="73" fillId="0" borderId="0" xfId="750" applyFont="1" applyBorder="1" applyAlignment="1">
      <alignment horizontal="left" vertical="center"/>
    </xf>
    <xf numFmtId="41" fontId="76" fillId="2" borderId="4" xfId="149" applyFont="1" applyFill="1" applyBorder="1" applyAlignment="1">
      <alignment horizontal="center" vertical="center"/>
    </xf>
    <xf numFmtId="182" fontId="76" fillId="2" borderId="4" xfId="750" applyNumberFormat="1" applyFont="1" applyFill="1" applyBorder="1" applyAlignment="1">
      <alignment horizontal="center" vertical="center"/>
    </xf>
    <xf numFmtId="41" fontId="76" fillId="7" borderId="4" xfId="149" applyFont="1" applyFill="1" applyBorder="1" applyAlignment="1">
      <alignment horizontal="center" vertical="center"/>
    </xf>
    <xf numFmtId="0" fontId="76" fillId="2" borderId="0" xfId="750" applyFont="1" applyFill="1" applyBorder="1" applyAlignment="1">
      <alignment horizontal="center" vertical="center"/>
    </xf>
    <xf numFmtId="41" fontId="76" fillId="2" borderId="0" xfId="149" applyFont="1" applyFill="1" applyBorder="1" applyAlignment="1">
      <alignment horizontal="center" vertical="center"/>
    </xf>
    <xf numFmtId="0" fontId="76" fillId="0" borderId="0" xfId="750" applyFont="1" applyFill="1" applyBorder="1" applyAlignment="1">
      <alignment horizontal="left" vertical="center"/>
    </xf>
    <xf numFmtId="0" fontId="76" fillId="0" borderId="0" xfId="750" applyFont="1">
      <alignment vertical="center"/>
    </xf>
    <xf numFmtId="41" fontId="76" fillId="0" borderId="0" xfId="149" applyFont="1" applyAlignment="1">
      <alignment vertical="center"/>
    </xf>
    <xf numFmtId="182" fontId="76" fillId="0" borderId="0" xfId="750" applyNumberFormat="1" applyFont="1">
      <alignment vertical="center"/>
    </xf>
    <xf numFmtId="0" fontId="76" fillId="0" borderId="4" xfId="750" applyFont="1" applyBorder="1" applyAlignment="1">
      <alignment horizontal="center" vertical="center"/>
    </xf>
    <xf numFmtId="0" fontId="76" fillId="0" borderId="0" xfId="750" applyFont="1" applyBorder="1" applyAlignment="1">
      <alignment horizontal="center" vertical="center"/>
    </xf>
    <xf numFmtId="184" fontId="76" fillId="0" borderId="0" xfId="149" applyNumberFormat="1" applyFont="1" applyBorder="1" applyAlignment="1">
      <alignment horizontal="center" vertical="center"/>
    </xf>
    <xf numFmtId="184" fontId="76" fillId="0" borderId="4" xfId="149" applyNumberFormat="1" applyFont="1" applyBorder="1" applyAlignment="1">
      <alignment horizontal="center" vertical="center"/>
    </xf>
    <xf numFmtId="184" fontId="77" fillId="0" borderId="0" xfId="149" applyNumberFormat="1" applyFont="1" applyBorder="1" applyAlignment="1">
      <alignment horizontal="center" vertical="center"/>
    </xf>
    <xf numFmtId="41" fontId="77" fillId="0" borderId="4" xfId="149" applyNumberFormat="1" applyFont="1" applyBorder="1" applyAlignment="1">
      <alignment horizontal="center" vertical="center"/>
    </xf>
    <xf numFmtId="184" fontId="76" fillId="0" borderId="0" xfId="149" applyNumberFormat="1" applyFont="1" applyAlignment="1">
      <alignment vertical="center"/>
    </xf>
    <xf numFmtId="184" fontId="76" fillId="0" borderId="0" xfId="750" applyNumberFormat="1" applyFont="1">
      <alignment vertical="center"/>
    </xf>
    <xf numFmtId="43" fontId="76" fillId="0" borderId="0" xfId="750" applyNumberFormat="1" applyFont="1">
      <alignment vertical="center"/>
    </xf>
    <xf numFmtId="0" fontId="78" fillId="0" borderId="0" xfId="0" applyFont="1" applyFill="1" applyAlignment="1">
      <alignment horizontal="left" vertical="center"/>
    </xf>
    <xf numFmtId="0" fontId="76" fillId="0" borderId="0" xfId="0" applyFont="1" applyFill="1" applyAlignment="1">
      <alignment vertical="center"/>
    </xf>
    <xf numFmtId="0" fontId="79" fillId="0" borderId="0" xfId="0" applyFont="1" applyFill="1" applyAlignment="1">
      <alignment horizontal="left" vertical="center"/>
    </xf>
    <xf numFmtId="0" fontId="80" fillId="0" borderId="0" xfId="0" applyFont="1" applyFill="1" applyAlignment="1">
      <alignment horizontal="left" vertical="center"/>
    </xf>
    <xf numFmtId="0" fontId="74" fillId="0" borderId="0" xfId="0" applyFont="1" applyFill="1" applyAlignment="1">
      <alignment horizontal="left" vertical="center"/>
    </xf>
    <xf numFmtId="0" fontId="81" fillId="0" borderId="0" xfId="0" applyFont="1" applyFill="1" applyAlignment="1">
      <alignment horizontal="left" vertical="center"/>
    </xf>
    <xf numFmtId="0" fontId="73" fillId="0" borderId="0" xfId="0" applyFont="1"/>
    <xf numFmtId="0" fontId="82" fillId="0" borderId="0" xfId="214" applyFont="1" applyAlignment="1">
      <alignment horizontal="left" vertical="center"/>
    </xf>
    <xf numFmtId="0" fontId="83" fillId="0" borderId="0" xfId="762" applyFont="1" applyBorder="1" applyAlignment="1">
      <alignment horizontal="centerContinuous" vertical="center"/>
    </xf>
    <xf numFmtId="0" fontId="83" fillId="0" borderId="0" xfId="762" applyFont="1" applyBorder="1">
      <alignment vertical="center"/>
    </xf>
    <xf numFmtId="0" fontId="84" fillId="0" borderId="0" xfId="762" applyFont="1">
      <alignment vertical="center"/>
    </xf>
    <xf numFmtId="0" fontId="85" fillId="0" borderId="0" xfId="214" applyFont="1" applyAlignment="1">
      <alignment horizontal="left" vertical="center"/>
    </xf>
    <xf numFmtId="0" fontId="86" fillId="0" borderId="0" xfId="214" applyFont="1" applyAlignment="1">
      <alignment horizontal="left" vertical="center"/>
    </xf>
    <xf numFmtId="0" fontId="83" fillId="0" borderId="0" xfId="762" applyFont="1">
      <alignment vertical="center"/>
    </xf>
    <xf numFmtId="0" fontId="87" fillId="12" borderId="0" xfId="762" applyFont="1" applyFill="1">
      <alignment vertical="center"/>
    </xf>
    <xf numFmtId="0" fontId="83" fillId="0" borderId="0" xfId="762" applyFont="1" applyAlignment="1">
      <alignment horizontal="center" vertical="center"/>
    </xf>
    <xf numFmtId="0" fontId="88" fillId="0" borderId="0" xfId="762" applyFont="1">
      <alignment vertical="center"/>
    </xf>
    <xf numFmtId="0" fontId="83" fillId="0" borderId="0" xfId="762" applyFont="1" applyAlignment="1">
      <alignment horizontal="centerContinuous" vertical="center"/>
    </xf>
    <xf numFmtId="0" fontId="89" fillId="0" borderId="0" xfId="762" applyFont="1" applyAlignment="1">
      <alignment horizontal="center" vertical="center"/>
    </xf>
    <xf numFmtId="0" fontId="89" fillId="0" borderId="37" xfId="762" applyFont="1" applyFill="1" applyBorder="1" applyAlignment="1">
      <alignment horizontal="centerContinuous" vertical="center"/>
    </xf>
    <xf numFmtId="0" fontId="89" fillId="0" borderId="0" xfId="762" applyFont="1">
      <alignment vertical="center"/>
    </xf>
    <xf numFmtId="220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221" fontId="89" fillId="0" borderId="0" xfId="762" applyNumberFormat="1" applyFont="1" applyAlignment="1">
      <alignment horizontal="centerContinuous" vertical="center"/>
    </xf>
    <xf numFmtId="222" fontId="89" fillId="0" borderId="0" xfId="762" applyNumberFormat="1" applyFont="1" applyAlignment="1">
      <alignment horizontal="centerContinuous" vertical="center"/>
    </xf>
    <xf numFmtId="0" fontId="89" fillId="0" borderId="0" xfId="762" applyFont="1" applyAlignment="1">
      <alignment horizontal="centerContinuous" vertical="center"/>
    </xf>
    <xf numFmtId="0" fontId="90" fillId="12" borderId="0" xfId="762" applyFont="1" applyFill="1" applyAlignment="1">
      <alignment horizontal="centerContinuous" vertical="center"/>
    </xf>
    <xf numFmtId="0" fontId="90" fillId="0" borderId="0" xfId="762" applyFont="1" applyAlignment="1">
      <alignment horizontal="centerContinuous" vertical="center"/>
    </xf>
    <xf numFmtId="3" fontId="89" fillId="0" borderId="38" xfId="762" applyNumberFormat="1" applyFont="1" applyFill="1" applyBorder="1" applyAlignment="1">
      <alignment horizontal="centerContinuous" vertical="center"/>
    </xf>
    <xf numFmtId="0" fontId="89" fillId="0" borderId="38" xfId="762" applyFont="1" applyFill="1" applyBorder="1" applyAlignment="1">
      <alignment horizontal="centerContinuous" vertical="center"/>
    </xf>
    <xf numFmtId="223" fontId="90" fillId="0" borderId="38" xfId="762" applyNumberFormat="1" applyFont="1" applyFill="1" applyBorder="1" applyAlignment="1">
      <alignment horizontal="centerContinuous" vertical="center"/>
    </xf>
    <xf numFmtId="0" fontId="90" fillId="0" borderId="38" xfId="762" applyFont="1" applyFill="1" applyBorder="1" applyAlignment="1">
      <alignment horizontal="centerContinuous" vertical="center"/>
    </xf>
    <xf numFmtId="0" fontId="89" fillId="0" borderId="38" xfId="762" applyFont="1" applyFill="1" applyBorder="1">
      <alignment vertical="center"/>
    </xf>
    <xf numFmtId="224" fontId="89" fillId="0" borderId="38" xfId="762" applyNumberFormat="1" applyFont="1" applyFill="1" applyBorder="1" applyAlignment="1">
      <alignment horizontal="centerContinuous" vertical="center"/>
    </xf>
    <xf numFmtId="225" fontId="89" fillId="0" borderId="38" xfId="762" applyNumberFormat="1" applyFont="1" applyFill="1" applyBorder="1" applyAlignment="1">
      <alignment horizontal="centerContinuous" vertical="center"/>
    </xf>
    <xf numFmtId="0" fontId="91" fillId="0" borderId="0" xfId="762" applyFont="1" applyAlignment="1">
      <alignment horizontal="left" vertical="center"/>
    </xf>
    <xf numFmtId="0" fontId="89" fillId="0" borderId="0" xfId="762" applyFont="1" applyAlignment="1">
      <alignment vertical="center"/>
    </xf>
    <xf numFmtId="220" fontId="89" fillId="0" borderId="0" xfId="762" applyNumberFormat="1" applyFont="1" applyFill="1" applyAlignment="1">
      <alignment horizontal="centerContinuous" vertical="center"/>
    </xf>
    <xf numFmtId="0" fontId="89" fillId="0" borderId="0" xfId="762" applyFont="1" applyFill="1" applyAlignment="1">
      <alignment horizontal="centerContinuous" vertical="center"/>
    </xf>
    <xf numFmtId="0" fontId="90" fillId="0" borderId="0" xfId="762" applyFont="1" applyFill="1" applyAlignment="1">
      <alignment horizontal="centerContinuous" vertical="center"/>
    </xf>
    <xf numFmtId="220" fontId="89" fillId="13" borderId="0" xfId="762" applyNumberFormat="1" applyFont="1" applyFill="1" applyAlignment="1">
      <alignment horizontal="centerContinuous" vertical="center"/>
    </xf>
    <xf numFmtId="0" fontId="89" fillId="13" borderId="0" xfId="762" applyFont="1" applyFill="1" applyAlignment="1">
      <alignment horizontal="centerContinuous" vertical="center"/>
    </xf>
    <xf numFmtId="0" fontId="90" fillId="13" borderId="0" xfId="762" applyFont="1" applyFill="1" applyAlignment="1">
      <alignment horizontal="centerContinuous" vertical="center"/>
    </xf>
    <xf numFmtId="0" fontId="89" fillId="0" borderId="39" xfId="762" applyFont="1" applyBorder="1" applyAlignment="1">
      <alignment horizontal="centerContinuous" vertical="center"/>
    </xf>
    <xf numFmtId="0" fontId="89" fillId="0" borderId="39" xfId="762" applyFont="1" applyBorder="1" applyAlignment="1">
      <alignment horizontal="center" vertical="center"/>
    </xf>
    <xf numFmtId="223" fontId="89" fillId="0" borderId="39" xfId="762" applyNumberFormat="1" applyFont="1" applyBorder="1" applyAlignment="1">
      <alignment horizontal="center" vertical="center"/>
    </xf>
    <xf numFmtId="0" fontId="89" fillId="0" borderId="39" xfId="762" applyFont="1" applyBorder="1">
      <alignment vertical="center"/>
    </xf>
    <xf numFmtId="0" fontId="89" fillId="0" borderId="39" xfId="762" applyFont="1" applyBorder="1" applyAlignment="1">
      <alignment horizontal="left" vertical="center"/>
    </xf>
    <xf numFmtId="0" fontId="89" fillId="0" borderId="0" xfId="762" applyFont="1" applyBorder="1" applyAlignment="1">
      <alignment horizontal="centerContinuous" vertical="center"/>
    </xf>
    <xf numFmtId="0" fontId="89" fillId="0" borderId="0" xfId="762" applyFont="1" applyBorder="1" applyAlignment="1">
      <alignment horizontal="center" vertical="center"/>
    </xf>
    <xf numFmtId="223" fontId="89" fillId="0" borderId="0" xfId="762" applyNumberFormat="1" applyFont="1" applyBorder="1" applyAlignment="1">
      <alignment horizontal="center" vertical="center"/>
    </xf>
    <xf numFmtId="0" fontId="89" fillId="0" borderId="0" xfId="762" applyFont="1" applyBorder="1">
      <alignment vertical="center"/>
    </xf>
    <xf numFmtId="0" fontId="89" fillId="0" borderId="0" xfId="762" applyFont="1" applyBorder="1" applyAlignment="1">
      <alignment horizontal="left" vertical="center"/>
    </xf>
    <xf numFmtId="0" fontId="89" fillId="0" borderId="0" xfId="762" applyFont="1" applyAlignment="1">
      <alignment horizontal="right" vertical="center"/>
    </xf>
    <xf numFmtId="0" fontId="89" fillId="0" borderId="0" xfId="762" applyNumberFormat="1" applyFont="1" applyAlignment="1">
      <alignment horizontal="centerContinuous" vertical="center"/>
    </xf>
    <xf numFmtId="3" fontId="89" fillId="0" borderId="0" xfId="153" applyNumberFormat="1" applyFont="1" applyAlignment="1">
      <alignment horizontal="centerContinuous" vertical="center"/>
    </xf>
    <xf numFmtId="41" fontId="89" fillId="0" borderId="0" xfId="153" applyFont="1" applyAlignment="1">
      <alignment horizontal="centerContinuous" vertical="center"/>
    </xf>
    <xf numFmtId="223" fontId="89" fillId="0" borderId="38" xfId="762" applyNumberFormat="1" applyFont="1" applyFill="1" applyBorder="1" applyAlignment="1">
      <alignment horizontal="center" vertical="center"/>
    </xf>
    <xf numFmtId="221" fontId="89" fillId="0" borderId="38" xfId="762" applyNumberFormat="1" applyFont="1" applyFill="1" applyBorder="1" applyAlignment="1">
      <alignment horizontal="centerContinuous" vertical="center"/>
    </xf>
    <xf numFmtId="0" fontId="89" fillId="0" borderId="38" xfId="762" applyNumberFormat="1" applyFont="1" applyFill="1" applyBorder="1" applyAlignment="1">
      <alignment horizontal="centerContinuous" vertical="center"/>
    </xf>
    <xf numFmtId="225" fontId="89" fillId="0" borderId="38" xfId="762" applyNumberFormat="1" applyFont="1" applyFill="1" applyBorder="1" applyAlignment="1">
      <alignment vertical="center"/>
    </xf>
    <xf numFmtId="0" fontId="89" fillId="0" borderId="0" xfId="762" applyFont="1" applyAlignment="1">
      <alignment horizontal="left" vertical="center"/>
    </xf>
    <xf numFmtId="0" fontId="89" fillId="0" borderId="0" xfId="762" applyFont="1" applyAlignment="1">
      <alignment horizontal="left" vertical="center" indent="2"/>
    </xf>
    <xf numFmtId="0" fontId="90" fillId="0" borderId="0" xfId="762" applyFont="1">
      <alignment vertical="center"/>
    </xf>
    <xf numFmtId="0" fontId="90" fillId="0" borderId="0" xfId="762" applyFont="1" applyAlignment="1">
      <alignment vertical="center"/>
    </xf>
    <xf numFmtId="182" fontId="89" fillId="0" borderId="0" xfId="762" applyNumberFormat="1" applyFont="1" applyAlignment="1">
      <alignment horizontal="center" vertical="center"/>
    </xf>
    <xf numFmtId="226" fontId="89" fillId="0" borderId="0" xfId="153" applyNumberFormat="1" applyFont="1" applyAlignment="1">
      <alignment horizontal="centerContinuous" vertical="center"/>
    </xf>
    <xf numFmtId="227" fontId="89" fillId="0" borderId="0" xfId="762" applyNumberFormat="1" applyFont="1" applyAlignment="1">
      <alignment horizontal="centerContinuous" vertical="center"/>
    </xf>
    <xf numFmtId="226" fontId="89" fillId="0" borderId="0" xfId="762" applyNumberFormat="1" applyFont="1" applyAlignment="1">
      <alignment horizontal="centerContinuous" vertical="center"/>
    </xf>
    <xf numFmtId="223" fontId="89" fillId="0" borderId="38" xfId="762" applyNumberFormat="1" applyFont="1" applyFill="1" applyBorder="1" applyAlignment="1">
      <alignment vertical="center"/>
    </xf>
    <xf numFmtId="0" fontId="89" fillId="0" borderId="38" xfId="762" applyFont="1" applyFill="1" applyBorder="1" applyAlignment="1">
      <alignment vertical="center"/>
    </xf>
    <xf numFmtId="0" fontId="89" fillId="0" borderId="38" xfId="762" applyFont="1" applyFill="1" applyBorder="1" applyAlignment="1">
      <alignment horizontal="center" vertical="center"/>
    </xf>
    <xf numFmtId="0" fontId="89" fillId="0" borderId="38" xfId="762" applyNumberFormat="1" applyFont="1" applyFill="1" applyBorder="1" applyAlignment="1">
      <alignment vertical="center"/>
    </xf>
    <xf numFmtId="224" fontId="89" fillId="0" borderId="38" xfId="762" applyNumberFormat="1" applyFont="1" applyFill="1" applyBorder="1" applyAlignment="1">
      <alignment vertical="center"/>
    </xf>
    <xf numFmtId="228" fontId="89" fillId="0" borderId="38" xfId="762" applyNumberFormat="1" applyFont="1" applyFill="1" applyBorder="1" applyAlignment="1">
      <alignment horizontal="center" vertical="center"/>
    </xf>
    <xf numFmtId="227" fontId="89" fillId="0" borderId="0" xfId="762" applyNumberFormat="1" applyFont="1" applyAlignment="1">
      <alignment horizontal="center" vertical="center"/>
    </xf>
    <xf numFmtId="223" fontId="89" fillId="0" borderId="0" xfId="762" applyNumberFormat="1" applyFont="1" applyAlignment="1">
      <alignment horizontal="center" vertical="center"/>
    </xf>
    <xf numFmtId="229" fontId="89" fillId="0" borderId="0" xfId="762" applyNumberFormat="1" applyFont="1" applyAlignment="1">
      <alignment horizontal="center" vertical="center"/>
    </xf>
    <xf numFmtId="179" fontId="89" fillId="0" borderId="0" xfId="762" applyNumberFormat="1" applyFont="1" applyFill="1" applyBorder="1" applyAlignment="1">
      <alignment horizontal="centerContinuous" vertical="center"/>
    </xf>
    <xf numFmtId="179" fontId="89" fillId="13" borderId="0" xfId="762" applyNumberFormat="1" applyFont="1" applyFill="1" applyBorder="1" applyAlignment="1">
      <alignment horizontal="centerContinuous" vertical="center"/>
    </xf>
    <xf numFmtId="179" fontId="89" fillId="13" borderId="0" xfId="762" applyNumberFormat="1" applyFont="1" applyFill="1" applyAlignment="1">
      <alignment horizontal="centerContinuous" vertical="center"/>
    </xf>
    <xf numFmtId="179" fontId="89" fillId="0" borderId="0" xfId="762" applyNumberFormat="1" applyFont="1" applyFill="1" applyAlignment="1">
      <alignment horizontal="centerContinuous" vertical="center"/>
    </xf>
    <xf numFmtId="186" fontId="89" fillId="0" borderId="0" xfId="153" applyNumberFormat="1" applyFont="1" applyAlignment="1">
      <alignment horizontal="centerContinuous" vertical="center"/>
    </xf>
    <xf numFmtId="223" fontId="90" fillId="0" borderId="38" xfId="762" applyNumberFormat="1" applyFont="1" applyFill="1" applyBorder="1" applyAlignment="1">
      <alignment horizontal="center" vertical="center"/>
    </xf>
    <xf numFmtId="182" fontId="90" fillId="0" borderId="38" xfId="762" applyNumberFormat="1" applyFont="1" applyFill="1" applyBorder="1" applyAlignment="1">
      <alignment horizontal="center" vertical="center"/>
    </xf>
    <xf numFmtId="221" fontId="89" fillId="0" borderId="38" xfId="762" applyNumberFormat="1" applyFont="1" applyFill="1" applyBorder="1" applyAlignment="1">
      <alignment horizontal="center" vertical="center"/>
    </xf>
    <xf numFmtId="227" fontId="89" fillId="0" borderId="38" xfId="762" applyNumberFormat="1" applyFont="1" applyFill="1" applyBorder="1" applyAlignment="1">
      <alignment horizontal="center" vertical="center"/>
    </xf>
    <xf numFmtId="0" fontId="89" fillId="0" borderId="0" xfId="762" quotePrefix="1" applyFont="1" applyAlignment="1">
      <alignment vertical="center"/>
    </xf>
    <xf numFmtId="0" fontId="89" fillId="0" borderId="0" xfId="762" applyNumberFormat="1" applyFont="1" applyAlignment="1">
      <alignment horizontal="center" vertical="center"/>
    </xf>
    <xf numFmtId="179" fontId="91" fillId="0" borderId="0" xfId="762" applyNumberFormat="1" applyFont="1" applyFill="1" applyAlignment="1">
      <alignment horizontal="centerContinuous" vertical="center"/>
    </xf>
    <xf numFmtId="179" fontId="91" fillId="13" borderId="0" xfId="762" applyNumberFormat="1" applyFont="1" applyFill="1" applyAlignment="1">
      <alignment horizontal="centerContinuous" vertical="center"/>
    </xf>
    <xf numFmtId="0" fontId="94" fillId="0" borderId="0" xfId="762" applyFont="1">
      <alignment vertical="center"/>
    </xf>
    <xf numFmtId="0" fontId="67" fillId="0" borderId="0" xfId="750" applyFont="1" applyAlignment="1">
      <alignment horizontal="right" vertical="center"/>
    </xf>
    <xf numFmtId="0" fontId="69" fillId="0" borderId="0" xfId="182" applyFont="1">
      <alignment vertical="center"/>
    </xf>
    <xf numFmtId="0" fontId="95" fillId="0" borderId="0" xfId="182" applyFont="1" applyAlignment="1">
      <alignment horizontal="left" vertical="center"/>
    </xf>
    <xf numFmtId="0" fontId="96" fillId="0" borderId="0" xfId="182" applyFont="1" applyAlignment="1">
      <alignment horizontal="left" vertical="center"/>
    </xf>
    <xf numFmtId="41" fontId="76" fillId="0" borderId="9" xfId="764" applyFont="1" applyBorder="1" applyAlignment="1">
      <alignment horizontal="center" vertical="center"/>
    </xf>
    <xf numFmtId="41" fontId="76" fillId="0" borderId="45" xfId="764" applyFont="1" applyBorder="1" applyAlignment="1">
      <alignment horizontal="center" vertical="center"/>
    </xf>
    <xf numFmtId="41" fontId="76" fillId="0" borderId="8" xfId="764" applyFont="1" applyBorder="1" applyAlignment="1">
      <alignment horizontal="center" vertical="center"/>
    </xf>
    <xf numFmtId="41" fontId="76" fillId="0" borderId="15" xfId="764" applyFont="1" applyBorder="1" applyAlignment="1">
      <alignment horizontal="center" vertical="center"/>
    </xf>
    <xf numFmtId="41" fontId="76" fillId="0" borderId="19" xfId="764" applyFont="1" applyBorder="1" applyAlignment="1">
      <alignment horizontal="center" vertical="center"/>
    </xf>
    <xf numFmtId="41" fontId="76" fillId="0" borderId="41" xfId="764" applyFont="1" applyBorder="1" applyAlignment="1">
      <alignment horizontal="center" vertical="center"/>
    </xf>
    <xf numFmtId="41" fontId="76" fillId="0" borderId="13" xfId="764" applyFont="1" applyBorder="1" applyAlignment="1">
      <alignment horizontal="center" vertical="center"/>
    </xf>
    <xf numFmtId="41" fontId="76" fillId="0" borderId="14" xfId="764" applyFont="1" applyBorder="1" applyAlignment="1">
      <alignment horizontal="center" vertical="center"/>
    </xf>
    <xf numFmtId="41" fontId="76" fillId="0" borderId="17" xfId="764" applyFont="1" applyBorder="1" applyAlignment="1">
      <alignment horizontal="center" vertical="center"/>
    </xf>
    <xf numFmtId="41" fontId="76" fillId="0" borderId="18" xfId="764" applyFont="1" applyBorder="1" applyAlignment="1">
      <alignment horizontal="center" vertical="center"/>
    </xf>
    <xf numFmtId="41" fontId="98" fillId="0" borderId="43" xfId="764" applyNumberFormat="1" applyFont="1" applyBorder="1" applyAlignment="1">
      <alignment horizontal="center" vertical="center"/>
    </xf>
    <xf numFmtId="41" fontId="98" fillId="0" borderId="44" xfId="764" applyNumberFormat="1" applyFont="1" applyBorder="1" applyAlignment="1">
      <alignment horizontal="center" vertical="center"/>
    </xf>
    <xf numFmtId="0" fontId="81" fillId="15" borderId="40" xfId="182" applyFont="1" applyFill="1" applyBorder="1" applyAlignment="1">
      <alignment horizontal="center" vertical="center"/>
    </xf>
    <xf numFmtId="0" fontId="81" fillId="15" borderId="17" xfId="182" applyFont="1" applyFill="1" applyBorder="1" applyAlignment="1">
      <alignment horizontal="center" vertical="center"/>
    </xf>
    <xf numFmtId="0" fontId="81" fillId="16" borderId="13" xfId="182" applyFont="1" applyFill="1" applyBorder="1" applyAlignment="1">
      <alignment horizontal="center" vertical="center"/>
    </xf>
    <xf numFmtId="0" fontId="81" fillId="16" borderId="8" xfId="182" applyFont="1" applyFill="1" applyBorder="1" applyAlignment="1">
      <alignment horizontal="center" vertical="center"/>
    </xf>
    <xf numFmtId="0" fontId="97" fillId="16" borderId="8" xfId="182" applyFont="1" applyFill="1" applyBorder="1" applyAlignment="1">
      <alignment horizontal="center" vertical="center"/>
    </xf>
    <xf numFmtId="0" fontId="81" fillId="16" borderId="17" xfId="182" applyFont="1" applyFill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76" fillId="0" borderId="0" xfId="0" applyFont="1"/>
    <xf numFmtId="41" fontId="76" fillId="0" borderId="0" xfId="0" applyNumberFormat="1" applyFont="1"/>
    <xf numFmtId="0" fontId="76" fillId="0" borderId="0" xfId="0" applyFont="1" applyAlignment="1">
      <alignment wrapText="1"/>
    </xf>
    <xf numFmtId="0" fontId="83" fillId="0" borderId="0" xfId="762" applyFont="1" applyBorder="1" applyAlignment="1">
      <alignment horizontal="centerContinuous" vertical="center"/>
    </xf>
    <xf numFmtId="0" fontId="83" fillId="0" borderId="0" xfId="762" applyFont="1" applyBorder="1">
      <alignment vertical="center"/>
    </xf>
    <xf numFmtId="0" fontId="84" fillId="0" borderId="0" xfId="762" applyFont="1">
      <alignment vertical="center"/>
    </xf>
    <xf numFmtId="0" fontId="83" fillId="0" borderId="0" xfId="762" applyFont="1">
      <alignment vertical="center"/>
    </xf>
    <xf numFmtId="0" fontId="87" fillId="12" borderId="0" xfId="762" applyFont="1" applyFill="1">
      <alignment vertical="center"/>
    </xf>
    <xf numFmtId="0" fontId="83" fillId="0" borderId="0" xfId="762" applyFont="1" applyAlignment="1">
      <alignment horizontal="center" vertical="center"/>
    </xf>
    <xf numFmtId="0" fontId="88" fillId="0" borderId="0" xfId="762" applyFont="1">
      <alignment vertical="center"/>
    </xf>
    <xf numFmtId="0" fontId="83" fillId="0" borderId="0" xfId="762" applyFont="1" applyAlignment="1">
      <alignment horizontal="centerContinuous" vertical="center"/>
    </xf>
    <xf numFmtId="0" fontId="89" fillId="0" borderId="0" xfId="762" applyFont="1" applyAlignment="1">
      <alignment horizontal="center" vertical="center"/>
    </xf>
    <xf numFmtId="0" fontId="89" fillId="0" borderId="37" xfId="762" applyFont="1" applyFill="1" applyBorder="1" applyAlignment="1">
      <alignment horizontal="centerContinuous" vertical="center"/>
    </xf>
    <xf numFmtId="0" fontId="89" fillId="0" borderId="0" xfId="762" applyFont="1">
      <alignment vertical="center"/>
    </xf>
    <xf numFmtId="220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221" fontId="89" fillId="0" borderId="0" xfId="762" applyNumberFormat="1" applyFont="1" applyAlignment="1">
      <alignment horizontal="centerContinuous" vertical="center"/>
    </xf>
    <xf numFmtId="222" fontId="89" fillId="0" borderId="0" xfId="762" applyNumberFormat="1" applyFont="1" applyAlignment="1">
      <alignment horizontal="centerContinuous" vertical="center"/>
    </xf>
    <xf numFmtId="0" fontId="89" fillId="0" borderId="0" xfId="762" applyFont="1" applyAlignment="1">
      <alignment horizontal="centerContinuous" vertical="center"/>
    </xf>
    <xf numFmtId="0" fontId="90" fillId="12" borderId="0" xfId="762" applyFont="1" applyFill="1" applyAlignment="1">
      <alignment horizontal="centerContinuous" vertical="center"/>
    </xf>
    <xf numFmtId="0" fontId="90" fillId="0" borderId="0" xfId="762" applyFont="1" applyAlignment="1">
      <alignment horizontal="centerContinuous" vertical="center"/>
    </xf>
    <xf numFmtId="3" fontId="89" fillId="0" borderId="38" xfId="762" applyNumberFormat="1" applyFont="1" applyFill="1" applyBorder="1" applyAlignment="1">
      <alignment horizontal="centerContinuous" vertical="center"/>
    </xf>
    <xf numFmtId="0" fontId="89" fillId="0" borderId="38" xfId="762" applyFont="1" applyFill="1" applyBorder="1" applyAlignment="1">
      <alignment horizontal="centerContinuous" vertical="center"/>
    </xf>
    <xf numFmtId="223" fontId="90" fillId="0" borderId="38" xfId="762" applyNumberFormat="1" applyFont="1" applyFill="1" applyBorder="1" applyAlignment="1">
      <alignment horizontal="centerContinuous" vertical="center"/>
    </xf>
    <xf numFmtId="0" fontId="90" fillId="0" borderId="38" xfId="762" applyFont="1" applyFill="1" applyBorder="1" applyAlignment="1">
      <alignment horizontal="centerContinuous" vertical="center"/>
    </xf>
    <xf numFmtId="0" fontId="89" fillId="0" borderId="38" xfId="762" applyFont="1" applyFill="1" applyBorder="1">
      <alignment vertical="center"/>
    </xf>
    <xf numFmtId="224" fontId="89" fillId="0" borderId="38" xfId="762" applyNumberFormat="1" applyFont="1" applyFill="1" applyBorder="1" applyAlignment="1">
      <alignment horizontal="centerContinuous" vertical="center"/>
    </xf>
    <xf numFmtId="225" fontId="89" fillId="0" borderId="38" xfId="762" applyNumberFormat="1" applyFont="1" applyFill="1" applyBorder="1" applyAlignment="1">
      <alignment horizontal="centerContinuous" vertical="center"/>
    </xf>
    <xf numFmtId="0" fontId="91" fillId="0" borderId="0" xfId="762" applyFont="1" applyAlignment="1">
      <alignment horizontal="left" vertical="center"/>
    </xf>
    <xf numFmtId="0" fontId="89" fillId="0" borderId="0" xfId="762" applyFont="1" applyAlignment="1">
      <alignment vertical="center"/>
    </xf>
    <xf numFmtId="220" fontId="89" fillId="0" borderId="0" xfId="762" applyNumberFormat="1" applyFont="1" applyFill="1" applyAlignment="1">
      <alignment horizontal="centerContinuous" vertical="center"/>
    </xf>
    <xf numFmtId="0" fontId="89" fillId="0" borderId="0" xfId="762" applyFont="1" applyFill="1" applyAlignment="1">
      <alignment horizontal="centerContinuous" vertical="center"/>
    </xf>
    <xf numFmtId="0" fontId="90" fillId="0" borderId="0" xfId="762" applyFont="1" applyFill="1" applyAlignment="1">
      <alignment horizontal="centerContinuous" vertical="center"/>
    </xf>
    <xf numFmtId="0" fontId="89" fillId="0" borderId="39" xfId="762" applyFont="1" applyBorder="1" applyAlignment="1">
      <alignment horizontal="centerContinuous" vertical="center"/>
    </xf>
    <xf numFmtId="0" fontId="89" fillId="0" borderId="39" xfId="762" applyFont="1" applyBorder="1" applyAlignment="1">
      <alignment horizontal="center" vertical="center"/>
    </xf>
    <xf numFmtId="223" fontId="89" fillId="0" borderId="39" xfId="762" applyNumberFormat="1" applyFont="1" applyBorder="1" applyAlignment="1">
      <alignment horizontal="center" vertical="center"/>
    </xf>
    <xf numFmtId="0" fontId="89" fillId="0" borderId="39" xfId="762" applyFont="1" applyBorder="1">
      <alignment vertical="center"/>
    </xf>
    <xf numFmtId="0" fontId="89" fillId="0" borderId="39" xfId="762" applyFont="1" applyBorder="1" applyAlignment="1">
      <alignment horizontal="left" vertical="center"/>
    </xf>
    <xf numFmtId="0" fontId="89" fillId="0" borderId="0" xfId="762" applyFont="1" applyAlignment="1">
      <alignment horizontal="right" vertical="center"/>
    </xf>
    <xf numFmtId="0" fontId="89" fillId="0" borderId="0" xfId="762" applyNumberFormat="1" applyFont="1" applyAlignment="1">
      <alignment horizontal="centerContinuous" vertical="center"/>
    </xf>
    <xf numFmtId="3" fontId="89" fillId="0" borderId="0" xfId="153" applyNumberFormat="1" applyFont="1" applyAlignment="1">
      <alignment horizontal="centerContinuous" vertical="center"/>
    </xf>
    <xf numFmtId="41" fontId="89" fillId="0" borderId="0" xfId="153" applyFont="1" applyAlignment="1">
      <alignment horizontal="centerContinuous" vertical="center"/>
    </xf>
    <xf numFmtId="223" fontId="89" fillId="0" borderId="38" xfId="762" applyNumberFormat="1" applyFont="1" applyFill="1" applyBorder="1" applyAlignment="1">
      <alignment horizontal="center" vertical="center"/>
    </xf>
    <xf numFmtId="221" fontId="89" fillId="0" borderId="38" xfId="762" applyNumberFormat="1" applyFont="1" applyFill="1" applyBorder="1" applyAlignment="1">
      <alignment horizontal="centerContinuous" vertical="center"/>
    </xf>
    <xf numFmtId="0" fontId="89" fillId="0" borderId="38" xfId="762" applyNumberFormat="1" applyFont="1" applyFill="1" applyBorder="1" applyAlignment="1">
      <alignment horizontal="centerContinuous" vertical="center"/>
    </xf>
    <xf numFmtId="225" fontId="89" fillId="0" borderId="38" xfId="762" applyNumberFormat="1" applyFont="1" applyFill="1" applyBorder="1" applyAlignment="1">
      <alignment vertical="center"/>
    </xf>
    <xf numFmtId="0" fontId="89" fillId="0" borderId="0" xfId="762" applyFont="1" applyAlignment="1">
      <alignment horizontal="left" vertical="center"/>
    </xf>
    <xf numFmtId="0" fontId="89" fillId="0" borderId="0" xfId="762" applyFont="1" applyBorder="1" applyAlignment="1">
      <alignment horizontal="centerContinuous" vertical="center"/>
    </xf>
    <xf numFmtId="0" fontId="89" fillId="0" borderId="0" xfId="762" applyFont="1" applyAlignment="1">
      <alignment horizontal="left" vertical="center" indent="2"/>
    </xf>
    <xf numFmtId="0" fontId="89" fillId="0" borderId="0" xfId="762" applyFont="1" applyBorder="1">
      <alignment vertical="center"/>
    </xf>
    <xf numFmtId="0" fontId="89" fillId="0" borderId="0" xfId="762" applyFont="1" applyBorder="1" applyAlignment="1">
      <alignment horizontal="center" vertical="center"/>
    </xf>
    <xf numFmtId="0" fontId="89" fillId="0" borderId="0" xfId="762" applyFont="1" applyBorder="1" applyAlignment="1">
      <alignment horizontal="left" vertical="center"/>
    </xf>
    <xf numFmtId="0" fontId="90" fillId="0" borderId="0" xfId="762" applyFont="1">
      <alignment vertical="center"/>
    </xf>
    <xf numFmtId="0" fontId="90" fillId="0" borderId="0" xfId="762" applyFont="1" applyAlignment="1">
      <alignment vertical="center"/>
    </xf>
    <xf numFmtId="182" fontId="89" fillId="0" borderId="0" xfId="762" applyNumberFormat="1" applyFont="1" applyAlignment="1">
      <alignment horizontal="center" vertical="center"/>
    </xf>
    <xf numFmtId="226" fontId="89" fillId="0" borderId="0" xfId="153" applyNumberFormat="1" applyFont="1" applyAlignment="1">
      <alignment horizontal="centerContinuous" vertical="center"/>
    </xf>
    <xf numFmtId="227" fontId="89" fillId="0" borderId="0" xfId="762" applyNumberFormat="1" applyFont="1" applyAlignment="1">
      <alignment horizontal="centerContinuous" vertical="center"/>
    </xf>
    <xf numFmtId="226" fontId="89" fillId="0" borderId="0" xfId="762" applyNumberFormat="1" applyFont="1" applyAlignment="1">
      <alignment horizontal="centerContinuous" vertical="center"/>
    </xf>
    <xf numFmtId="223" fontId="89" fillId="0" borderId="38" xfId="762" applyNumberFormat="1" applyFont="1" applyFill="1" applyBorder="1" applyAlignment="1">
      <alignment vertical="center"/>
    </xf>
    <xf numFmtId="0" fontId="89" fillId="0" borderId="38" xfId="762" applyFont="1" applyFill="1" applyBorder="1" applyAlignment="1">
      <alignment vertical="center"/>
    </xf>
    <xf numFmtId="0" fontId="89" fillId="0" borderId="38" xfId="762" applyFont="1" applyFill="1" applyBorder="1" applyAlignment="1">
      <alignment horizontal="center" vertical="center"/>
    </xf>
    <xf numFmtId="0" fontId="89" fillId="0" borderId="38" xfId="762" applyNumberFormat="1" applyFont="1" applyFill="1" applyBorder="1" applyAlignment="1">
      <alignment vertical="center"/>
    </xf>
    <xf numFmtId="224" fontId="89" fillId="0" borderId="38" xfId="762" applyNumberFormat="1" applyFont="1" applyFill="1" applyBorder="1" applyAlignment="1">
      <alignment vertical="center"/>
    </xf>
    <xf numFmtId="228" fontId="89" fillId="0" borderId="38" xfId="762" applyNumberFormat="1" applyFont="1" applyFill="1" applyBorder="1" applyAlignment="1">
      <alignment horizontal="center" vertical="center"/>
    </xf>
    <xf numFmtId="227" fontId="89" fillId="0" borderId="0" xfId="762" applyNumberFormat="1" applyFont="1" applyAlignment="1">
      <alignment horizontal="center" vertical="center"/>
    </xf>
    <xf numFmtId="223" fontId="89" fillId="0" borderId="0" xfId="762" applyNumberFormat="1" applyFont="1" applyAlignment="1">
      <alignment horizontal="center" vertical="center"/>
    </xf>
    <xf numFmtId="229" fontId="89" fillId="0" borderId="0" xfId="762" applyNumberFormat="1" applyFont="1" applyAlignment="1">
      <alignment horizontal="center" vertical="center"/>
    </xf>
    <xf numFmtId="179" fontId="89" fillId="0" borderId="0" xfId="762" applyNumberFormat="1" applyFont="1" applyFill="1" applyBorder="1" applyAlignment="1">
      <alignment horizontal="centerContinuous" vertical="center"/>
    </xf>
    <xf numFmtId="179" fontId="89" fillId="0" borderId="0" xfId="762" applyNumberFormat="1" applyFont="1" applyFill="1" applyAlignment="1">
      <alignment horizontal="centerContinuous" vertical="center"/>
    </xf>
    <xf numFmtId="186" fontId="89" fillId="0" borderId="0" xfId="153" applyNumberFormat="1" applyFont="1" applyAlignment="1">
      <alignment horizontal="centerContinuous" vertical="center"/>
    </xf>
    <xf numFmtId="223" fontId="90" fillId="0" borderId="38" xfId="762" applyNumberFormat="1" applyFont="1" applyFill="1" applyBorder="1" applyAlignment="1">
      <alignment horizontal="center" vertical="center"/>
    </xf>
    <xf numFmtId="182" fontId="90" fillId="0" borderId="38" xfId="762" applyNumberFormat="1" applyFont="1" applyFill="1" applyBorder="1" applyAlignment="1">
      <alignment horizontal="center" vertical="center"/>
    </xf>
    <xf numFmtId="221" fontId="89" fillId="0" borderId="38" xfId="762" applyNumberFormat="1" applyFont="1" applyFill="1" applyBorder="1" applyAlignment="1">
      <alignment horizontal="center" vertical="center"/>
    </xf>
    <xf numFmtId="227" fontId="89" fillId="0" borderId="38" xfId="762" applyNumberFormat="1" applyFont="1" applyFill="1" applyBorder="1" applyAlignment="1">
      <alignment horizontal="center" vertical="center"/>
    </xf>
    <xf numFmtId="0" fontId="89" fillId="0" borderId="0" xfId="762" quotePrefix="1" applyFont="1" applyAlignment="1">
      <alignment vertical="center"/>
    </xf>
    <xf numFmtId="0" fontId="89" fillId="0" borderId="0" xfId="762" applyNumberFormat="1" applyFont="1" applyAlignment="1">
      <alignment horizontal="center" vertical="center"/>
    </xf>
    <xf numFmtId="179" fontId="91" fillId="0" borderId="0" xfId="762" applyNumberFormat="1" applyFont="1" applyFill="1" applyAlignment="1">
      <alignment horizontal="centerContinuous" vertical="center"/>
    </xf>
    <xf numFmtId="223" fontId="89" fillId="0" borderId="0" xfId="762" applyNumberFormat="1" applyFont="1" applyBorder="1" applyAlignment="1">
      <alignment horizontal="center" vertical="center"/>
    </xf>
    <xf numFmtId="220" fontId="89" fillId="13" borderId="0" xfId="762" applyNumberFormat="1" applyFont="1" applyFill="1" applyAlignment="1">
      <alignment horizontal="centerContinuous" vertical="center"/>
    </xf>
    <xf numFmtId="0" fontId="89" fillId="13" borderId="0" xfId="762" applyFont="1" applyFill="1" applyAlignment="1">
      <alignment horizontal="centerContinuous" vertical="center"/>
    </xf>
    <xf numFmtId="0" fontId="90" fillId="13" borderId="0" xfId="762" applyFont="1" applyFill="1" applyAlignment="1">
      <alignment horizontal="centerContinuous" vertical="center"/>
    </xf>
    <xf numFmtId="179" fontId="89" fillId="13" borderId="0" xfId="762" applyNumberFormat="1" applyFont="1" applyFill="1" applyBorder="1" applyAlignment="1">
      <alignment horizontal="centerContinuous" vertical="center"/>
    </xf>
    <xf numFmtId="179" fontId="89" fillId="13" borderId="0" xfId="762" applyNumberFormat="1" applyFont="1" applyFill="1" applyAlignment="1">
      <alignment horizontal="centerContinuous" vertical="center"/>
    </xf>
    <xf numFmtId="179" fontId="91" fillId="13" borderId="0" xfId="762" applyNumberFormat="1" applyFont="1" applyFill="1" applyAlignment="1">
      <alignment horizontal="centerContinuous" vertical="center"/>
    </xf>
    <xf numFmtId="242" fontId="9" fillId="0" borderId="0" xfId="1230" applyNumberFormat="1" applyFont="1" applyFill="1" applyBorder="1" applyAlignment="1">
      <alignment vertical="center"/>
    </xf>
    <xf numFmtId="0" fontId="129" fillId="0" borderId="0" xfId="182" applyFont="1" applyAlignment="1">
      <alignment horizontal="left" vertical="center"/>
    </xf>
    <xf numFmtId="0" fontId="80" fillId="0" borderId="0" xfId="182" applyFont="1" applyAlignment="1">
      <alignment horizontal="left" vertical="center"/>
    </xf>
    <xf numFmtId="0" fontId="95" fillId="0" borderId="0" xfId="182" applyFont="1" applyAlignment="1">
      <alignment horizontal="left" vertical="center"/>
    </xf>
    <xf numFmtId="0" fontId="79" fillId="0" borderId="0" xfId="182" applyFont="1" applyAlignment="1">
      <alignment horizontal="left" vertical="center"/>
    </xf>
    <xf numFmtId="0" fontId="0" fillId="0" borderId="4" xfId="0" applyBorder="1" applyAlignment="1">
      <alignment horizontal="center"/>
    </xf>
    <xf numFmtId="41" fontId="0" fillId="0" borderId="4" xfId="0" applyNumberFormat="1" applyBorder="1" applyAlignment="1">
      <alignment horizontal="center"/>
    </xf>
    <xf numFmtId="178" fontId="0" fillId="0" borderId="4" xfId="0" applyNumberFormat="1" applyBorder="1" applyAlignment="1">
      <alignment horizontal="center"/>
    </xf>
    <xf numFmtId="0" fontId="136" fillId="0" borderId="0" xfId="182" applyFont="1" applyFill="1" applyBorder="1" applyAlignment="1">
      <alignment horizontal="center" vertical="center"/>
    </xf>
    <xf numFmtId="0" fontId="136" fillId="0" borderId="0" xfId="182" applyFont="1" applyFill="1" applyBorder="1" applyAlignment="1">
      <alignment vertical="center"/>
    </xf>
    <xf numFmtId="242" fontId="9" fillId="0" borderId="0" xfId="1230" applyNumberFormat="1" applyFont="1" applyFill="1" applyBorder="1" applyAlignment="1">
      <alignment vertical="center"/>
    </xf>
    <xf numFmtId="0" fontId="69" fillId="0" borderId="0" xfId="182">
      <alignment vertical="center"/>
    </xf>
    <xf numFmtId="0" fontId="130" fillId="0" borderId="0" xfId="182" applyFont="1" applyAlignment="1">
      <alignment horizontal="left" vertical="center"/>
    </xf>
    <xf numFmtId="0" fontId="135" fillId="0" borderId="0" xfId="182" applyFont="1" applyAlignment="1">
      <alignment horizontal="left" vertical="center"/>
    </xf>
    <xf numFmtId="0" fontId="69" fillId="0" borderId="0" xfId="182" applyFont="1">
      <alignment vertical="center"/>
    </xf>
    <xf numFmtId="0" fontId="116" fillId="0" borderId="0" xfId="182" applyFont="1" applyAlignment="1">
      <alignment horizontal="left" vertical="center"/>
    </xf>
    <xf numFmtId="0" fontId="124" fillId="0" borderId="15" xfId="182" applyFont="1" applyBorder="1" applyAlignment="1">
      <alignment horizontal="center" vertical="center"/>
    </xf>
    <xf numFmtId="0" fontId="124" fillId="0" borderId="0" xfId="182" applyFont="1">
      <alignment vertical="center"/>
    </xf>
    <xf numFmtId="220" fontId="132" fillId="0" borderId="0" xfId="182" applyNumberFormat="1" applyFont="1" applyBorder="1" applyAlignment="1">
      <alignment horizontal="center" vertical="center"/>
    </xf>
    <xf numFmtId="41" fontId="132" fillId="0" borderId="0" xfId="155" applyFont="1" applyBorder="1" applyAlignment="1">
      <alignment horizontal="center" vertical="center"/>
    </xf>
    <xf numFmtId="183" fontId="132" fillId="0" borderId="0" xfId="155" applyNumberFormat="1" applyFont="1" applyBorder="1" applyAlignment="1">
      <alignment horizontal="center" vertical="center"/>
    </xf>
    <xf numFmtId="41" fontId="132" fillId="0" borderId="0" xfId="182" applyNumberFormat="1" applyFont="1" applyBorder="1" applyAlignment="1">
      <alignment horizontal="center" vertical="center"/>
    </xf>
    <xf numFmtId="183" fontId="139" fillId="0" borderId="8" xfId="155" applyNumberFormat="1" applyFont="1" applyBorder="1" applyAlignment="1">
      <alignment vertical="center"/>
    </xf>
    <xf numFmtId="183" fontId="139" fillId="0" borderId="17" xfId="155" applyNumberFormat="1" applyFont="1" applyBorder="1" applyAlignment="1">
      <alignment vertical="center"/>
    </xf>
    <xf numFmtId="0" fontId="81" fillId="0" borderId="0" xfId="0" applyFont="1"/>
    <xf numFmtId="0" fontId="6" fillId="0" borderId="14" xfId="1231" applyBorder="1">
      <alignment vertical="center"/>
    </xf>
    <xf numFmtId="0" fontId="6" fillId="0" borderId="15" xfId="1231" applyBorder="1">
      <alignment vertical="center"/>
    </xf>
    <xf numFmtId="0" fontId="83" fillId="0" borderId="0" xfId="0" applyFont="1"/>
    <xf numFmtId="0" fontId="8" fillId="0" borderId="0" xfId="751" applyFont="1"/>
    <xf numFmtId="0" fontId="134" fillId="15" borderId="13" xfId="182" applyFont="1" applyFill="1" applyBorder="1" applyAlignment="1">
      <alignment horizontal="center" vertical="center"/>
    </xf>
    <xf numFmtId="0" fontId="134" fillId="15" borderId="14" xfId="182" applyFont="1" applyFill="1" applyBorder="1" applyAlignment="1">
      <alignment horizontal="center" vertical="center"/>
    </xf>
    <xf numFmtId="0" fontId="84" fillId="0" borderId="0" xfId="0" applyFont="1"/>
    <xf numFmtId="41" fontId="99" fillId="0" borderId="8" xfId="182" applyNumberFormat="1" applyFont="1" applyBorder="1" applyAlignment="1">
      <alignment horizontal="center" vertical="center"/>
    </xf>
    <xf numFmtId="183" fontId="99" fillId="0" borderId="8" xfId="182" applyNumberFormat="1" applyFont="1" applyFill="1" applyBorder="1" applyAlignment="1">
      <alignment horizontal="center" vertical="center"/>
    </xf>
    <xf numFmtId="41" fontId="99" fillId="0" borderId="17" xfId="182" applyNumberFormat="1" applyFont="1" applyBorder="1" applyAlignment="1">
      <alignment horizontal="center" vertical="center"/>
    </xf>
    <xf numFmtId="183" fontId="99" fillId="0" borderId="17" xfId="182" applyNumberFormat="1" applyFont="1" applyFill="1" applyBorder="1" applyAlignment="1">
      <alignment horizontal="center" vertical="center"/>
    </xf>
    <xf numFmtId="0" fontId="86" fillId="0" borderId="0" xfId="182" applyFont="1" applyAlignment="1">
      <alignment horizontal="left" vertical="center"/>
    </xf>
    <xf numFmtId="0" fontId="143" fillId="0" borderId="0" xfId="182" applyFont="1" applyAlignment="1">
      <alignment horizontal="left" vertical="center"/>
    </xf>
    <xf numFmtId="0" fontId="85" fillId="0" borderId="0" xfId="182" applyFont="1" applyAlignment="1">
      <alignment horizontal="left" vertical="center"/>
    </xf>
    <xf numFmtId="0" fontId="146" fillId="0" borderId="0" xfId="182" applyFont="1">
      <alignment vertical="center"/>
    </xf>
    <xf numFmtId="0" fontId="83" fillId="0" borderId="8" xfId="182" applyFont="1" applyBorder="1" applyAlignment="1">
      <alignment horizontal="center" vertical="center"/>
    </xf>
    <xf numFmtId="0" fontId="99" fillId="0" borderId="0" xfId="182" applyFont="1" applyFill="1" applyBorder="1" applyAlignment="1">
      <alignment horizontal="center" vertical="center"/>
    </xf>
    <xf numFmtId="41" fontId="99" fillId="0" borderId="0" xfId="182" applyNumberFormat="1" applyFont="1" applyFill="1" applyBorder="1" applyAlignment="1">
      <alignment horizontal="center" vertical="center"/>
    </xf>
    <xf numFmtId="0" fontId="83" fillId="0" borderId="0" xfId="182" applyFont="1" applyBorder="1" applyAlignment="1">
      <alignment horizontal="center" vertical="center"/>
    </xf>
    <xf numFmtId="0" fontId="132" fillId="0" borderId="0" xfId="182" applyFont="1">
      <alignment vertical="center"/>
    </xf>
    <xf numFmtId="0" fontId="81" fillId="0" borderId="0" xfId="182" applyFont="1" applyAlignment="1">
      <alignment horizontal="left" vertical="center"/>
    </xf>
    <xf numFmtId="0" fontId="134" fillId="0" borderId="0" xfId="182" applyFont="1" applyFill="1" applyBorder="1" applyAlignment="1">
      <alignment vertical="center"/>
    </xf>
    <xf numFmtId="201" fontId="134" fillId="0" borderId="0" xfId="155" applyNumberFormat="1" applyFont="1" applyBorder="1" applyAlignment="1">
      <alignment horizontal="right" vertical="center"/>
    </xf>
    <xf numFmtId="183" fontId="134" fillId="0" borderId="0" xfId="155" applyNumberFormat="1" applyFont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0" fontId="99" fillId="15" borderId="8" xfId="182" applyFont="1" applyFill="1" applyBorder="1" applyAlignment="1">
      <alignment horizontal="center" vertical="center" wrapText="1"/>
    </xf>
    <xf numFmtId="0" fontId="99" fillId="0" borderId="1" xfId="182" applyFont="1" applyFill="1" applyBorder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99" fillId="15" borderId="14" xfId="182" applyFont="1" applyFill="1" applyBorder="1" applyAlignment="1">
      <alignment horizontal="center" vertical="center"/>
    </xf>
    <xf numFmtId="0" fontId="99" fillId="0" borderId="8" xfId="182" applyFont="1" applyFill="1" applyBorder="1" applyAlignment="1">
      <alignment horizontal="center" vertical="center"/>
    </xf>
    <xf numFmtId="0" fontId="99" fillId="0" borderId="15" xfId="182" applyFont="1" applyFill="1" applyBorder="1" applyAlignment="1">
      <alignment horizontal="center" vertical="center"/>
    </xf>
    <xf numFmtId="0" fontId="99" fillId="0" borderId="8" xfId="182" applyFont="1" applyFill="1" applyBorder="1" applyAlignment="1">
      <alignment horizontal="center" vertical="center" wrapText="1"/>
    </xf>
    <xf numFmtId="0" fontId="99" fillId="0" borderId="15" xfId="182" applyFont="1" applyFill="1" applyBorder="1" applyAlignment="1">
      <alignment horizontal="center" vertical="center" wrapText="1"/>
    </xf>
    <xf numFmtId="0" fontId="99" fillId="0" borderId="17" xfId="182" applyFont="1" applyFill="1" applyBorder="1" applyAlignment="1">
      <alignment horizontal="center" vertical="center"/>
    </xf>
    <xf numFmtId="41" fontId="99" fillId="0" borderId="17" xfId="155" applyFont="1" applyBorder="1" applyAlignment="1">
      <alignment horizontal="center" vertical="center"/>
    </xf>
    <xf numFmtId="0" fontId="83" fillId="0" borderId="18" xfId="182" applyFont="1" applyBorder="1" applyAlignment="1">
      <alignment horizontal="center" vertical="center"/>
    </xf>
    <xf numFmtId="41" fontId="83" fillId="15" borderId="13" xfId="151" applyFont="1" applyFill="1" applyBorder="1" applyAlignment="1">
      <alignment horizontal="center" vertical="center"/>
    </xf>
    <xf numFmtId="0" fontId="83" fillId="15" borderId="13" xfId="750" applyFont="1" applyFill="1" applyBorder="1" applyAlignment="1">
      <alignment horizontal="center" vertical="center"/>
    </xf>
    <xf numFmtId="0" fontId="83" fillId="15" borderId="14" xfId="750" applyFont="1" applyFill="1" applyBorder="1" applyAlignment="1">
      <alignment horizontal="center" vertical="center"/>
    </xf>
    <xf numFmtId="9" fontId="83" fillId="0" borderId="8" xfId="143" applyNumberFormat="1" applyFont="1" applyBorder="1" applyAlignment="1">
      <alignment horizontal="center" vertical="center"/>
    </xf>
    <xf numFmtId="9" fontId="83" fillId="0" borderId="8" xfId="143" applyFont="1" applyBorder="1" applyAlignment="1">
      <alignment horizontal="center" vertical="center"/>
    </xf>
    <xf numFmtId="9" fontId="83" fillId="0" borderId="15" xfId="143" applyFont="1" applyBorder="1" applyAlignment="1">
      <alignment horizontal="center" vertical="center"/>
    </xf>
    <xf numFmtId="9" fontId="83" fillId="0" borderId="17" xfId="143" applyFont="1" applyFill="1" applyBorder="1" applyAlignment="1">
      <alignment horizontal="center"/>
    </xf>
    <xf numFmtId="9" fontId="83" fillId="0" borderId="18" xfId="143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 vertical="center"/>
    </xf>
    <xf numFmtId="0" fontId="83" fillId="8" borderId="8" xfId="0" applyFont="1" applyFill="1" applyBorder="1" applyAlignment="1">
      <alignment horizontal="center" vertical="center" wrapText="1"/>
    </xf>
    <xf numFmtId="0" fontId="144" fillId="0" borderId="8" xfId="0" applyFont="1" applyBorder="1" applyAlignment="1">
      <alignment horizontal="center" vertical="center"/>
    </xf>
    <xf numFmtId="41" fontId="83" fillId="0" borderId="8" xfId="0" applyNumberFormat="1" applyFont="1" applyBorder="1" applyAlignment="1">
      <alignment horizontal="center" vertical="center"/>
    </xf>
    <xf numFmtId="41" fontId="83" fillId="0" borderId="15" xfId="0" applyNumberFormat="1" applyFont="1" applyBorder="1" applyAlignment="1">
      <alignment horizontal="center" vertical="center"/>
    </xf>
    <xf numFmtId="41" fontId="99" fillId="0" borderId="15" xfId="182" applyNumberFormat="1" applyFont="1" applyBorder="1" applyAlignment="1">
      <alignment horizontal="center" vertical="center"/>
    </xf>
    <xf numFmtId="0" fontId="83" fillId="0" borderId="17" xfId="182" applyFont="1" applyBorder="1" applyAlignment="1">
      <alignment horizontal="center" vertical="center"/>
    </xf>
    <xf numFmtId="41" fontId="99" fillId="0" borderId="18" xfId="182" applyNumberFormat="1" applyFont="1" applyBorder="1" applyAlignment="1">
      <alignment horizontal="center" vertical="center"/>
    </xf>
    <xf numFmtId="0" fontId="148" fillId="15" borderId="8" xfId="0" applyFont="1" applyFill="1" applyBorder="1" applyAlignment="1">
      <alignment horizontal="center" vertical="center" wrapText="1"/>
    </xf>
    <xf numFmtId="0" fontId="145" fillId="0" borderId="1" xfId="0" applyFont="1" applyFill="1" applyBorder="1" applyAlignment="1">
      <alignment horizontal="center" vertical="center" wrapText="1"/>
    </xf>
    <xf numFmtId="0" fontId="148" fillId="0" borderId="15" xfId="0" applyFont="1" applyFill="1" applyBorder="1" applyAlignment="1">
      <alignment horizontal="center" vertical="center" wrapText="1"/>
    </xf>
    <xf numFmtId="0" fontId="142" fillId="0" borderId="15" xfId="0" applyFont="1" applyBorder="1" applyAlignment="1">
      <alignment horizontal="center" vertical="center" wrapText="1"/>
    </xf>
    <xf numFmtId="0" fontId="143" fillId="0" borderId="16" xfId="182" applyFont="1" applyBorder="1" applyAlignment="1">
      <alignment horizontal="center" vertical="center"/>
    </xf>
    <xf numFmtId="0" fontId="146" fillId="0" borderId="18" xfId="182" applyFont="1" applyBorder="1">
      <alignment vertical="center"/>
    </xf>
    <xf numFmtId="0" fontId="131" fillId="0" borderId="15" xfId="182" applyFont="1" applyBorder="1" applyAlignment="1">
      <alignment horizontal="center" vertical="center"/>
    </xf>
    <xf numFmtId="0" fontId="137" fillId="0" borderId="18" xfId="182" applyFont="1" applyBorder="1" applyAlignment="1">
      <alignment horizontal="center" vertical="center"/>
    </xf>
    <xf numFmtId="220" fontId="134" fillId="0" borderId="1" xfId="182" applyNumberFormat="1" applyFont="1" applyFill="1" applyBorder="1" applyAlignment="1">
      <alignment horizontal="center" vertical="center"/>
    </xf>
    <xf numFmtId="220" fontId="134" fillId="0" borderId="16" xfId="182" applyNumberFormat="1" applyFont="1" applyFill="1" applyBorder="1" applyAlignment="1">
      <alignment horizontal="center" vertical="center"/>
    </xf>
    <xf numFmtId="220" fontId="134" fillId="15" borderId="13" xfId="182" applyNumberFormat="1" applyFont="1" applyFill="1" applyBorder="1" applyAlignment="1">
      <alignment horizontal="center" vertical="center"/>
    </xf>
    <xf numFmtId="180" fontId="132" fillId="0" borderId="17" xfId="182" applyNumberFormat="1" applyFont="1" applyBorder="1" applyAlignment="1">
      <alignment vertical="center"/>
    </xf>
    <xf numFmtId="180" fontId="136" fillId="0" borderId="17" xfId="182" applyNumberFormat="1" applyFont="1" applyBorder="1" applyAlignment="1">
      <alignment vertical="center"/>
    </xf>
    <xf numFmtId="41" fontId="8" fillId="0" borderId="8" xfId="149" applyNumberFormat="1" applyFont="1" applyFill="1" applyBorder="1" applyAlignment="1">
      <alignment horizontal="right" vertical="center"/>
    </xf>
    <xf numFmtId="41" fontId="8" fillId="0" borderId="8" xfId="149" applyFont="1" applyFill="1" applyBorder="1" applyAlignment="1">
      <alignment horizontal="right" vertical="center"/>
    </xf>
    <xf numFmtId="41" fontId="8" fillId="0" borderId="17" xfId="149" applyFont="1" applyFill="1" applyBorder="1" applyAlignment="1">
      <alignment horizontal="right" vertical="center"/>
    </xf>
    <xf numFmtId="243" fontId="76" fillId="15" borderId="13" xfId="751" applyNumberFormat="1" applyFont="1" applyFill="1" applyBorder="1" applyAlignment="1">
      <alignment horizontal="center" vertical="center"/>
    </xf>
    <xf numFmtId="0" fontId="76" fillId="15" borderId="13" xfId="751" applyNumberFormat="1" applyFont="1" applyFill="1" applyBorder="1" applyAlignment="1">
      <alignment horizontal="right" vertical="center"/>
    </xf>
    <xf numFmtId="41" fontId="76" fillId="15" borderId="13" xfId="943" applyFont="1" applyFill="1" applyBorder="1" applyAlignment="1">
      <alignment horizontal="right" vertical="center"/>
    </xf>
    <xf numFmtId="0" fontId="76" fillId="15" borderId="14" xfId="751" applyNumberFormat="1" applyFont="1" applyFill="1" applyBorder="1" applyAlignment="1">
      <alignment horizontal="center" vertical="center"/>
    </xf>
    <xf numFmtId="201" fontId="76" fillId="0" borderId="8" xfId="153" applyNumberFormat="1" applyFont="1" applyFill="1" applyBorder="1" applyAlignment="1">
      <alignment horizontal="right" vertical="center"/>
    </xf>
    <xf numFmtId="0" fontId="76" fillId="0" borderId="15" xfId="0" applyFont="1" applyBorder="1"/>
    <xf numFmtId="201" fontId="76" fillId="0" borderId="8" xfId="943" applyNumberFormat="1" applyFont="1" applyBorder="1" applyAlignment="1">
      <alignment horizontal="right"/>
    </xf>
    <xf numFmtId="41" fontId="76" fillId="0" borderId="8" xfId="943" applyNumberFormat="1" applyFont="1" applyBorder="1" applyAlignment="1">
      <alignment horizontal="right"/>
    </xf>
    <xf numFmtId="41" fontId="76" fillId="0" borderId="8" xfId="943" applyFont="1" applyBorder="1" applyAlignment="1">
      <alignment horizontal="right"/>
    </xf>
    <xf numFmtId="201" fontId="76" fillId="0" borderId="17" xfId="943" applyNumberFormat="1" applyFont="1" applyBorder="1" applyAlignment="1">
      <alignment horizontal="right"/>
    </xf>
    <xf numFmtId="191" fontId="76" fillId="0" borderId="8" xfId="751" applyNumberFormat="1" applyFont="1" applyFill="1" applyBorder="1" applyAlignment="1">
      <alignment horizontal="center" vertical="center"/>
    </xf>
    <xf numFmtId="191" fontId="76" fillId="0" borderId="17" xfId="751" applyNumberFormat="1" applyFont="1" applyFill="1" applyBorder="1" applyAlignment="1">
      <alignment horizontal="center" vertical="center"/>
    </xf>
    <xf numFmtId="193" fontId="76" fillId="49" borderId="8" xfId="751" applyNumberFormat="1" applyFont="1" applyFill="1" applyBorder="1" applyAlignment="1">
      <alignment horizontal="center" vertical="center"/>
    </xf>
    <xf numFmtId="193" fontId="76" fillId="49" borderId="17" xfId="751" applyNumberFormat="1" applyFont="1" applyFill="1" applyBorder="1" applyAlignment="1">
      <alignment horizontal="center" vertical="center"/>
    </xf>
    <xf numFmtId="0" fontId="85" fillId="0" borderId="0" xfId="214" applyFont="1" applyAlignment="1">
      <alignment horizontal="left" vertical="center"/>
    </xf>
    <xf numFmtId="0" fontId="151" fillId="0" borderId="0" xfId="0" applyFont="1" applyBorder="1" applyAlignment="1">
      <alignment horizontal="center" vertical="center" wrapText="1"/>
    </xf>
    <xf numFmtId="0" fontId="0" fillId="0" borderId="0" xfId="0" applyBorder="1"/>
    <xf numFmtId="0" fontId="154" fillId="0" borderId="0" xfId="750" applyFont="1" applyBorder="1" applyAlignment="1">
      <alignment vertical="center"/>
    </xf>
    <xf numFmtId="41" fontId="153" fillId="0" borderId="0" xfId="149" quotePrefix="1" applyFont="1" applyBorder="1" applyAlignment="1">
      <alignment horizontal="right" vertical="center"/>
    </xf>
    <xf numFmtId="41" fontId="152" fillId="0" borderId="0" xfId="149" applyFont="1" applyBorder="1" applyAlignment="1">
      <alignment vertical="center"/>
    </xf>
    <xf numFmtId="41" fontId="152" fillId="0" borderId="0" xfId="149" quotePrefix="1" applyFont="1" applyBorder="1" applyAlignment="1">
      <alignment horizontal="right" vertical="center"/>
    </xf>
    <xf numFmtId="179" fontId="152" fillId="0" borderId="0" xfId="149" quotePrefix="1" applyNumberFormat="1" applyFont="1" applyBorder="1" applyAlignment="1">
      <alignment horizontal="right" vertical="center"/>
    </xf>
    <xf numFmtId="0" fontId="152" fillId="0" borderId="0" xfId="750" applyFont="1">
      <alignment vertical="center"/>
    </xf>
    <xf numFmtId="0" fontId="155" fillId="0" borderId="0" xfId="750" applyFont="1" applyBorder="1" applyAlignment="1">
      <alignment vertical="center"/>
    </xf>
    <xf numFmtId="0" fontId="155" fillId="0" borderId="0" xfId="750" applyFont="1" applyBorder="1" applyAlignment="1">
      <alignment horizontal="left" vertical="center"/>
    </xf>
    <xf numFmtId="0" fontId="155" fillId="0" borderId="0" xfId="750" applyFont="1">
      <alignment vertical="center"/>
    </xf>
    <xf numFmtId="9" fontId="155" fillId="0" borderId="0" xfId="140" applyFont="1" applyAlignment="1">
      <alignment vertical="center"/>
    </xf>
    <xf numFmtId="180" fontId="155" fillId="0" borderId="0" xfId="140" applyNumberFormat="1" applyFont="1" applyAlignment="1">
      <alignment vertical="center"/>
    </xf>
    <xf numFmtId="9" fontId="155" fillId="8" borderId="4" xfId="140" applyFont="1" applyFill="1" applyBorder="1" applyAlignment="1">
      <alignment horizontal="center" vertical="center"/>
    </xf>
    <xf numFmtId="180" fontId="155" fillId="8" borderId="4" xfId="140" applyNumberFormat="1" applyFont="1" applyFill="1" applyBorder="1" applyAlignment="1">
      <alignment horizontal="center" vertical="center"/>
    </xf>
    <xf numFmtId="180" fontId="155" fillId="8" borderId="4" xfId="140" applyNumberFormat="1" applyFont="1" applyFill="1" applyBorder="1" applyAlignment="1">
      <alignment horizontal="center" vertical="center" wrapText="1"/>
    </xf>
    <xf numFmtId="0" fontId="156" fillId="50" borderId="13" xfId="0" applyFont="1" applyFill="1" applyBorder="1" applyAlignment="1">
      <alignment horizontal="center" vertical="center"/>
    </xf>
    <xf numFmtId="41" fontId="155" fillId="0" borderId="13" xfId="0" applyNumberFormat="1" applyFont="1" applyBorder="1" applyAlignment="1">
      <alignment horizontal="center" vertical="center"/>
    </xf>
    <xf numFmtId="41" fontId="155" fillId="0" borderId="13" xfId="149" applyFont="1" applyBorder="1" applyAlignment="1">
      <alignment vertical="center"/>
    </xf>
    <xf numFmtId="41" fontId="155" fillId="0" borderId="13" xfId="149" quotePrefix="1" applyFont="1" applyBorder="1" applyAlignment="1">
      <alignment horizontal="right" vertical="center"/>
    </xf>
    <xf numFmtId="183" fontId="155" fillId="0" borderId="14" xfId="149" quotePrefix="1" applyNumberFormat="1" applyFont="1" applyBorder="1" applyAlignment="1">
      <alignment horizontal="right" vertical="center"/>
    </xf>
    <xf numFmtId="41" fontId="155" fillId="0" borderId="4" xfId="149" applyFont="1" applyBorder="1" applyAlignment="1">
      <alignment vertical="center"/>
    </xf>
    <xf numFmtId="178" fontId="155" fillId="0" borderId="4" xfId="149" applyNumberFormat="1" applyFont="1" applyBorder="1" applyAlignment="1">
      <alignment vertical="center"/>
    </xf>
    <xf numFmtId="41" fontId="155" fillId="0" borderId="0" xfId="149" applyFont="1" applyAlignment="1">
      <alignment vertical="center"/>
    </xf>
    <xf numFmtId="41" fontId="155" fillId="0" borderId="0" xfId="750" applyNumberFormat="1" applyFont="1">
      <alignment vertical="center"/>
    </xf>
    <xf numFmtId="0" fontId="155" fillId="0" borderId="11" xfId="750" applyFont="1" applyBorder="1">
      <alignment vertical="center"/>
    </xf>
    <xf numFmtId="181" fontId="155" fillId="6" borderId="11" xfId="752" applyNumberFormat="1" applyFont="1" applyFill="1" applyBorder="1" applyAlignment="1">
      <alignment vertical="center"/>
    </xf>
    <xf numFmtId="183" fontId="155" fillId="0" borderId="14" xfId="149" quotePrefix="1" applyNumberFormat="1" applyFont="1" applyFill="1" applyBorder="1" applyAlignment="1">
      <alignment horizontal="right" vertical="center"/>
    </xf>
    <xf numFmtId="41" fontId="155" fillId="0" borderId="4" xfId="0" applyNumberFormat="1" applyFont="1" applyBorder="1" applyAlignment="1">
      <alignment horizontal="center" vertical="center"/>
    </xf>
    <xf numFmtId="41" fontId="155" fillId="0" borderId="4" xfId="149" quotePrefix="1" applyFont="1" applyBorder="1" applyAlignment="1">
      <alignment horizontal="right" vertical="center"/>
    </xf>
    <xf numFmtId="0" fontId="155" fillId="50" borderId="0" xfId="750" applyFont="1" applyFill="1" applyBorder="1" applyAlignment="1">
      <alignment horizontal="center" vertical="center"/>
    </xf>
    <xf numFmtId="0" fontId="156" fillId="50" borderId="0" xfId="0" applyFont="1" applyFill="1" applyBorder="1" applyAlignment="1">
      <alignment horizontal="center" vertical="center"/>
    </xf>
    <xf numFmtId="41" fontId="155" fillId="0" borderId="0" xfId="0" applyNumberFormat="1" applyFont="1" applyBorder="1" applyAlignment="1">
      <alignment horizontal="center" vertical="center"/>
    </xf>
    <xf numFmtId="41" fontId="155" fillId="0" borderId="0" xfId="149" applyFont="1" applyBorder="1" applyAlignment="1">
      <alignment vertical="center"/>
    </xf>
    <xf numFmtId="41" fontId="155" fillId="14" borderId="0" xfId="149" applyFont="1" applyFill="1" applyBorder="1" applyAlignment="1">
      <alignment vertical="center"/>
    </xf>
    <xf numFmtId="41" fontId="155" fillId="0" borderId="0" xfId="149" quotePrefix="1" applyFont="1" applyBorder="1" applyAlignment="1">
      <alignment horizontal="right" vertical="center"/>
    </xf>
    <xf numFmtId="183" fontId="155" fillId="0" borderId="0" xfId="149" quotePrefix="1" applyNumberFormat="1" applyFont="1" applyFill="1" applyBorder="1" applyAlignment="1">
      <alignment horizontal="right" vertical="center"/>
    </xf>
    <xf numFmtId="178" fontId="155" fillId="0" borderId="0" xfId="149" applyNumberFormat="1" applyFont="1" applyBorder="1" applyAlignment="1">
      <alignment vertical="center"/>
    </xf>
    <xf numFmtId="0" fontId="155" fillId="50" borderId="0" xfId="750" applyFont="1" applyFill="1" applyBorder="1" applyAlignment="1">
      <alignment horizontal="left" vertical="center"/>
    </xf>
    <xf numFmtId="41" fontId="76" fillId="0" borderId="8" xfId="149" applyFont="1" applyBorder="1" applyAlignment="1">
      <alignment vertical="center"/>
    </xf>
    <xf numFmtId="41" fontId="76" fillId="0" borderId="8" xfId="149" quotePrefix="1" applyFont="1" applyBorder="1" applyAlignment="1">
      <alignment horizontal="right" vertical="center"/>
    </xf>
    <xf numFmtId="41" fontId="76" fillId="0" borderId="17" xfId="149" applyFont="1" applyBorder="1" applyAlignment="1">
      <alignment vertical="center"/>
    </xf>
    <xf numFmtId="41" fontId="76" fillId="0" borderId="17" xfId="149" quotePrefix="1" applyFont="1" applyBorder="1" applyAlignment="1">
      <alignment horizontal="right" vertical="center"/>
    </xf>
    <xf numFmtId="0" fontId="73" fillId="0" borderId="0" xfId="750" applyFont="1" applyBorder="1" applyAlignment="1">
      <alignment vertical="center"/>
    </xf>
    <xf numFmtId="0" fontId="158" fillId="51" borderId="70" xfId="0" applyFont="1" applyFill="1" applyBorder="1" applyAlignment="1">
      <alignment horizontal="center" vertical="center" wrapText="1"/>
    </xf>
    <xf numFmtId="0" fontId="159" fillId="51" borderId="71" xfId="0" applyFont="1" applyFill="1" applyBorder="1" applyAlignment="1">
      <alignment horizontal="center" vertical="center" wrapText="1"/>
    </xf>
    <xf numFmtId="0" fontId="159" fillId="51" borderId="72" xfId="0" applyFont="1" applyFill="1" applyBorder="1" applyAlignment="1">
      <alignment horizontal="center" vertical="center" wrapText="1"/>
    </xf>
    <xf numFmtId="0" fontId="160" fillId="52" borderId="73" xfId="0" applyFont="1" applyFill="1" applyBorder="1" applyAlignment="1">
      <alignment horizontal="center" vertical="center" wrapText="1"/>
    </xf>
    <xf numFmtId="0" fontId="161" fillId="0" borderId="74" xfId="0" applyFont="1" applyBorder="1" applyAlignment="1">
      <alignment horizontal="center" vertical="center" wrapText="1"/>
    </xf>
    <xf numFmtId="0" fontId="161" fillId="0" borderId="75" xfId="0" applyFont="1" applyBorder="1" applyAlignment="1">
      <alignment horizontal="center" vertical="center" wrapText="1"/>
    </xf>
    <xf numFmtId="180" fontId="0" fillId="0" borderId="0" xfId="0" applyNumberFormat="1"/>
    <xf numFmtId="0" fontId="63" fillId="0" borderId="11" xfId="750" applyFont="1" applyFill="1" applyBorder="1" applyAlignment="1">
      <alignment horizontal="center" vertical="center"/>
    </xf>
    <xf numFmtId="0" fontId="8" fillId="2" borderId="0" xfId="750" applyFont="1" applyFill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179" fontId="124" fillId="0" borderId="29" xfId="0" applyNumberFormat="1" applyFont="1" applyFill="1" applyBorder="1" applyAlignment="1">
      <alignment horizontal="right" vertical="center" wrapText="1"/>
    </xf>
    <xf numFmtId="179" fontId="124" fillId="0" borderId="29" xfId="0" applyNumberFormat="1" applyFont="1" applyBorder="1" applyAlignment="1">
      <alignment horizontal="right" vertical="center" wrapText="1"/>
    </xf>
    <xf numFmtId="201" fontId="124" fillId="5" borderId="29" xfId="0" applyNumberFormat="1" applyFont="1" applyFill="1" applyBorder="1" applyAlignment="1">
      <alignment horizontal="right" vertical="center" wrapText="1"/>
    </xf>
    <xf numFmtId="0" fontId="69" fillId="0" borderId="0" xfId="182" applyFont="1">
      <alignment vertical="center"/>
    </xf>
    <xf numFmtId="41" fontId="148" fillId="0" borderId="8" xfId="149" applyFont="1" applyFill="1" applyBorder="1" applyAlignment="1">
      <alignment vertical="center" wrapText="1"/>
    </xf>
    <xf numFmtId="41" fontId="142" fillId="0" borderId="8" xfId="149" applyFont="1" applyFill="1" applyBorder="1" applyAlignment="1">
      <alignment vertical="center" wrapText="1"/>
    </xf>
    <xf numFmtId="3" fontId="142" fillId="0" borderId="8" xfId="0" applyNumberFormat="1" applyFont="1" applyBorder="1" applyAlignment="1">
      <alignment vertical="center" wrapText="1"/>
    </xf>
    <xf numFmtId="180" fontId="142" fillId="0" borderId="8" xfId="140" applyNumberFormat="1" applyFont="1" applyBorder="1" applyAlignment="1">
      <alignment vertical="center" wrapText="1"/>
    </xf>
    <xf numFmtId="1" fontId="84" fillId="0" borderId="0" xfId="0" applyNumberFormat="1" applyFont="1"/>
    <xf numFmtId="1" fontId="142" fillId="0" borderId="8" xfId="0" applyNumberFormat="1" applyFont="1" applyFill="1" applyBorder="1" applyAlignment="1">
      <alignment vertical="center" wrapText="1"/>
    </xf>
    <xf numFmtId="3" fontId="142" fillId="0" borderId="8" xfId="0" applyNumberFormat="1" applyFont="1" applyFill="1" applyBorder="1" applyAlignment="1">
      <alignment vertical="center" wrapText="1"/>
    </xf>
    <xf numFmtId="0" fontId="142" fillId="0" borderId="15" xfId="0" applyFont="1" applyFill="1" applyBorder="1" applyAlignment="1">
      <alignment horizontal="center" vertical="center" wrapText="1"/>
    </xf>
    <xf numFmtId="0" fontId="163" fillId="54" borderId="4" xfId="0" applyFont="1" applyFill="1" applyBorder="1" applyAlignment="1">
      <alignment horizontal="center" vertical="center" wrapText="1"/>
    </xf>
    <xf numFmtId="0" fontId="160" fillId="0" borderId="4" xfId="0" applyFont="1" applyBorder="1" applyAlignment="1">
      <alignment horizontal="center" vertical="center" wrapText="1"/>
    </xf>
    <xf numFmtId="0" fontId="164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0" xfId="750" applyFont="1">
      <alignment vertical="center"/>
    </xf>
    <xf numFmtId="1" fontId="6" fillId="0" borderId="0" xfId="750" applyNumberFormat="1">
      <alignment vertical="center"/>
    </xf>
    <xf numFmtId="178" fontId="6" fillId="0" borderId="0" xfId="750" applyNumberFormat="1">
      <alignment vertical="center"/>
    </xf>
    <xf numFmtId="41" fontId="84" fillId="0" borderId="0" xfId="0" applyNumberFormat="1" applyFont="1"/>
    <xf numFmtId="41" fontId="146" fillId="0" borderId="0" xfId="182" applyNumberFormat="1" applyFont="1">
      <alignment vertical="center"/>
    </xf>
    <xf numFmtId="0" fontId="156" fillId="50" borderId="4" xfId="0" applyFont="1" applyFill="1" applyBorder="1" applyAlignment="1">
      <alignment horizontal="center" vertical="center"/>
    </xf>
    <xf numFmtId="41" fontId="155" fillId="14" borderId="4" xfId="149" applyFont="1" applyFill="1" applyBorder="1" applyAlignment="1">
      <alignment vertical="center"/>
    </xf>
    <xf numFmtId="183" fontId="155" fillId="0" borderId="4" xfId="149" quotePrefix="1" applyNumberFormat="1" applyFont="1" applyFill="1" applyBorder="1" applyAlignment="1">
      <alignment horizontal="right" vertical="center"/>
    </xf>
    <xf numFmtId="41" fontId="155" fillId="0" borderId="4" xfId="149" applyFont="1" applyBorder="1" applyAlignment="1">
      <alignment horizontal="center" vertical="center"/>
    </xf>
    <xf numFmtId="41" fontId="155" fillId="0" borderId="4" xfId="149" applyNumberFormat="1" applyFont="1" applyBorder="1" applyAlignment="1">
      <alignment vertical="center"/>
    </xf>
    <xf numFmtId="41" fontId="155" fillId="0" borderId="4" xfId="140" applyNumberFormat="1" applyFont="1" applyBorder="1" applyAlignment="1">
      <alignment vertical="center"/>
    </xf>
    <xf numFmtId="0" fontId="160" fillId="0" borderId="0" xfId="0" applyFont="1" applyBorder="1" applyAlignment="1">
      <alignment horizontal="center" vertical="center" wrapText="1"/>
    </xf>
    <xf numFmtId="0" fontId="16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160" fillId="0" borderId="0" xfId="0" applyFont="1" applyBorder="1" applyAlignment="1">
      <alignment vertical="center" wrapText="1"/>
    </xf>
    <xf numFmtId="0" fontId="162" fillId="0" borderId="0" xfId="0" applyFont="1" applyFill="1" applyBorder="1" applyAlignment="1">
      <alignment vertical="center" wrapText="1"/>
    </xf>
    <xf numFmtId="0" fontId="163" fillId="0" borderId="0" xfId="0" applyFont="1" applyFill="1" applyBorder="1" applyAlignment="1">
      <alignment horizontal="center" vertical="center" wrapText="1"/>
    </xf>
    <xf numFmtId="0" fontId="165" fillId="0" borderId="0" xfId="1345" applyFont="1"/>
    <xf numFmtId="0" fontId="6" fillId="0" borderId="0" xfId="1345"/>
    <xf numFmtId="0" fontId="6" fillId="0" borderId="0" xfId="1345" applyAlignment="1">
      <alignment horizontal="center"/>
    </xf>
    <xf numFmtId="0" fontId="8" fillId="0" borderId="0" xfId="1345" applyFont="1"/>
    <xf numFmtId="0" fontId="8" fillId="0" borderId="0" xfId="1345" applyFont="1" applyAlignment="1">
      <alignment horizontal="center"/>
    </xf>
    <xf numFmtId="0" fontId="8" fillId="0" borderId="0" xfId="1345" applyFont="1" applyAlignment="1">
      <alignment horizontal="right"/>
    </xf>
    <xf numFmtId="0" fontId="8" fillId="0" borderId="77" xfId="1345" applyFont="1" applyBorder="1" applyAlignment="1">
      <alignment horizontal="center"/>
    </xf>
    <xf numFmtId="0" fontId="8" fillId="0" borderId="78" xfId="1345" applyFont="1" applyBorder="1" applyAlignment="1">
      <alignment horizontal="center"/>
    </xf>
    <xf numFmtId="0" fontId="8" fillId="0" borderId="4" xfId="1345" applyFont="1" applyBorder="1" applyAlignment="1">
      <alignment horizontal="center"/>
    </xf>
    <xf numFmtId="179" fontId="8" fillId="0" borderId="8" xfId="1345" applyNumberFormat="1" applyFont="1" applyBorder="1" applyAlignment="1">
      <alignment horizontal="center"/>
    </xf>
    <xf numFmtId="179" fontId="8" fillId="0" borderId="80" xfId="1345" applyNumberFormat="1" applyFont="1" applyBorder="1" applyAlignment="1">
      <alignment horizontal="center"/>
    </xf>
    <xf numFmtId="41" fontId="8" fillId="0" borderId="4" xfId="1345" applyNumberFormat="1" applyFont="1" applyBorder="1" applyAlignment="1">
      <alignment horizontal="center"/>
    </xf>
    <xf numFmtId="179" fontId="8" fillId="0" borderId="4" xfId="1345" applyNumberFormat="1" applyFont="1" applyBorder="1" applyAlignment="1">
      <alignment horizontal="center"/>
    </xf>
    <xf numFmtId="178" fontId="8" fillId="0" borderId="4" xfId="1345" applyNumberFormat="1" applyFont="1" applyBorder="1" applyAlignment="1">
      <alignment horizontal="center"/>
    </xf>
    <xf numFmtId="200" fontId="8" fillId="0" borderId="4" xfId="1345" applyNumberFormat="1" applyFont="1" applyBorder="1" applyAlignment="1">
      <alignment horizontal="center"/>
    </xf>
    <xf numFmtId="179" fontId="8" fillId="0" borderId="9" xfId="1345" applyNumberFormat="1" applyFont="1" applyBorder="1" applyAlignment="1">
      <alignment horizontal="center"/>
    </xf>
    <xf numFmtId="179" fontId="8" fillId="0" borderId="82" xfId="1345" applyNumberFormat="1" applyFont="1" applyBorder="1" applyAlignment="1">
      <alignment horizontal="center"/>
    </xf>
    <xf numFmtId="179" fontId="8" fillId="0" borderId="85" xfId="1345" applyNumberFormat="1" applyFont="1" applyBorder="1" applyAlignment="1">
      <alignment horizontal="center"/>
    </xf>
    <xf numFmtId="179" fontId="8" fillId="0" borderId="86" xfId="1345" applyNumberFormat="1" applyFont="1" applyBorder="1" applyAlignment="1">
      <alignment horizontal="center"/>
    </xf>
    <xf numFmtId="179" fontId="8" fillId="0" borderId="87" xfId="1345" applyNumberFormat="1" applyFont="1" applyBorder="1" applyAlignment="1">
      <alignment horizontal="center"/>
    </xf>
    <xf numFmtId="0" fontId="8" fillId="0" borderId="88" xfId="1345" applyFont="1" applyBorder="1" applyAlignment="1">
      <alignment horizontal="center"/>
    </xf>
    <xf numFmtId="0" fontId="8" fillId="0" borderId="0" xfId="1345" applyFont="1" applyFill="1"/>
    <xf numFmtId="179" fontId="8" fillId="0" borderId="91" xfId="1345" applyNumberFormat="1" applyFont="1" applyBorder="1" applyAlignment="1">
      <alignment horizontal="center"/>
    </xf>
    <xf numFmtId="179" fontId="8" fillId="0" borderId="84" xfId="1345" applyNumberFormat="1" applyFont="1" applyBorder="1" applyAlignment="1">
      <alignment horizontal="center"/>
    </xf>
    <xf numFmtId="0" fontId="8" fillId="0" borderId="0" xfId="1345" applyFont="1" applyBorder="1" applyAlignment="1">
      <alignment horizontal="center"/>
    </xf>
    <xf numFmtId="179" fontId="8" fillId="0" borderId="0" xfId="1345" applyNumberFormat="1" applyFont="1" applyBorder="1" applyAlignment="1">
      <alignment horizontal="center"/>
    </xf>
    <xf numFmtId="0" fontId="8" fillId="0" borderId="2" xfId="1345" applyFont="1" applyBorder="1" applyAlignment="1">
      <alignment horizontal="center"/>
    </xf>
    <xf numFmtId="0" fontId="8" fillId="0" borderId="90" xfId="1345" applyFont="1" applyBorder="1" applyAlignment="1">
      <alignment horizontal="center"/>
    </xf>
    <xf numFmtId="179" fontId="8" fillId="0" borderId="90" xfId="1345" applyNumberFormat="1" applyFont="1" applyBorder="1"/>
    <xf numFmtId="179" fontId="8" fillId="0" borderId="96" xfId="1345" applyNumberFormat="1" applyFont="1" applyBorder="1"/>
    <xf numFmtId="179" fontId="8" fillId="0" borderId="0" xfId="1345" applyNumberFormat="1" applyFont="1" applyFill="1"/>
    <xf numFmtId="0" fontId="8" fillId="0" borderId="8" xfId="1345" applyFont="1" applyBorder="1" applyAlignment="1">
      <alignment horizontal="center"/>
    </xf>
    <xf numFmtId="179" fontId="8" fillId="0" borderId="8" xfId="1345" applyNumberFormat="1" applyFont="1" applyBorder="1"/>
    <xf numFmtId="179" fontId="8" fillId="0" borderId="91" xfId="1345" applyNumberFormat="1" applyFont="1" applyBorder="1"/>
    <xf numFmtId="41" fontId="8" fillId="0" borderId="0" xfId="1328" applyFont="1" applyFill="1"/>
    <xf numFmtId="49" fontId="8" fillId="0" borderId="0" xfId="1345" applyNumberFormat="1" applyFont="1" applyFill="1"/>
    <xf numFmtId="41" fontId="8" fillId="0" borderId="0" xfId="1345" applyNumberFormat="1" applyFont="1" applyFill="1"/>
    <xf numFmtId="0" fontId="8" fillId="2" borderId="84" xfId="1345" applyFont="1" applyFill="1" applyBorder="1" applyAlignment="1">
      <alignment horizontal="center"/>
    </xf>
    <xf numFmtId="179" fontId="8" fillId="2" borderId="84" xfId="1345" applyNumberFormat="1" applyFont="1" applyFill="1" applyBorder="1"/>
    <xf numFmtId="179" fontId="8" fillId="2" borderId="87" xfId="1345" applyNumberFormat="1" applyFont="1" applyFill="1" applyBorder="1"/>
    <xf numFmtId="179" fontId="8" fillId="0" borderId="97" xfId="1345" applyNumberFormat="1" applyFont="1" applyFill="1" applyBorder="1"/>
    <xf numFmtId="179" fontId="8" fillId="0" borderId="0" xfId="1345" applyNumberFormat="1" applyFont="1"/>
    <xf numFmtId="0" fontId="75" fillId="50" borderId="8" xfId="0" applyFont="1" applyFill="1" applyBorder="1" applyAlignment="1">
      <alignment horizontal="center" vertical="center"/>
    </xf>
    <xf numFmtId="41" fontId="76" fillId="0" borderId="8" xfId="0" applyNumberFormat="1" applyFont="1" applyBorder="1" applyAlignment="1">
      <alignment horizontal="center" vertical="center"/>
    </xf>
    <xf numFmtId="0" fontId="76" fillId="8" borderId="8" xfId="0" applyFont="1" applyFill="1" applyBorder="1" applyAlignment="1">
      <alignment horizontal="center" vertical="center"/>
    </xf>
    <xf numFmtId="0" fontId="76" fillId="8" borderId="8" xfId="0" applyFont="1" applyFill="1" applyBorder="1" applyAlignment="1">
      <alignment horizontal="center" vertical="center" wrapText="1"/>
    </xf>
    <xf numFmtId="183" fontId="76" fillId="0" borderId="8" xfId="149" quotePrefix="1" applyNumberFormat="1" applyFont="1" applyBorder="1" applyAlignment="1">
      <alignment horizontal="right" vertical="center"/>
    </xf>
    <xf numFmtId="0" fontId="75" fillId="50" borderId="17" xfId="0" applyFont="1" applyFill="1" applyBorder="1" applyAlignment="1">
      <alignment horizontal="center" vertical="center"/>
    </xf>
    <xf numFmtId="41" fontId="76" fillId="0" borderId="17" xfId="0" applyNumberFormat="1" applyFont="1" applyBorder="1" applyAlignment="1">
      <alignment horizontal="center" vertical="center"/>
    </xf>
    <xf numFmtId="183" fontId="76" fillId="0" borderId="17" xfId="149" quotePrefix="1" applyNumberFormat="1" applyFont="1" applyBorder="1" applyAlignment="1">
      <alignment horizontal="right" vertical="center"/>
    </xf>
    <xf numFmtId="0" fontId="76" fillId="0" borderId="18" xfId="0" applyFont="1" applyBorder="1"/>
    <xf numFmtId="0" fontId="76" fillId="15" borderId="8" xfId="0" applyFont="1" applyFill="1" applyBorder="1" applyAlignment="1">
      <alignment horizontal="center" vertical="center"/>
    </xf>
    <xf numFmtId="0" fontId="76" fillId="15" borderId="8" xfId="0" applyFont="1" applyFill="1" applyBorder="1" applyAlignment="1">
      <alignment horizontal="center" vertical="center" wrapText="1"/>
    </xf>
    <xf numFmtId="191" fontId="8" fillId="0" borderId="0" xfId="751" applyNumberFormat="1" applyFont="1" applyFill="1" applyBorder="1" applyAlignment="1">
      <alignment vertical="center"/>
    </xf>
    <xf numFmtId="0" fontId="83" fillId="0" borderId="0" xfId="751" applyFont="1"/>
    <xf numFmtId="0" fontId="83" fillId="0" borderId="0" xfId="751" applyFont="1" applyAlignment="1">
      <alignment horizontal="right"/>
    </xf>
    <xf numFmtId="0" fontId="83" fillId="0" borderId="0" xfId="751" applyFont="1" applyAlignment="1">
      <alignment horizontal="center" vertical="center"/>
    </xf>
    <xf numFmtId="0" fontId="83" fillId="0" borderId="0" xfId="751" applyFont="1" applyAlignment="1">
      <alignment vertical="center"/>
    </xf>
    <xf numFmtId="191" fontId="83" fillId="48" borderId="8" xfId="751" applyNumberFormat="1" applyFont="1" applyFill="1" applyBorder="1" applyAlignment="1">
      <alignment horizontal="center" vertical="center"/>
    </xf>
    <xf numFmtId="41" fontId="83" fillId="0" borderId="8" xfId="153" applyFont="1" applyBorder="1" applyAlignment="1">
      <alignment horizontal="right" vertical="center"/>
    </xf>
    <xf numFmtId="184" fontId="83" fillId="0" borderId="8" xfId="153" applyNumberFormat="1" applyFont="1" applyBorder="1" applyAlignment="1">
      <alignment horizontal="right" vertical="center"/>
    </xf>
    <xf numFmtId="41" fontId="83" fillId="0" borderId="8" xfId="149" applyFont="1" applyBorder="1" applyAlignment="1">
      <alignment horizontal="right"/>
    </xf>
    <xf numFmtId="0" fontId="141" fillId="0" borderId="0" xfId="750" applyFont="1">
      <alignment vertical="center"/>
    </xf>
    <xf numFmtId="180" fontId="6" fillId="0" borderId="0" xfId="140" applyNumberFormat="1" applyAlignment="1">
      <alignment vertical="center"/>
    </xf>
    <xf numFmtId="41" fontId="7" fillId="0" borderId="0" xfId="750" applyNumberFormat="1" applyFont="1">
      <alignment vertical="center"/>
    </xf>
    <xf numFmtId="41" fontId="166" fillId="0" borderId="0" xfId="1346" applyNumberFormat="1" applyFont="1" applyAlignment="1">
      <alignment horizontal="right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/>
    <xf numFmtId="0" fontId="8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167" fillId="56" borderId="17" xfId="221" applyFont="1" applyFill="1" applyBorder="1" applyAlignment="1">
      <alignment horizontal="center" vertical="center"/>
    </xf>
    <xf numFmtId="41" fontId="167" fillId="0" borderId="13" xfId="221" applyNumberFormat="1" applyFont="1" applyFill="1" applyBorder="1" applyAlignment="1">
      <alignment vertical="center" shrinkToFit="1"/>
    </xf>
    <xf numFmtId="41" fontId="167" fillId="0" borderId="8" xfId="221" applyNumberFormat="1" applyFont="1" applyFill="1" applyBorder="1" applyAlignment="1">
      <alignment vertical="center" shrinkToFit="1"/>
    </xf>
    <xf numFmtId="41" fontId="167" fillId="0" borderId="17" xfId="221" applyNumberFormat="1" applyFont="1" applyFill="1" applyBorder="1" applyAlignment="1">
      <alignment vertical="center" shrinkToFit="1"/>
    </xf>
    <xf numFmtId="0" fontId="141" fillId="0" borderId="0" xfId="485" applyFont="1" applyFill="1">
      <alignment vertical="center"/>
    </xf>
    <xf numFmtId="0" fontId="69" fillId="0" borderId="0" xfId="485">
      <alignment vertical="center"/>
    </xf>
    <xf numFmtId="3" fontId="8" fillId="0" borderId="0" xfId="485" applyNumberFormat="1" applyFont="1" applyFill="1" applyAlignment="1">
      <alignment horizontal="center" vertical="center"/>
    </xf>
    <xf numFmtId="0" fontId="20" fillId="0" borderId="0" xfId="485" applyFont="1" applyFill="1">
      <alignment vertical="center"/>
    </xf>
    <xf numFmtId="0" fontId="41" fillId="48" borderId="108" xfId="485" applyFont="1" applyFill="1" applyBorder="1" applyAlignment="1">
      <alignment horizontal="center" vertical="center" wrapText="1"/>
    </xf>
    <xf numFmtId="0" fontId="41" fillId="48" borderId="110" xfId="485" applyFont="1" applyFill="1" applyBorder="1" applyAlignment="1">
      <alignment horizontal="center" vertical="center" wrapText="1"/>
    </xf>
    <xf numFmtId="0" fontId="132" fillId="0" borderId="0" xfId="485" applyFont="1">
      <alignment vertical="center"/>
    </xf>
    <xf numFmtId="41" fontId="63" fillId="53" borderId="114" xfId="485" applyNumberFormat="1" applyFont="1" applyFill="1" applyBorder="1" applyAlignment="1">
      <alignment horizontal="center" vertical="center" wrapText="1"/>
    </xf>
    <xf numFmtId="183" fontId="41" fillId="53" borderId="114" xfId="485" applyNumberFormat="1" applyFont="1" applyFill="1" applyBorder="1" applyAlignment="1">
      <alignment horizontal="center" vertical="center" wrapText="1"/>
    </xf>
    <xf numFmtId="41" fontId="41" fillId="53" borderId="115" xfId="485" applyNumberFormat="1" applyFont="1" applyFill="1" applyBorder="1" applyAlignment="1">
      <alignment horizontal="center" vertical="center" wrapText="1"/>
    </xf>
    <xf numFmtId="41" fontId="140" fillId="53" borderId="124" xfId="153" applyNumberFormat="1" applyFont="1" applyFill="1" applyBorder="1" applyAlignment="1">
      <alignment horizontal="center" vertical="center" wrapText="1"/>
    </xf>
    <xf numFmtId="183" fontId="41" fillId="53" borderId="124" xfId="153" applyNumberFormat="1" applyFont="1" applyFill="1" applyBorder="1" applyAlignment="1">
      <alignment horizontal="center" vertical="center" wrapText="1"/>
    </xf>
    <xf numFmtId="41" fontId="140" fillId="53" borderId="125" xfId="153" quotePrefix="1" applyNumberFormat="1" applyFont="1" applyFill="1" applyBorder="1" applyAlignment="1">
      <alignment horizontal="center" vertical="center" wrapText="1"/>
    </xf>
    <xf numFmtId="41" fontId="41" fillId="53" borderId="114" xfId="485" applyNumberFormat="1" applyFont="1" applyFill="1" applyBorder="1" applyAlignment="1">
      <alignment horizontal="center" vertical="center" wrapText="1"/>
    </xf>
    <xf numFmtId="41" fontId="0" fillId="0" borderId="0" xfId="1346" applyNumberFormat="1" applyFont="1" applyBorder="1" applyAlignment="1">
      <alignment vertical="center"/>
    </xf>
    <xf numFmtId="0" fontId="6" fillId="58" borderId="21" xfId="1347" applyFont="1" applyFill="1" applyBorder="1" applyAlignment="1">
      <alignment horizontal="center" vertical="center"/>
    </xf>
    <xf numFmtId="0" fontId="6" fillId="58" borderId="69" xfId="1347" applyFont="1" applyFill="1" applyBorder="1" applyAlignment="1">
      <alignment horizontal="center" vertical="center"/>
    </xf>
    <xf numFmtId="0" fontId="6" fillId="58" borderId="43" xfId="1347" applyFont="1" applyFill="1" applyBorder="1" applyAlignment="1">
      <alignment horizontal="center" vertical="center"/>
    </xf>
    <xf numFmtId="0" fontId="6" fillId="58" borderId="101" xfId="1347" applyFont="1" applyFill="1" applyBorder="1" applyAlignment="1">
      <alignment horizontal="center" vertical="center"/>
    </xf>
    <xf numFmtId="0" fontId="6" fillId="58" borderId="126" xfId="1347" applyFont="1" applyFill="1" applyBorder="1" applyAlignment="1">
      <alignment horizontal="center" vertical="center"/>
    </xf>
    <xf numFmtId="0" fontId="6" fillId="58" borderId="54" xfId="1347" applyFont="1" applyFill="1" applyBorder="1" applyAlignment="1">
      <alignment horizontal="center" vertical="center"/>
    </xf>
    <xf numFmtId="0" fontId="6" fillId="58" borderId="44" xfId="1347" applyFont="1" applyFill="1" applyBorder="1" applyAlignment="1">
      <alignment horizontal="center" vertical="center"/>
    </xf>
    <xf numFmtId="0" fontId="6" fillId="0" borderId="58" xfId="1231" applyBorder="1">
      <alignment vertical="center"/>
    </xf>
    <xf numFmtId="0" fontId="6" fillId="14" borderId="47" xfId="1231" applyFill="1" applyBorder="1">
      <alignment vertical="center"/>
    </xf>
    <xf numFmtId="0" fontId="6" fillId="14" borderId="13" xfId="1231" applyFill="1" applyBorder="1">
      <alignment vertical="center"/>
    </xf>
    <xf numFmtId="0" fontId="6" fillId="14" borderId="49" xfId="1231" applyFill="1" applyBorder="1">
      <alignment vertical="center"/>
    </xf>
    <xf numFmtId="0" fontId="6" fillId="14" borderId="127" xfId="1231" applyFill="1" applyBorder="1">
      <alignment vertical="center"/>
    </xf>
    <xf numFmtId="0" fontId="6" fillId="0" borderId="56" xfId="1231" applyBorder="1">
      <alignment vertical="center"/>
    </xf>
    <xf numFmtId="0" fontId="6" fillId="0" borderId="92" xfId="1231" applyBorder="1">
      <alignment vertical="center"/>
    </xf>
    <xf numFmtId="0" fontId="6" fillId="0" borderId="8" xfId="1231" applyBorder="1">
      <alignment vertical="center"/>
    </xf>
    <xf numFmtId="0" fontId="6" fillId="0" borderId="80" xfId="1231" applyBorder="1">
      <alignment vertical="center"/>
    </xf>
    <xf numFmtId="0" fontId="6" fillId="0" borderId="128" xfId="1231" applyBorder="1">
      <alignment vertical="center"/>
    </xf>
    <xf numFmtId="0" fontId="6" fillId="14" borderId="92" xfId="1231" applyFill="1" applyBorder="1">
      <alignment vertical="center"/>
    </xf>
    <xf numFmtId="0" fontId="6" fillId="14" borderId="8" xfId="1231" applyFill="1" applyBorder="1">
      <alignment vertical="center"/>
    </xf>
    <xf numFmtId="0" fontId="6" fillId="14" borderId="80" xfId="1231" applyFill="1" applyBorder="1">
      <alignment vertical="center"/>
    </xf>
    <xf numFmtId="0" fontId="6" fillId="14" borderId="128" xfId="1231" applyFill="1" applyBorder="1">
      <alignment vertical="center"/>
    </xf>
    <xf numFmtId="0" fontId="6" fillId="14" borderId="15" xfId="1231" applyFill="1" applyBorder="1">
      <alignment vertical="center"/>
    </xf>
    <xf numFmtId="0" fontId="41" fillId="48" borderId="108" xfId="485" quotePrefix="1" applyFont="1" applyFill="1" applyBorder="1" applyAlignment="1">
      <alignment horizontal="center" vertical="center" wrapText="1"/>
    </xf>
    <xf numFmtId="41" fontId="63" fillId="53" borderId="108" xfId="485" applyNumberFormat="1" applyFont="1" applyFill="1" applyBorder="1" applyAlignment="1">
      <alignment horizontal="center" vertical="center" wrapText="1"/>
    </xf>
    <xf numFmtId="183" fontId="41" fillId="53" borderId="108" xfId="485" applyNumberFormat="1" applyFont="1" applyFill="1" applyBorder="1" applyAlignment="1">
      <alignment horizontal="center" vertical="center" wrapText="1"/>
    </xf>
    <xf numFmtId="9" fontId="41" fillId="53" borderId="108" xfId="485" applyNumberFormat="1" applyFont="1" applyFill="1" applyBorder="1" applyAlignment="1">
      <alignment horizontal="center" vertical="center" wrapText="1"/>
    </xf>
    <xf numFmtId="176" fontId="41" fillId="53" borderId="108" xfId="485" applyNumberFormat="1" applyFont="1" applyFill="1" applyBorder="1" applyAlignment="1">
      <alignment horizontal="center" vertical="center" wrapText="1"/>
    </xf>
    <xf numFmtId="41" fontId="41" fillId="53" borderId="110" xfId="485" quotePrefix="1" applyNumberFormat="1" applyFont="1" applyFill="1" applyBorder="1" applyAlignment="1">
      <alignment horizontal="center" vertical="center" wrapText="1"/>
    </xf>
    <xf numFmtId="0" fontId="6" fillId="0" borderId="56" xfId="1347" applyFont="1" applyBorder="1" applyAlignment="1">
      <alignment horizontal="center" vertical="center"/>
    </xf>
    <xf numFmtId="0" fontId="171" fillId="0" borderId="92" xfId="224" applyFont="1" applyBorder="1" applyAlignment="1">
      <alignment horizontal="center" vertical="center"/>
    </xf>
    <xf numFmtId="0" fontId="171" fillId="0" borderId="8" xfId="224" applyFont="1" applyBorder="1" applyAlignment="1">
      <alignment horizontal="center" vertical="center"/>
    </xf>
    <xf numFmtId="0" fontId="171" fillId="0" borderId="80" xfId="224" applyFont="1" applyBorder="1" applyAlignment="1">
      <alignment horizontal="center" vertical="center"/>
    </xf>
    <xf numFmtId="0" fontId="171" fillId="0" borderId="128" xfId="224" applyFont="1" applyBorder="1" applyAlignment="1">
      <alignment horizontal="center" vertical="center"/>
    </xf>
    <xf numFmtId="0" fontId="171" fillId="0" borderId="15" xfId="224" applyFont="1" applyBorder="1" applyAlignment="1">
      <alignment horizontal="center" vertical="center"/>
    </xf>
    <xf numFmtId="0" fontId="6" fillId="0" borderId="59" xfId="1347" applyFont="1" applyBorder="1" applyAlignment="1">
      <alignment horizontal="center" vertical="center"/>
    </xf>
    <xf numFmtId="0" fontId="6" fillId="0" borderId="40" xfId="1347" applyFont="1" applyBorder="1" applyAlignment="1">
      <alignment horizontal="center" vertical="center"/>
    </xf>
    <xf numFmtId="0" fontId="6" fillId="0" borderId="17" xfId="1347" applyFont="1" applyBorder="1" applyAlignment="1">
      <alignment horizontal="center" vertical="center"/>
    </xf>
    <xf numFmtId="0" fontId="6" fillId="0" borderId="99" xfId="1347" applyFont="1" applyBorder="1" applyAlignment="1">
      <alignment horizontal="center" vertical="center"/>
    </xf>
    <xf numFmtId="0" fontId="6" fillId="0" borderId="129" xfId="1347" applyFont="1" applyBorder="1" applyAlignment="1">
      <alignment horizontal="center" vertical="center"/>
    </xf>
    <xf numFmtId="0" fontId="6" fillId="0" borderId="18" xfId="1347" applyFont="1" applyBorder="1" applyAlignment="1">
      <alignment horizontal="center" vertical="center"/>
    </xf>
    <xf numFmtId="0" fontId="6" fillId="0" borderId="0" xfId="1347" applyFont="1">
      <alignment vertical="center"/>
    </xf>
    <xf numFmtId="41" fontId="6" fillId="0" borderId="0" xfId="1346" applyNumberFormat="1" applyFont="1" applyBorder="1" applyAlignment="1">
      <alignment vertical="center"/>
    </xf>
    <xf numFmtId="0" fontId="41" fillId="48" borderId="109" xfId="485" quotePrefix="1" applyFont="1" applyFill="1" applyBorder="1" applyAlignment="1">
      <alignment horizontal="center" vertical="center" wrapText="1"/>
    </xf>
    <xf numFmtId="179" fontId="63" fillId="53" borderId="109" xfId="485" applyNumberFormat="1" applyFont="1" applyFill="1" applyBorder="1" applyAlignment="1">
      <alignment vertical="center" wrapText="1"/>
    </xf>
    <xf numFmtId="41" fontId="41" fillId="53" borderId="108" xfId="485" applyNumberFormat="1" applyFont="1" applyFill="1" applyBorder="1" applyAlignment="1">
      <alignment horizontal="center" vertical="center" wrapText="1"/>
    </xf>
    <xf numFmtId="0" fontId="6" fillId="0" borderId="46" xfId="1347" applyFont="1" applyBorder="1" applyAlignment="1">
      <alignment horizontal="center" vertical="center"/>
    </xf>
    <xf numFmtId="0" fontId="171" fillId="0" borderId="9" xfId="224" applyFont="1" applyBorder="1" applyAlignment="1">
      <alignment horizontal="center" vertical="center"/>
    </xf>
    <xf numFmtId="0" fontId="171" fillId="0" borderId="82" xfId="224" applyFont="1" applyBorder="1" applyAlignment="1">
      <alignment horizontal="center" vertical="center"/>
    </xf>
    <xf numFmtId="0" fontId="171" fillId="0" borderId="130" xfId="224" applyFont="1" applyBorder="1" applyAlignment="1">
      <alignment horizontal="center" vertical="center"/>
    </xf>
    <xf numFmtId="0" fontId="171" fillId="0" borderId="131" xfId="224" applyFont="1" applyBorder="1" applyAlignment="1">
      <alignment horizontal="center" vertical="center"/>
    </xf>
    <xf numFmtId="0" fontId="171" fillId="0" borderId="45" xfId="224" applyFont="1" applyBorder="1" applyAlignment="1">
      <alignment horizontal="center" vertical="center"/>
    </xf>
    <xf numFmtId="0" fontId="6" fillId="0" borderId="16" xfId="1347" applyFont="1" applyBorder="1" applyAlignment="1">
      <alignment horizontal="center" vertical="center"/>
    </xf>
    <xf numFmtId="245" fontId="41" fillId="53" borderId="114" xfId="485" applyNumberFormat="1" applyFont="1" applyFill="1" applyBorder="1" applyAlignment="1">
      <alignment horizontal="right" vertical="center" wrapText="1"/>
    </xf>
    <xf numFmtId="0" fontId="41" fillId="48" borderId="114" xfId="485" applyFont="1" applyFill="1" applyBorder="1" applyAlignment="1">
      <alignment horizontal="center" vertical="center" wrapText="1"/>
    </xf>
    <xf numFmtId="245" fontId="41" fillId="53" borderId="114" xfId="485" applyNumberFormat="1" applyFont="1" applyFill="1" applyBorder="1" applyAlignment="1">
      <alignment horizontal="center" vertical="center" wrapText="1"/>
    </xf>
    <xf numFmtId="0" fontId="132" fillId="48" borderId="124" xfId="485" applyFont="1" applyFill="1" applyBorder="1" applyAlignment="1">
      <alignment horizontal="center" vertical="center" wrapText="1"/>
    </xf>
    <xf numFmtId="0" fontId="83" fillId="0" borderId="15" xfId="751" applyFont="1" applyBorder="1" applyAlignment="1">
      <alignment horizontal="center" vertical="center"/>
    </xf>
    <xf numFmtId="0" fontId="4" fillId="0" borderId="0" xfId="1350" applyAlignment="1">
      <alignment horizontal="center" vertical="center"/>
    </xf>
    <xf numFmtId="41" fontId="63" fillId="53" borderId="147" xfId="485" applyNumberFormat="1" applyFont="1" applyFill="1" applyBorder="1" applyAlignment="1">
      <alignment horizontal="center" vertical="center" wrapText="1"/>
    </xf>
    <xf numFmtId="41" fontId="41" fillId="53" borderId="148" xfId="485" applyNumberFormat="1" applyFont="1" applyFill="1" applyBorder="1" applyAlignment="1">
      <alignment horizontal="center" vertical="center" wrapText="1"/>
    </xf>
    <xf numFmtId="183" fontId="41" fillId="53" borderId="147" xfId="485" applyNumberFormat="1" applyFont="1" applyFill="1" applyBorder="1" applyAlignment="1">
      <alignment horizontal="center" vertical="center" wrapText="1"/>
    </xf>
    <xf numFmtId="41" fontId="41" fillId="53" borderId="150" xfId="485" applyNumberFormat="1" applyFont="1" applyFill="1" applyBorder="1" applyAlignment="1">
      <alignment horizontal="center" vertical="center" wrapText="1"/>
    </xf>
    <xf numFmtId="0" fontId="41" fillId="48" borderId="148" xfId="485" applyFont="1" applyFill="1" applyBorder="1" applyAlignment="1">
      <alignment horizontal="center" vertical="center" wrapText="1"/>
    </xf>
    <xf numFmtId="41" fontId="41" fillId="53" borderId="154" xfId="485" applyNumberFormat="1" applyFont="1" applyFill="1" applyBorder="1" applyAlignment="1">
      <alignment horizontal="center" vertical="center" wrapText="1"/>
    </xf>
    <xf numFmtId="0" fontId="132" fillId="48" borderId="148" xfId="485" applyFont="1" applyFill="1" applyBorder="1" applyAlignment="1">
      <alignment horizontal="center" vertical="center" wrapText="1"/>
    </xf>
    <xf numFmtId="0" fontId="132" fillId="48" borderId="156" xfId="485" applyFont="1" applyFill="1" applyBorder="1" applyAlignment="1">
      <alignment horizontal="center" vertical="center" wrapText="1"/>
    </xf>
    <xf numFmtId="0" fontId="41" fillId="48" borderId="156" xfId="485" applyFont="1" applyFill="1" applyBorder="1" applyAlignment="1">
      <alignment horizontal="center" vertical="center" wrapText="1"/>
    </xf>
    <xf numFmtId="41" fontId="41" fillId="53" borderId="156" xfId="485" applyNumberFormat="1" applyFont="1" applyFill="1" applyBorder="1" applyAlignment="1">
      <alignment horizontal="center" vertical="center" wrapText="1"/>
    </xf>
    <xf numFmtId="245" fontId="41" fillId="53" borderId="148" xfId="485" applyNumberFormat="1" applyFont="1" applyFill="1" applyBorder="1" applyAlignment="1">
      <alignment horizontal="right" vertical="center" wrapText="1"/>
    </xf>
    <xf numFmtId="41" fontId="41" fillId="53" borderId="159" xfId="485" applyNumberFormat="1" applyFont="1" applyFill="1" applyBorder="1" applyAlignment="1">
      <alignment horizontal="center" vertical="center" wrapText="1"/>
    </xf>
    <xf numFmtId="243" fontId="83" fillId="0" borderId="0" xfId="751" applyNumberFormat="1" applyFont="1" applyAlignment="1">
      <alignment horizontal="center" vertical="center"/>
    </xf>
    <xf numFmtId="0" fontId="125" fillId="48" borderId="43" xfId="1352" applyFont="1" applyFill="1" applyBorder="1" applyAlignment="1">
      <alignment horizontal="center" vertical="center" wrapText="1"/>
    </xf>
    <xf numFmtId="0" fontId="125" fillId="48" borderId="44" xfId="1352" applyFont="1" applyFill="1" applyBorder="1" applyAlignment="1">
      <alignment horizontal="center" vertical="center" wrapText="1"/>
    </xf>
    <xf numFmtId="0" fontId="69" fillId="48" borderId="69" xfId="1350" applyFont="1" applyFill="1" applyBorder="1" applyAlignment="1">
      <alignment horizontal="center" vertical="center"/>
    </xf>
    <xf numFmtId="0" fontId="69" fillId="48" borderId="43" xfId="1350" applyFont="1" applyFill="1" applyBorder="1" applyAlignment="1">
      <alignment horizontal="center" vertical="center"/>
    </xf>
    <xf numFmtId="0" fontId="116" fillId="0" borderId="142" xfId="1350" applyFont="1" applyBorder="1" applyAlignment="1">
      <alignment horizontal="center" vertical="center"/>
    </xf>
    <xf numFmtId="247" fontId="116" fillId="0" borderId="143" xfId="1350" applyNumberFormat="1" applyFont="1" applyBorder="1" applyAlignment="1">
      <alignment horizontal="center" vertical="center"/>
    </xf>
    <xf numFmtId="0" fontId="116" fillId="0" borderId="144" xfId="1350" applyFont="1" applyBorder="1" applyAlignment="1">
      <alignment horizontal="center" vertical="center"/>
    </xf>
    <xf numFmtId="0" fontId="76" fillId="0" borderId="8" xfId="140" applyNumberFormat="1" applyFont="1" applyBorder="1" applyAlignment="1">
      <alignment vertical="center"/>
    </xf>
    <xf numFmtId="0" fontId="75" fillId="0" borderId="8" xfId="1341" applyNumberFormat="1" applyFont="1" applyBorder="1" applyAlignment="1">
      <alignment horizontal="right" vertical="center"/>
    </xf>
    <xf numFmtId="244" fontId="6" fillId="0" borderId="0" xfId="750" applyNumberFormat="1">
      <alignment vertical="center"/>
    </xf>
    <xf numFmtId="41" fontId="76" fillId="2" borderId="140" xfId="149" applyFont="1" applyFill="1" applyBorder="1" applyAlignment="1">
      <alignment horizontal="center" vertical="center"/>
    </xf>
    <xf numFmtId="41" fontId="76" fillId="2" borderId="141" xfId="149" applyFont="1" applyFill="1" applyBorder="1" applyAlignment="1">
      <alignment horizontal="center" vertical="center"/>
    </xf>
    <xf numFmtId="41" fontId="76" fillId="2" borderId="143" xfId="149" applyFont="1" applyFill="1" applyBorder="1" applyAlignment="1">
      <alignment horizontal="center" vertical="center"/>
    </xf>
    <xf numFmtId="41" fontId="76" fillId="2" borderId="144" xfId="149" applyFont="1" applyFill="1" applyBorder="1" applyAlignment="1">
      <alignment horizontal="center" vertical="center"/>
    </xf>
    <xf numFmtId="41" fontId="76" fillId="15" borderId="13" xfId="149" applyFont="1" applyFill="1" applyBorder="1" applyAlignment="1">
      <alignment horizontal="center" vertical="center"/>
    </xf>
    <xf numFmtId="0" fontId="76" fillId="15" borderId="13" xfId="750" applyFont="1" applyFill="1" applyBorder="1" applyAlignment="1">
      <alignment horizontal="center" vertical="center"/>
    </xf>
    <xf numFmtId="182" fontId="76" fillId="15" borderId="13" xfId="750" applyNumberFormat="1" applyFont="1" applyFill="1" applyBorder="1" applyAlignment="1">
      <alignment horizontal="center" vertical="center"/>
    </xf>
    <xf numFmtId="0" fontId="76" fillId="15" borderId="14" xfId="750" applyFont="1" applyFill="1" applyBorder="1" applyAlignment="1">
      <alignment horizontal="center" vertical="center"/>
    </xf>
    <xf numFmtId="41" fontId="76" fillId="0" borderId="140" xfId="149" applyFont="1" applyFill="1" applyBorder="1" applyAlignment="1">
      <alignment horizontal="center" vertical="center"/>
    </xf>
    <xf numFmtId="41" fontId="76" fillId="0" borderId="141" xfId="149" applyFont="1" applyFill="1" applyBorder="1" applyAlignment="1">
      <alignment horizontal="center" vertical="center"/>
    </xf>
    <xf numFmtId="0" fontId="76" fillId="0" borderId="0" xfId="750" applyFont="1" applyAlignment="1">
      <alignment horizontal="left" vertical="center"/>
    </xf>
    <xf numFmtId="0" fontId="158" fillId="51" borderId="4" xfId="0" applyFont="1" applyFill="1" applyBorder="1" applyAlignment="1">
      <alignment horizontal="center" vertical="center" wrapText="1"/>
    </xf>
    <xf numFmtId="0" fontId="159" fillId="51" borderId="4" xfId="0" applyFont="1" applyFill="1" applyBorder="1" applyAlignment="1">
      <alignment horizontal="center" vertical="center" wrapText="1"/>
    </xf>
    <xf numFmtId="0" fontId="160" fillId="52" borderId="4" xfId="0" applyFont="1" applyFill="1" applyBorder="1" applyAlignment="1">
      <alignment horizontal="center" vertical="center" wrapText="1"/>
    </xf>
    <xf numFmtId="0" fontId="161" fillId="0" borderId="4" xfId="0" applyFont="1" applyBorder="1" applyAlignment="1">
      <alignment horizontal="center" vertical="center" wrapText="1"/>
    </xf>
    <xf numFmtId="41" fontId="8" fillId="0" borderId="0" xfId="1346" applyNumberFormat="1" applyFont="1" applyBorder="1" applyAlignment="1">
      <alignment horizontal="left" vertical="center"/>
    </xf>
    <xf numFmtId="41" fontId="172" fillId="0" borderId="0" xfId="1346" applyNumberFormat="1" applyFont="1" applyAlignment="1">
      <alignment horizontal="center" vertical="center"/>
    </xf>
    <xf numFmtId="0" fontId="173" fillId="0" borderId="0" xfId="0" applyFont="1" applyAlignment="1">
      <alignment horizontal="center" vertical="center"/>
    </xf>
    <xf numFmtId="0" fontId="141" fillId="0" borderId="0" xfId="0" applyFont="1"/>
    <xf numFmtId="0" fontId="6" fillId="0" borderId="0" xfId="1347">
      <alignment vertical="center"/>
    </xf>
    <xf numFmtId="0" fontId="0" fillId="0" borderId="141" xfId="0" applyFont="1" applyFill="1" applyBorder="1" applyAlignment="1">
      <alignment horizontal="center" vertical="center" wrapText="1"/>
    </xf>
    <xf numFmtId="179" fontId="0" fillId="0" borderId="163" xfId="149" applyNumberFormat="1" applyFont="1" applyBorder="1" applyAlignment="1">
      <alignment horizontal="center" vertical="center" wrapText="1"/>
    </xf>
    <xf numFmtId="179" fontId="0" fillId="0" borderId="140" xfId="149" applyNumberFormat="1" applyFont="1" applyBorder="1" applyAlignment="1">
      <alignment horizontal="center" vertical="center"/>
    </xf>
    <xf numFmtId="179" fontId="0" fillId="0" borderId="140" xfId="149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179" fontId="0" fillId="0" borderId="47" xfId="149" applyNumberFormat="1" applyFont="1" applyBorder="1" applyAlignment="1">
      <alignment horizontal="center" vertical="center" wrapText="1"/>
    </xf>
    <xf numFmtId="179" fontId="0" fillId="0" borderId="13" xfId="149" applyNumberFormat="1" applyFont="1" applyBorder="1" applyAlignment="1">
      <alignment horizontal="center" vertical="center"/>
    </xf>
    <xf numFmtId="0" fontId="0" fillId="0" borderId="144" xfId="0" applyFont="1" applyFill="1" applyBorder="1" applyAlignment="1">
      <alignment horizontal="center" vertical="center" wrapText="1"/>
    </xf>
    <xf numFmtId="179" fontId="0" fillId="0" borderId="164" xfId="149" applyNumberFormat="1" applyFont="1" applyBorder="1" applyAlignment="1">
      <alignment horizontal="center" vertical="center" wrapText="1"/>
    </xf>
    <xf numFmtId="179" fontId="0" fillId="0" borderId="143" xfId="149" applyNumberFormat="1" applyFont="1" applyBorder="1" applyAlignment="1">
      <alignment horizontal="center" vertical="center" wrapText="1"/>
    </xf>
    <xf numFmtId="0" fontId="6" fillId="0" borderId="0" xfId="1347" applyBorder="1">
      <alignment vertical="center"/>
    </xf>
    <xf numFmtId="41" fontId="6" fillId="0" borderId="0" xfId="1347" applyNumberFormat="1">
      <alignment vertical="center"/>
    </xf>
    <xf numFmtId="0" fontId="0" fillId="0" borderId="140" xfId="0" applyFont="1" applyFill="1" applyBorder="1" applyAlignment="1">
      <alignment horizontal="center" vertical="center" wrapText="1"/>
    </xf>
    <xf numFmtId="0" fontId="99" fillId="0" borderId="140" xfId="182" applyFont="1" applyFill="1" applyBorder="1" applyAlignment="1">
      <alignment horizontal="center" vertical="center"/>
    </xf>
    <xf numFmtId="184" fontId="83" fillId="0" borderId="141" xfId="155" applyNumberFormat="1" applyFont="1" applyBorder="1" applyAlignment="1">
      <alignment horizontal="center" vertical="center"/>
    </xf>
    <xf numFmtId="41" fontId="99" fillId="0" borderId="141" xfId="155" applyFont="1" applyBorder="1" applyAlignment="1">
      <alignment horizontal="center" vertical="center"/>
    </xf>
    <xf numFmtId="0" fontId="99" fillId="0" borderId="143" xfId="182" applyFont="1" applyFill="1" applyBorder="1" applyAlignment="1">
      <alignment horizontal="center" vertical="center"/>
    </xf>
    <xf numFmtId="41" fontId="99" fillId="0" borderId="144" xfId="155" applyFont="1" applyBorder="1" applyAlignment="1">
      <alignment horizontal="center" vertical="center"/>
    </xf>
    <xf numFmtId="179" fontId="99" fillId="0" borderId="140" xfId="155" applyNumberFormat="1" applyFont="1" applyBorder="1" applyAlignment="1">
      <alignment horizontal="center" vertical="center"/>
    </xf>
    <xf numFmtId="179" fontId="99" fillId="0" borderId="143" xfId="155" applyNumberFormat="1" applyFont="1" applyBorder="1" applyAlignment="1">
      <alignment horizontal="center" vertical="center"/>
    </xf>
    <xf numFmtId="0" fontId="175" fillId="59" borderId="4" xfId="0" applyFont="1" applyFill="1" applyBorder="1" applyAlignment="1">
      <alignment horizontal="center" vertical="center" wrapText="1"/>
    </xf>
    <xf numFmtId="0" fontId="174" fillId="59" borderId="4" xfId="0" applyFont="1" applyFill="1" applyBorder="1" applyAlignment="1">
      <alignment horizontal="center" vertical="center" wrapText="1"/>
    </xf>
    <xf numFmtId="0" fontId="174" fillId="60" borderId="4" xfId="0" applyFont="1" applyFill="1" applyBorder="1" applyAlignment="1">
      <alignment horizontal="center" vertical="center" wrapText="1"/>
    </xf>
    <xf numFmtId="0" fontId="175" fillId="60" borderId="4" xfId="0" applyFont="1" applyFill="1" applyBorder="1" applyAlignment="1">
      <alignment horizontal="center" vertical="center" wrapText="1"/>
    </xf>
    <xf numFmtId="0" fontId="176" fillId="0" borderId="4" xfId="0" applyFont="1" applyBorder="1" applyAlignment="1">
      <alignment horizontal="center" vertical="center" wrapText="1"/>
    </xf>
    <xf numFmtId="41" fontId="177" fillId="0" borderId="4" xfId="149" applyFont="1" applyBorder="1" applyAlignment="1">
      <alignment horizontal="center" vertical="center" wrapText="1"/>
    </xf>
    <xf numFmtId="0" fontId="69" fillId="0" borderId="4" xfId="485" applyBorder="1">
      <alignment vertical="center"/>
    </xf>
    <xf numFmtId="179" fontId="69" fillId="0" borderId="4" xfId="485" applyNumberFormat="1" applyBorder="1">
      <alignment vertical="center"/>
    </xf>
    <xf numFmtId="179" fontId="69" fillId="0" borderId="0" xfId="485" applyNumberFormat="1">
      <alignment vertical="center"/>
    </xf>
    <xf numFmtId="1" fontId="69" fillId="0" borderId="0" xfId="485" applyNumberFormat="1">
      <alignment vertical="center"/>
    </xf>
    <xf numFmtId="181" fontId="69" fillId="0" borderId="4" xfId="485" applyNumberFormat="1" applyBorder="1">
      <alignment vertical="center"/>
    </xf>
    <xf numFmtId="193" fontId="83" fillId="55" borderId="8" xfId="751" applyNumberFormat="1" applyFont="1" applyFill="1" applyBorder="1" applyAlignment="1">
      <alignment horizontal="center" vertical="center"/>
    </xf>
    <xf numFmtId="0" fontId="41" fillId="48" borderId="108" xfId="485" applyFont="1" applyFill="1" applyBorder="1" applyAlignment="1">
      <alignment horizontal="center" vertical="center" wrapText="1"/>
    </xf>
    <xf numFmtId="0" fontId="69" fillId="0" borderId="4" xfId="485" applyBorder="1" applyAlignment="1">
      <alignment horizontal="center" vertical="center"/>
    </xf>
    <xf numFmtId="0" fontId="0" fillId="0" borderId="139" xfId="0" applyFont="1" applyBorder="1" applyAlignment="1">
      <alignment horizontal="center" vertical="center" wrapText="1"/>
    </xf>
    <xf numFmtId="182" fontId="0" fillId="0" borderId="141" xfId="0" applyNumberFormat="1" applyFont="1" applyBorder="1" applyAlignment="1">
      <alignment horizontal="center" vertical="center" wrapText="1"/>
    </xf>
    <xf numFmtId="41" fontId="41" fillId="53" borderId="114" xfId="485" applyNumberFormat="1" applyFont="1" applyFill="1" applyBorder="1" applyAlignment="1">
      <alignment horizontal="center" vertical="center" wrapText="1"/>
    </xf>
    <xf numFmtId="0" fontId="41" fillId="48" borderId="169" xfId="485" applyFont="1" applyFill="1" applyBorder="1" applyAlignment="1">
      <alignment horizontal="center" vertical="center" wrapText="1"/>
    </xf>
    <xf numFmtId="0" fontId="41" fillId="48" borderId="171" xfId="485" applyFont="1" applyFill="1" applyBorder="1" applyAlignment="1">
      <alignment horizontal="center" vertical="center" wrapText="1"/>
    </xf>
    <xf numFmtId="41" fontId="63" fillId="53" borderId="4" xfId="485" applyNumberFormat="1" applyFont="1" applyFill="1" applyBorder="1" applyAlignment="1">
      <alignment horizontal="center" vertical="center" wrapText="1"/>
    </xf>
    <xf numFmtId="183" fontId="41" fillId="53" borderId="4" xfId="485" applyNumberFormat="1" applyFont="1" applyFill="1" applyBorder="1" applyAlignment="1">
      <alignment horizontal="center" vertical="center" wrapText="1"/>
    </xf>
    <xf numFmtId="41" fontId="41" fillId="53" borderId="4" xfId="485" applyNumberFormat="1" applyFont="1" applyFill="1" applyBorder="1" applyAlignment="1">
      <alignment horizontal="center" vertical="center" wrapText="1"/>
    </xf>
    <xf numFmtId="0" fontId="41" fillId="48" borderId="4" xfId="485" applyFont="1" applyFill="1" applyBorder="1" applyAlignment="1">
      <alignment horizontal="center" vertical="center" wrapText="1"/>
    </xf>
    <xf numFmtId="0" fontId="128" fillId="48" borderId="4" xfId="485" applyFont="1" applyFill="1" applyBorder="1" applyAlignment="1">
      <alignment horizontal="center" vertical="center" wrapText="1"/>
    </xf>
    <xf numFmtId="0" fontId="128" fillId="0" borderId="4" xfId="485" applyFont="1" applyBorder="1" applyAlignment="1">
      <alignment horizontal="center" vertical="center"/>
    </xf>
    <xf numFmtId="0" fontId="128" fillId="0" borderId="4" xfId="485" applyFont="1" applyBorder="1">
      <alignment vertical="center"/>
    </xf>
    <xf numFmtId="0" fontId="0" fillId="0" borderId="0" xfId="0" applyAlignment="1">
      <alignment vertical="center"/>
    </xf>
    <xf numFmtId="41" fontId="0" fillId="0" borderId="0" xfId="1346" applyNumberFormat="1" applyFont="1" applyBorder="1" applyAlignment="1">
      <alignment horizontal="left" vertical="center"/>
    </xf>
    <xf numFmtId="193" fontId="83" fillId="55" borderId="8" xfId="751" applyNumberFormat="1" applyFont="1" applyFill="1" applyBorder="1" applyAlignment="1">
      <alignment horizontal="center" vertical="center"/>
    </xf>
    <xf numFmtId="0" fontId="41" fillId="48" borderId="108" xfId="485" applyFont="1" applyFill="1" applyBorder="1" applyAlignment="1">
      <alignment horizontal="center" vertical="center" wrapText="1"/>
    </xf>
    <xf numFmtId="201" fontId="66" fillId="2" borderId="4" xfId="188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3" fontId="7" fillId="0" borderId="0" xfId="0" applyNumberFormat="1" applyFont="1" applyFill="1" applyAlignment="1">
      <alignment horizontal="center" vertical="center"/>
    </xf>
    <xf numFmtId="0" fontId="132" fillId="48" borderId="185" xfId="485" applyFont="1" applyFill="1" applyBorder="1" applyAlignment="1">
      <alignment horizontal="center" vertical="center" wrapText="1"/>
    </xf>
    <xf numFmtId="0" fontId="41" fillId="48" borderId="185" xfId="485" applyFont="1" applyFill="1" applyBorder="1" applyAlignment="1">
      <alignment horizontal="center" vertical="center" wrapText="1"/>
    </xf>
    <xf numFmtId="41" fontId="41" fillId="53" borderId="185" xfId="485" applyNumberFormat="1" applyFont="1" applyFill="1" applyBorder="1" applyAlignment="1">
      <alignment horizontal="center" vertical="center" wrapText="1"/>
    </xf>
    <xf numFmtId="41" fontId="41" fillId="53" borderId="188" xfId="485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126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131" fillId="0" borderId="4" xfId="224" applyFont="1" applyBorder="1" applyAlignment="1">
      <alignment horizontal="center" vertical="center"/>
    </xf>
    <xf numFmtId="0" fontId="131" fillId="0" borderId="21" xfId="224" applyFont="1" applyBorder="1" applyAlignment="1">
      <alignment horizontal="center" vertical="center"/>
    </xf>
    <xf numFmtId="0" fontId="131" fillId="0" borderId="189" xfId="224" applyFont="1" applyBorder="1" applyAlignment="1">
      <alignment horizontal="center" vertical="center"/>
    </xf>
    <xf numFmtId="0" fontId="131" fillId="0" borderId="20" xfId="224" applyFont="1" applyBorder="1" applyAlignment="1">
      <alignment horizontal="center" vertical="center"/>
    </xf>
    <xf numFmtId="1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1" fontId="7" fillId="0" borderId="20" xfId="0" applyNumberFormat="1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vertical="center"/>
    </xf>
    <xf numFmtId="1" fontId="7" fillId="0" borderId="21" xfId="0" applyNumberFormat="1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vertical="center"/>
    </xf>
    <xf numFmtId="1" fontId="7" fillId="0" borderId="189" xfId="0" applyNumberFormat="1" applyFont="1" applyFill="1" applyBorder="1" applyAlignment="1">
      <alignment horizontal="center" vertical="center"/>
    </xf>
    <xf numFmtId="0" fontId="7" fillId="0" borderId="190" xfId="0" applyFont="1" applyFill="1" applyBorder="1" applyAlignment="1">
      <alignment vertical="center"/>
    </xf>
    <xf numFmtId="0" fontId="7" fillId="0" borderId="180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251" fontId="7" fillId="0" borderId="26" xfId="0" applyNumberFormat="1" applyFont="1" applyFill="1" applyBorder="1" applyAlignment="1">
      <alignment horizontal="center" vertical="center"/>
    </xf>
    <xf numFmtId="41" fontId="41" fillId="53" borderId="147" xfId="485" applyNumberFormat="1" applyFont="1" applyFill="1" applyBorder="1" applyAlignment="1">
      <alignment horizontal="center" vertical="center" wrapText="1"/>
    </xf>
    <xf numFmtId="41" fontId="63" fillId="53" borderId="150" xfId="485" applyNumberFormat="1" applyFont="1" applyFill="1" applyBorder="1" applyAlignment="1">
      <alignment horizontal="center" vertical="center" wrapText="1"/>
    </xf>
    <xf numFmtId="41" fontId="63" fillId="53" borderId="188" xfId="485" applyNumberFormat="1" applyFont="1" applyFill="1" applyBorder="1" applyAlignment="1">
      <alignment horizontal="center" vertical="center" wrapText="1"/>
    </xf>
    <xf numFmtId="0" fontId="75" fillId="2" borderId="13" xfId="0" applyFont="1" applyFill="1" applyBorder="1" applyAlignment="1">
      <alignment horizontal="center" vertical="center"/>
    </xf>
    <xf numFmtId="41" fontId="76" fillId="0" borderId="13" xfId="149" applyFont="1" applyBorder="1" applyAlignment="1">
      <alignment vertical="center"/>
    </xf>
    <xf numFmtId="191" fontId="76" fillId="0" borderId="13" xfId="140" applyNumberFormat="1" applyFont="1" applyBorder="1" applyAlignment="1">
      <alignment vertical="center"/>
    </xf>
    <xf numFmtId="41" fontId="75" fillId="0" borderId="13" xfId="149" applyFont="1" applyBorder="1" applyAlignment="1">
      <alignment horizontal="center" vertical="center"/>
    </xf>
    <xf numFmtId="182" fontId="75" fillId="0" borderId="13" xfId="750" applyNumberFormat="1" applyFont="1" applyBorder="1" applyAlignment="1">
      <alignment vertical="center"/>
    </xf>
    <xf numFmtId="41" fontId="75" fillId="0" borderId="13" xfId="149" applyFont="1" applyBorder="1" applyAlignment="1">
      <alignment vertical="center"/>
    </xf>
    <xf numFmtId="41" fontId="75" fillId="0" borderId="14" xfId="750" applyNumberFormat="1" applyFont="1" applyBorder="1">
      <alignment vertical="center"/>
    </xf>
    <xf numFmtId="0" fontId="150" fillId="50" borderId="13" xfId="0" applyFont="1" applyFill="1" applyBorder="1" applyAlignment="1">
      <alignment horizontal="center" vertical="center"/>
    </xf>
    <xf numFmtId="41" fontId="141" fillId="0" borderId="0" xfId="1346" applyNumberFormat="1" applyFont="1" applyBorder="1" applyAlignment="1">
      <alignment horizontal="left" vertical="center"/>
    </xf>
    <xf numFmtId="0" fontId="182" fillId="0" borderId="0" xfId="1350" applyFont="1" applyAlignment="1">
      <alignment horizontal="left" vertical="center"/>
    </xf>
    <xf numFmtId="0" fontId="182" fillId="0" borderId="0" xfId="485" applyFont="1">
      <alignment vertical="center"/>
    </xf>
    <xf numFmtId="0" fontId="41" fillId="48" borderId="108" xfId="485" applyFont="1" applyFill="1" applyBorder="1" applyAlignment="1">
      <alignment horizontal="center" vertical="center" wrapText="1"/>
    </xf>
    <xf numFmtId="0" fontId="41" fillId="48" borderId="108" xfId="485" applyFont="1" applyFill="1" applyBorder="1" applyAlignment="1">
      <alignment horizontal="center" vertical="center" wrapText="1"/>
    </xf>
    <xf numFmtId="0" fontId="131" fillId="0" borderId="0" xfId="485" applyFont="1" applyAlignment="1">
      <alignment horizontal="left" vertical="center"/>
    </xf>
    <xf numFmtId="0" fontId="0" fillId="0" borderId="0" xfId="0" applyAlignment="1">
      <alignment vertical="center" wrapText="1"/>
    </xf>
    <xf numFmtId="0" fontId="0" fillId="0" borderId="191" xfId="0" applyBorder="1" applyAlignment="1">
      <alignment vertical="center" wrapText="1"/>
    </xf>
    <xf numFmtId="0" fontId="0" fillId="0" borderId="191" xfId="0" applyBorder="1" applyAlignment="1">
      <alignment horizontal="center" vertical="center" wrapText="1"/>
    </xf>
    <xf numFmtId="0" fontId="69" fillId="0" borderId="191" xfId="485" applyBorder="1" applyAlignment="1">
      <alignment horizontal="center" vertical="center"/>
    </xf>
    <xf numFmtId="0" fontId="69" fillId="0" borderId="191" xfId="485" applyBorder="1">
      <alignment vertical="center"/>
    </xf>
    <xf numFmtId="0" fontId="69" fillId="0" borderId="192" xfId="485" applyBorder="1" applyAlignment="1">
      <alignment vertical="center"/>
    </xf>
    <xf numFmtId="193" fontId="83" fillId="55" borderId="173" xfId="751" applyNumberFormat="1" applyFont="1" applyFill="1" applyBorder="1" applyAlignment="1">
      <alignment horizontal="center" vertical="center"/>
    </xf>
    <xf numFmtId="191" fontId="83" fillId="48" borderId="173" xfId="751" applyNumberFormat="1" applyFont="1" applyFill="1" applyBorder="1" applyAlignment="1">
      <alignment horizontal="center" vertical="center"/>
    </xf>
    <xf numFmtId="41" fontId="83" fillId="0" borderId="173" xfId="149" applyFont="1" applyBorder="1" applyAlignment="1">
      <alignment horizontal="right"/>
    </xf>
    <xf numFmtId="193" fontId="83" fillId="55" borderId="201" xfId="751" applyNumberFormat="1" applyFont="1" applyFill="1" applyBorder="1" applyAlignment="1">
      <alignment horizontal="center" vertical="center"/>
    </xf>
    <xf numFmtId="191" fontId="83" fillId="48" borderId="201" xfId="751" applyNumberFormat="1" applyFont="1" applyFill="1" applyBorder="1" applyAlignment="1">
      <alignment horizontal="center" vertical="center"/>
    </xf>
    <xf numFmtId="41" fontId="83" fillId="0" borderId="201" xfId="149" applyFont="1" applyBorder="1" applyAlignment="1">
      <alignment horizontal="right"/>
    </xf>
    <xf numFmtId="41" fontId="41" fillId="53" borderId="147" xfId="485" applyNumberFormat="1" applyFont="1" applyFill="1" applyBorder="1" applyAlignment="1">
      <alignment horizontal="center" vertical="center" wrapText="1"/>
    </xf>
    <xf numFmtId="245" fontId="41" fillId="53" borderId="148" xfId="485" applyNumberFormat="1" applyFont="1" applyFill="1" applyBorder="1" applyAlignment="1">
      <alignment vertical="center" wrapText="1"/>
    </xf>
    <xf numFmtId="41" fontId="41" fillId="53" borderId="148" xfId="485" applyNumberFormat="1" applyFont="1" applyFill="1" applyBorder="1" applyAlignment="1">
      <alignment horizontal="center" vertical="center" wrapText="1"/>
    </xf>
    <xf numFmtId="245" fontId="41" fillId="53" borderId="156" xfId="485" applyNumberFormat="1" applyFont="1" applyFill="1" applyBorder="1" applyAlignment="1">
      <alignment vertical="center" wrapText="1"/>
    </xf>
    <xf numFmtId="0" fontId="128" fillId="0" borderId="159" xfId="485" applyFont="1" applyBorder="1" applyAlignment="1">
      <alignment horizontal="center" vertical="center"/>
    </xf>
    <xf numFmtId="0" fontId="128" fillId="48" borderId="156" xfId="485" applyFont="1" applyFill="1" applyBorder="1" applyAlignment="1">
      <alignment horizontal="center" vertical="center"/>
    </xf>
    <xf numFmtId="193" fontId="83" fillId="55" borderId="196" xfId="751" applyNumberFormat="1" applyFont="1" applyFill="1" applyBorder="1" applyAlignment="1">
      <alignment horizontal="center" vertical="center"/>
    </xf>
    <xf numFmtId="191" fontId="83" fillId="48" borderId="196" xfId="751" applyNumberFormat="1" applyFont="1" applyFill="1" applyBorder="1" applyAlignment="1">
      <alignment horizontal="center" vertical="center"/>
    </xf>
    <xf numFmtId="41" fontId="83" fillId="0" borderId="196" xfId="149" applyFont="1" applyBorder="1" applyAlignment="1">
      <alignment horizontal="right"/>
    </xf>
    <xf numFmtId="41" fontId="0" fillId="0" borderId="191" xfId="149" applyFont="1" applyBorder="1" applyAlignment="1">
      <alignment vertical="center" wrapText="1"/>
    </xf>
    <xf numFmtId="41" fontId="69" fillId="0" borderId="0" xfId="149" applyFont="1" applyAlignment="1">
      <alignment vertical="center"/>
    </xf>
    <xf numFmtId="244" fontId="69" fillId="0" borderId="0" xfId="485" applyNumberFormat="1">
      <alignment vertical="center"/>
    </xf>
    <xf numFmtId="0" fontId="41" fillId="48" borderId="205" xfId="485" applyFont="1" applyFill="1" applyBorder="1" applyAlignment="1">
      <alignment horizontal="center" vertical="center" wrapText="1"/>
    </xf>
    <xf numFmtId="41" fontId="41" fillId="53" borderId="205" xfId="485" applyNumberFormat="1" applyFont="1" applyFill="1" applyBorder="1" applyAlignment="1">
      <alignment horizontal="center" vertical="center" wrapText="1"/>
    </xf>
    <xf numFmtId="41" fontId="41" fillId="53" borderId="206" xfId="485" applyNumberFormat="1" applyFont="1" applyFill="1" applyBorder="1" applyAlignment="1">
      <alignment horizontal="center" vertical="center" wrapText="1"/>
    </xf>
    <xf numFmtId="0" fontId="128" fillId="48" borderId="182" xfId="485" applyFont="1" applyFill="1" applyBorder="1" applyAlignment="1">
      <alignment horizontal="center" vertical="center" wrapText="1"/>
    </xf>
    <xf numFmtId="0" fontId="76" fillId="0" borderId="4" xfId="750" applyFont="1" applyBorder="1" applyAlignment="1">
      <alignment horizontal="center" vertical="center"/>
    </xf>
    <xf numFmtId="184" fontId="77" fillId="0" borderId="4" xfId="149" applyNumberFormat="1" applyFont="1" applyBorder="1" applyAlignment="1">
      <alignment horizontal="center" vertical="center"/>
    </xf>
    <xf numFmtId="41" fontId="76" fillId="0" borderId="4" xfId="149" applyFont="1" applyBorder="1" applyAlignment="1">
      <alignment horizontal="center" vertical="center"/>
    </xf>
    <xf numFmtId="0" fontId="76" fillId="2" borderId="4" xfId="750" applyFont="1" applyFill="1" applyBorder="1" applyAlignment="1">
      <alignment horizontal="center" vertical="center"/>
    </xf>
    <xf numFmtId="201" fontId="66" fillId="2" borderId="4" xfId="188" applyNumberFormat="1" applyFont="1" applyFill="1" applyBorder="1" applyAlignment="1">
      <alignment horizontal="center" vertical="center" wrapText="1"/>
    </xf>
    <xf numFmtId="201" fontId="66" fillId="2" borderId="29" xfId="188" applyNumberFormat="1" applyFont="1" applyFill="1" applyBorder="1" applyAlignment="1">
      <alignment horizontal="center" vertical="center" wrapText="1"/>
    </xf>
    <xf numFmtId="41" fontId="76" fillId="0" borderId="0" xfId="750" applyNumberFormat="1" applyFont="1" applyBorder="1">
      <alignment vertical="center"/>
    </xf>
    <xf numFmtId="182" fontId="183" fillId="0" borderId="0" xfId="750" applyNumberFormat="1" applyFont="1" applyBorder="1" applyAlignment="1">
      <alignment vertical="center"/>
    </xf>
    <xf numFmtId="180" fontId="76" fillId="0" borderId="0" xfId="140" applyNumberFormat="1" applyFont="1" applyBorder="1" applyAlignment="1">
      <alignment vertical="center"/>
    </xf>
    <xf numFmtId="41" fontId="76" fillId="0" borderId="0" xfId="149" applyFont="1" applyBorder="1" applyAlignment="1">
      <alignment vertical="center"/>
    </xf>
    <xf numFmtId="41" fontId="77" fillId="0" borderId="0" xfId="149" applyNumberFormat="1" applyFont="1" applyBorder="1" applyAlignment="1">
      <alignment horizontal="center" vertical="center"/>
    </xf>
    <xf numFmtId="41" fontId="76" fillId="0" borderId="0" xfId="149" applyFont="1" applyBorder="1" applyAlignment="1">
      <alignment horizontal="center" vertical="center"/>
    </xf>
    <xf numFmtId="0" fontId="76" fillId="2" borderId="0" xfId="750" applyFont="1" applyFill="1" applyBorder="1" applyAlignment="1">
      <alignment horizontal="center" vertical="center" wrapText="1"/>
    </xf>
    <xf numFmtId="41" fontId="75" fillId="0" borderId="0" xfId="750" applyNumberFormat="1" applyFont="1" applyBorder="1">
      <alignment vertical="center"/>
    </xf>
    <xf numFmtId="41" fontId="75" fillId="0" borderId="191" xfId="149" applyFont="1" applyBorder="1" applyAlignment="1">
      <alignment horizontal="center" vertical="center"/>
    </xf>
    <xf numFmtId="41" fontId="75" fillId="0" borderId="191" xfId="750" applyNumberFormat="1" applyFont="1" applyBorder="1">
      <alignment vertical="center"/>
    </xf>
    <xf numFmtId="41" fontId="75" fillId="0" borderId="191" xfId="1341" applyNumberFormat="1" applyFont="1" applyFill="1" applyBorder="1" applyAlignment="1">
      <alignment horizontal="right" vertical="center"/>
    </xf>
    <xf numFmtId="41" fontId="76" fillId="0" borderId="191" xfId="149" applyFont="1" applyBorder="1" applyAlignment="1">
      <alignment vertical="center"/>
    </xf>
    <xf numFmtId="41" fontId="75" fillId="0" borderId="191" xfId="1341" applyNumberFormat="1" applyFont="1" applyFill="1" applyBorder="1" applyAlignment="1" applyProtection="1">
      <alignment horizontal="right" vertical="center"/>
      <protection locked="0"/>
    </xf>
    <xf numFmtId="41" fontId="152" fillId="0" borderId="191" xfId="149" quotePrefix="1" applyNumberFormat="1" applyFont="1" applyBorder="1" applyAlignment="1">
      <alignment horizontal="right" vertical="center"/>
    </xf>
    <xf numFmtId="41" fontId="153" fillId="0" borderId="191" xfId="149" quotePrefix="1" applyFont="1" applyBorder="1" applyAlignment="1">
      <alignment horizontal="right" vertical="center"/>
    </xf>
    <xf numFmtId="41" fontId="152" fillId="0" borderId="191" xfId="149" applyFont="1" applyBorder="1" applyAlignment="1">
      <alignment vertical="center"/>
    </xf>
    <xf numFmtId="41" fontId="152" fillId="0" borderId="191" xfId="149" quotePrefix="1" applyFont="1" applyBorder="1" applyAlignment="1">
      <alignment horizontal="right" vertical="center"/>
    </xf>
    <xf numFmtId="0" fontId="0" fillId="0" borderId="191" xfId="0" applyBorder="1"/>
    <xf numFmtId="0" fontId="151" fillId="0" borderId="191" xfId="0" applyFont="1" applyBorder="1" applyAlignment="1">
      <alignment horizontal="center" vertical="center" wrapText="1"/>
    </xf>
    <xf numFmtId="0" fontId="183" fillId="0" borderId="0" xfId="750" applyFont="1" applyBorder="1" applyAlignment="1">
      <alignment horizontal="center" vertical="center"/>
    </xf>
    <xf numFmtId="0" fontId="38" fillId="0" borderId="4" xfId="0" applyFont="1" applyBorder="1" applyAlignment="1">
      <alignment vertical="center"/>
    </xf>
    <xf numFmtId="0" fontId="0" fillId="0" borderId="0" xfId="0"/>
    <xf numFmtId="219" fontId="76" fillId="61" borderId="4" xfId="182" applyNumberFormat="1" applyFont="1" applyFill="1" applyBorder="1" applyAlignment="1">
      <alignment horizontal="right" vertical="center"/>
    </xf>
    <xf numFmtId="219" fontId="76" fillId="61" borderId="4" xfId="182" applyNumberFormat="1" applyFont="1" applyFill="1" applyBorder="1" applyAlignment="1">
      <alignment vertical="center"/>
    </xf>
    <xf numFmtId="219" fontId="132" fillId="61" borderId="4" xfId="182" applyNumberFormat="1" applyFont="1" applyFill="1" applyBorder="1" applyAlignment="1">
      <alignment horizontal="right" vertical="center"/>
    </xf>
    <xf numFmtId="0" fontId="148" fillId="15" borderId="8" xfId="0" applyFont="1" applyFill="1" applyBorder="1" applyAlignment="1">
      <alignment horizontal="center" vertical="center" wrapText="1"/>
    </xf>
    <xf numFmtId="41" fontId="75" fillId="0" borderId="230" xfId="149" applyFont="1" applyBorder="1" applyAlignment="1">
      <alignment horizontal="center" vertical="center"/>
    </xf>
    <xf numFmtId="0" fontId="81" fillId="8" borderId="14" xfId="0" applyFont="1" applyFill="1" applyBorder="1" applyAlignment="1">
      <alignment horizontal="center" vertical="center" wrapText="1"/>
    </xf>
    <xf numFmtId="0" fontId="74" fillId="0" borderId="233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/>
    </xf>
    <xf numFmtId="41" fontId="76" fillId="0" borderId="229" xfId="0" applyNumberFormat="1" applyFont="1" applyFill="1" applyBorder="1" applyAlignment="1">
      <alignment vertical="center"/>
    </xf>
    <xf numFmtId="183" fontId="76" fillId="0" borderId="229" xfId="163" applyNumberFormat="1" applyFont="1" applyFill="1" applyBorder="1" applyAlignment="1">
      <alignment vertical="center"/>
    </xf>
    <xf numFmtId="184" fontId="76" fillId="0" borderId="234" xfId="0" applyNumberFormat="1" applyFont="1" applyFill="1" applyBorder="1" applyAlignment="1">
      <alignment vertical="center"/>
    </xf>
    <xf numFmtId="0" fontId="74" fillId="0" borderId="229" xfId="0" applyFont="1" applyFill="1" applyBorder="1" applyAlignment="1">
      <alignment horizontal="center" vertical="center"/>
    </xf>
    <xf numFmtId="41" fontId="98" fillId="0" borderId="43" xfId="764" applyNumberFormat="1" applyFont="1" applyFill="1" applyBorder="1" applyAlignment="1">
      <alignment horizontal="center" vertical="center"/>
    </xf>
    <xf numFmtId="184" fontId="76" fillId="0" borderId="229" xfId="0" applyNumberFormat="1" applyFont="1" applyFill="1" applyBorder="1" applyAlignment="1">
      <alignment vertical="center"/>
    </xf>
    <xf numFmtId="183" fontId="75" fillId="0" borderId="229" xfId="149" applyNumberFormat="1" applyFont="1" applyBorder="1" applyAlignment="1">
      <alignment horizontal="center" vertical="center"/>
    </xf>
    <xf numFmtId="183" fontId="76" fillId="0" borderId="233" xfId="163" applyNumberFormat="1" applyFont="1" applyFill="1" applyBorder="1" applyAlignment="1">
      <alignment vertical="center"/>
    </xf>
    <xf numFmtId="0" fontId="81" fillId="8" borderId="230" xfId="0" applyFont="1" applyFill="1" applyBorder="1" applyAlignment="1">
      <alignment horizontal="center" vertical="center" wrapText="1"/>
    </xf>
    <xf numFmtId="9" fontId="83" fillId="0" borderId="0" xfId="140" applyFont="1" applyBorder="1" applyAlignment="1">
      <alignment horizontal="center" vertical="center"/>
    </xf>
    <xf numFmtId="184" fontId="76" fillId="0" borderId="233" xfId="0" applyNumberFormat="1" applyFont="1" applyFill="1" applyBorder="1" applyAlignment="1">
      <alignment vertical="center"/>
    </xf>
    <xf numFmtId="9" fontId="83" fillId="0" borderId="0" xfId="143" applyFont="1" applyFill="1" applyBorder="1" applyAlignment="1">
      <alignment horizontal="center"/>
    </xf>
    <xf numFmtId="41" fontId="155" fillId="0" borderId="13" xfId="149" applyFont="1" applyFill="1" applyBorder="1" applyAlignment="1">
      <alignment vertical="center"/>
    </xf>
    <xf numFmtId="184" fontId="76" fillId="0" borderId="230" xfId="0" applyNumberFormat="1" applyFont="1" applyFill="1" applyBorder="1" applyAlignment="1">
      <alignment vertical="center"/>
    </xf>
    <xf numFmtId="41" fontId="155" fillId="0" borderId="0" xfId="149" applyFont="1" applyFill="1" applyBorder="1" applyAlignment="1">
      <alignment vertical="center"/>
    </xf>
    <xf numFmtId="41" fontId="76" fillId="0" borderId="233" xfId="0" applyNumberFormat="1" applyFont="1" applyFill="1" applyBorder="1" applyAlignment="1">
      <alignment vertical="center"/>
    </xf>
    <xf numFmtId="0" fontId="81" fillId="8" borderId="13" xfId="0" applyFont="1" applyFill="1" applyBorder="1" applyAlignment="1">
      <alignment horizontal="center" vertical="center" wrapText="1"/>
    </xf>
    <xf numFmtId="0" fontId="81" fillId="8" borderId="229" xfId="0" applyFont="1" applyFill="1" applyBorder="1" applyAlignment="1">
      <alignment horizontal="center" vertical="center" wrapText="1"/>
    </xf>
    <xf numFmtId="0" fontId="83" fillId="0" borderId="0" xfId="182" applyFont="1" applyFill="1" applyBorder="1" applyAlignment="1">
      <alignment horizontal="center" vertical="center"/>
    </xf>
    <xf numFmtId="220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179" fontId="89" fillId="0" borderId="0" xfId="762" applyNumberFormat="1" applyFont="1" applyAlignment="1">
      <alignment horizontal="centerContinuous" vertical="center"/>
    </xf>
    <xf numFmtId="0" fontId="84" fillId="0" borderId="0" xfId="0" applyFont="1"/>
    <xf numFmtId="0" fontId="83" fillId="0" borderId="0" xfId="182" applyFont="1" applyBorder="1" applyAlignment="1">
      <alignment horizontal="center" vertical="center"/>
    </xf>
    <xf numFmtId="41" fontId="83" fillId="15" borderId="13" xfId="151" applyFont="1" applyFill="1" applyBorder="1" applyAlignment="1">
      <alignment horizontal="center" vertical="center"/>
    </xf>
    <xf numFmtId="0" fontId="83" fillId="15" borderId="13" xfId="750" applyFont="1" applyFill="1" applyBorder="1" applyAlignment="1">
      <alignment horizontal="center" vertical="center"/>
    </xf>
    <xf numFmtId="0" fontId="83" fillId="15" borderId="14" xfId="750" applyFont="1" applyFill="1" applyBorder="1" applyAlignment="1">
      <alignment horizontal="center" vertical="center"/>
    </xf>
    <xf numFmtId="41" fontId="75" fillId="0" borderId="229" xfId="149" applyFont="1" applyBorder="1" applyAlignment="1">
      <alignment horizontal="center" vertical="center"/>
    </xf>
    <xf numFmtId="49" fontId="20" fillId="62" borderId="235" xfId="0" applyNumberFormat="1" applyFont="1" applyFill="1" applyBorder="1" applyAlignment="1">
      <alignment horizontal="center" vertical="center" wrapText="1"/>
    </xf>
    <xf numFmtId="49" fontId="20" fillId="62" borderId="236" xfId="0" applyNumberFormat="1" applyFont="1" applyFill="1" applyBorder="1" applyAlignment="1">
      <alignment horizontal="center" vertical="center" wrapText="1"/>
    </xf>
    <xf numFmtId="49" fontId="20" fillId="62" borderId="226" xfId="0" applyNumberFormat="1" applyFont="1" applyFill="1" applyBorder="1" applyAlignment="1">
      <alignment horizontal="center" vertical="center" wrapText="1"/>
    </xf>
    <xf numFmtId="0" fontId="7" fillId="0" borderId="0" xfId="0" quotePrefix="1" applyFont="1" applyFill="1" applyAlignment="1">
      <alignment vertical="center"/>
    </xf>
    <xf numFmtId="49" fontId="20" fillId="0" borderId="237" xfId="0" applyNumberFormat="1" applyFont="1" applyBorder="1" applyAlignment="1">
      <alignment horizontal="center" vertical="center" wrapText="1"/>
    </xf>
    <xf numFmtId="179" fontId="20" fillId="0" borderId="238" xfId="0" applyNumberFormat="1" applyFont="1" applyBorder="1" applyAlignment="1">
      <alignment horizontal="center" vertical="center" wrapText="1"/>
    </xf>
    <xf numFmtId="49" fontId="20" fillId="0" borderId="238" xfId="0" applyNumberFormat="1" applyFont="1" applyBorder="1" applyAlignment="1">
      <alignment horizontal="center" vertical="center" wrapText="1"/>
    </xf>
    <xf numFmtId="0" fontId="7" fillId="0" borderId="226" xfId="0" applyFont="1" applyFill="1" applyBorder="1" applyAlignment="1">
      <alignment horizontal="center" vertical="center"/>
    </xf>
    <xf numFmtId="49" fontId="7" fillId="0" borderId="226" xfId="0" applyNumberFormat="1" applyFont="1" applyFill="1" applyBorder="1" applyAlignment="1">
      <alignment horizontal="center" vertical="center"/>
    </xf>
    <xf numFmtId="49" fontId="20" fillId="0" borderId="239" xfId="0" applyNumberFormat="1" applyFont="1" applyBorder="1" applyAlignment="1">
      <alignment horizontal="center" vertical="center" wrapText="1"/>
    </xf>
    <xf numFmtId="179" fontId="20" fillId="63" borderId="24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179" fontId="185" fillId="63" borderId="0" xfId="0" applyNumberFormat="1" applyFont="1" applyFill="1" applyBorder="1" applyAlignment="1">
      <alignment horizontal="right" vertical="center" wrapText="1"/>
    </xf>
    <xf numFmtId="0" fontId="20" fillId="53" borderId="226" xfId="770" applyFont="1" applyFill="1" applyBorder="1" applyAlignment="1">
      <alignment horizontal="center" vertical="center"/>
    </xf>
    <xf numFmtId="0" fontId="20" fillId="0" borderId="226" xfId="0" applyFont="1" applyFill="1" applyBorder="1" applyAlignment="1">
      <alignment horizontal="center" vertical="center"/>
    </xf>
    <xf numFmtId="0" fontId="8" fillId="0" borderId="226" xfId="0" applyFont="1" applyFill="1" applyBorder="1" applyAlignment="1">
      <alignment horizontal="center" vertical="center"/>
    </xf>
    <xf numFmtId="0" fontId="7" fillId="0" borderId="226" xfId="0" applyFont="1" applyFill="1" applyBorder="1" applyAlignment="1">
      <alignment horizontal="center" vertical="center" wrapText="1"/>
    </xf>
    <xf numFmtId="0" fontId="7" fillId="0" borderId="242" xfId="0" applyFont="1" applyFill="1" applyBorder="1" applyAlignment="1">
      <alignment horizontal="center" vertical="center"/>
    </xf>
    <xf numFmtId="0" fontId="8" fillId="0" borderId="242" xfId="0" applyFont="1" applyFill="1" applyBorder="1" applyAlignment="1">
      <alignment horizontal="center" vertical="center"/>
    </xf>
    <xf numFmtId="0" fontId="7" fillId="0" borderId="240" xfId="0" applyFont="1" applyFill="1" applyBorder="1" applyAlignment="1">
      <alignment horizontal="center" vertical="center"/>
    </xf>
    <xf numFmtId="0" fontId="7" fillId="0" borderId="192" xfId="0" applyFont="1" applyFill="1" applyBorder="1" applyAlignment="1">
      <alignment horizontal="center" vertical="center"/>
    </xf>
    <xf numFmtId="0" fontId="131" fillId="0" borderId="226" xfId="224" applyFont="1" applyBorder="1" applyAlignment="1">
      <alignment horizontal="center" vertical="center"/>
    </xf>
    <xf numFmtId="0" fontId="131" fillId="0" borderId="240" xfId="224" applyFont="1" applyBorder="1" applyAlignment="1">
      <alignment horizontal="center" vertical="center"/>
    </xf>
    <xf numFmtId="0" fontId="131" fillId="0" borderId="192" xfId="224" applyFont="1" applyBorder="1" applyAlignment="1">
      <alignment horizontal="center" vertical="center"/>
    </xf>
    <xf numFmtId="1" fontId="7" fillId="0" borderId="190" xfId="0" applyNumberFormat="1" applyFont="1" applyFill="1" applyBorder="1" applyAlignment="1">
      <alignment horizontal="center" vertical="center"/>
    </xf>
    <xf numFmtId="0" fontId="7" fillId="0" borderId="229" xfId="0" applyFont="1" applyFill="1" applyBorder="1" applyAlignment="1">
      <alignment horizontal="center" vertical="center"/>
    </xf>
    <xf numFmtId="0" fontId="7" fillId="0" borderId="243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center" vertical="center"/>
    </xf>
    <xf numFmtId="0" fontId="7" fillId="0" borderId="244" xfId="0" applyFont="1" applyFill="1" applyBorder="1" applyAlignment="1">
      <alignment horizontal="center" vertical="center"/>
    </xf>
    <xf numFmtId="49" fontId="7" fillId="0" borderId="229" xfId="0" applyNumberFormat="1" applyFont="1" applyFill="1" applyBorder="1" applyAlignment="1">
      <alignment horizontal="center" vertical="center"/>
    </xf>
    <xf numFmtId="49" fontId="7" fillId="0" borderId="243" xfId="0" applyNumberFormat="1" applyFont="1" applyFill="1" applyBorder="1" applyAlignment="1">
      <alignment horizontal="center" vertical="center"/>
    </xf>
    <xf numFmtId="49" fontId="7" fillId="0" borderId="245" xfId="0" applyNumberFormat="1" applyFont="1" applyFill="1" applyBorder="1" applyAlignment="1">
      <alignment horizontal="center" vertical="center"/>
    </xf>
    <xf numFmtId="49" fontId="7" fillId="0" borderId="244" xfId="0" applyNumberFormat="1" applyFont="1" applyFill="1" applyBorder="1" applyAlignment="1">
      <alignment horizontal="center" vertical="center"/>
    </xf>
    <xf numFmtId="9" fontId="83" fillId="0" borderId="140" xfId="140" applyNumberFormat="1" applyFont="1" applyBorder="1" applyAlignment="1">
      <alignment horizontal="center" vertical="center"/>
    </xf>
    <xf numFmtId="41" fontId="186" fillId="0" borderId="229" xfId="149" applyFont="1" applyBorder="1" applyAlignment="1">
      <alignment horizontal="center" vertical="center"/>
    </xf>
    <xf numFmtId="0" fontId="76" fillId="2" borderId="4" xfId="750" applyFont="1" applyFill="1" applyBorder="1" applyAlignment="1">
      <alignment horizontal="center" vertical="center"/>
    </xf>
    <xf numFmtId="41" fontId="76" fillId="0" borderId="4" xfId="149" applyFont="1" applyBorder="1" applyAlignment="1">
      <alignment horizontal="center" vertical="center"/>
    </xf>
    <xf numFmtId="41" fontId="150" fillId="0" borderId="13" xfId="149" applyFont="1" applyBorder="1" applyAlignment="1" applyProtection="1">
      <alignment horizontal="center" vertical="center" wrapText="1"/>
      <protection locked="0"/>
    </xf>
    <xf numFmtId="41" fontId="150" fillId="0" borderId="13" xfId="149" applyNumberFormat="1" applyFont="1" applyBorder="1" applyAlignment="1" applyProtection="1">
      <alignment vertical="center" wrapText="1"/>
      <protection locked="0"/>
    </xf>
    <xf numFmtId="41" fontId="150" fillId="0" borderId="13" xfId="149" applyFont="1" applyBorder="1" applyAlignment="1">
      <alignment vertical="center"/>
    </xf>
    <xf numFmtId="41" fontId="150" fillId="0" borderId="14" xfId="149" applyNumberFormat="1" applyFont="1" applyBorder="1" applyAlignment="1" applyProtection="1">
      <alignment horizontal="center" vertical="center" wrapText="1"/>
      <protection locked="0"/>
    </xf>
    <xf numFmtId="0" fontId="150" fillId="50" borderId="229" xfId="0" applyFont="1" applyFill="1" applyBorder="1" applyAlignment="1">
      <alignment horizontal="center" vertical="center"/>
    </xf>
    <xf numFmtId="41" fontId="150" fillId="0" borderId="229" xfId="149" applyFont="1" applyBorder="1" applyAlignment="1" applyProtection="1">
      <alignment horizontal="center" vertical="center" wrapText="1"/>
      <protection locked="0"/>
    </xf>
    <xf numFmtId="41" fontId="150" fillId="0" borderId="229" xfId="149" applyNumberFormat="1" applyFont="1" applyBorder="1" applyAlignment="1" applyProtection="1">
      <alignment vertical="center" wrapText="1"/>
      <protection locked="0"/>
    </xf>
    <xf numFmtId="41" fontId="150" fillId="0" borderId="229" xfId="149" applyFont="1" applyBorder="1" applyAlignment="1">
      <alignment vertical="center"/>
    </xf>
    <xf numFmtId="41" fontId="150" fillId="0" borderId="230" xfId="149" applyNumberFormat="1" applyFont="1" applyBorder="1" applyAlignment="1" applyProtection="1">
      <alignment horizontal="center" vertical="center" wrapText="1"/>
      <protection locked="0"/>
    </xf>
    <xf numFmtId="0" fontId="150" fillId="50" borderId="233" xfId="0" applyFont="1" applyFill="1" applyBorder="1" applyAlignment="1">
      <alignment horizontal="center" vertical="center"/>
    </xf>
    <xf numFmtId="41" fontId="150" fillId="0" borderId="233" xfId="149" applyFont="1" applyBorder="1" applyAlignment="1" applyProtection="1">
      <alignment horizontal="center" vertical="center" wrapText="1"/>
      <protection locked="0"/>
    </xf>
    <xf numFmtId="41" fontId="150" fillId="0" borderId="233" xfId="149" applyNumberFormat="1" applyFont="1" applyBorder="1" applyAlignment="1" applyProtection="1">
      <alignment vertical="center" wrapText="1"/>
      <protection locked="0"/>
    </xf>
    <xf numFmtId="41" fontId="150" fillId="0" borderId="233" xfId="149" applyFont="1" applyBorder="1" applyAlignment="1">
      <alignment vertical="center"/>
    </xf>
    <xf numFmtId="41" fontId="150" fillId="0" borderId="234" xfId="149" applyNumberFormat="1" applyFont="1" applyBorder="1" applyAlignment="1" applyProtection="1">
      <alignment horizontal="center" vertical="center" wrapText="1"/>
      <protection locked="0"/>
    </xf>
    <xf numFmtId="0" fontId="150" fillId="14" borderId="233" xfId="0" applyFont="1" applyFill="1" applyBorder="1" applyAlignment="1">
      <alignment horizontal="center" vertical="center"/>
    </xf>
    <xf numFmtId="179" fontId="187" fillId="0" borderId="140" xfId="149" applyNumberFormat="1" applyFont="1" applyBorder="1" applyAlignment="1">
      <alignment horizontal="center" vertical="center" wrapText="1"/>
    </xf>
    <xf numFmtId="179" fontId="187" fillId="0" borderId="140" xfId="149" applyNumberFormat="1" applyFont="1" applyBorder="1" applyAlignment="1">
      <alignment horizontal="center" vertical="center"/>
    </xf>
    <xf numFmtId="0" fontId="0" fillId="0" borderId="229" xfId="0" applyFont="1" applyFill="1" applyBorder="1" applyAlignment="1">
      <alignment horizontal="center" vertical="center" wrapText="1"/>
    </xf>
    <xf numFmtId="179" fontId="171" fillId="0" borderId="140" xfId="149" applyNumberFormat="1" applyFont="1" applyBorder="1" applyAlignment="1">
      <alignment horizontal="center" vertical="center" wrapText="1"/>
    </xf>
    <xf numFmtId="179" fontId="171" fillId="0" borderId="229" xfId="149" applyNumberFormat="1" applyFont="1" applyBorder="1" applyAlignment="1">
      <alignment horizontal="center" vertical="center" wrapText="1"/>
    </xf>
    <xf numFmtId="179" fontId="171" fillId="0" borderId="140" xfId="149" applyNumberFormat="1" applyFont="1" applyBorder="1" applyAlignment="1">
      <alignment horizontal="center" vertical="center"/>
    </xf>
    <xf numFmtId="0" fontId="160" fillId="0" borderId="4" xfId="0" applyFont="1" applyBorder="1" applyAlignment="1">
      <alignment horizontal="center" vertical="center" wrapText="1"/>
    </xf>
    <xf numFmtId="41" fontId="99" fillId="0" borderId="17" xfId="182" applyNumberFormat="1" applyFont="1" applyBorder="1" applyAlignment="1">
      <alignment horizontal="center" vertical="center"/>
    </xf>
    <xf numFmtId="41" fontId="99" fillId="0" borderId="18" xfId="182" applyNumberFormat="1" applyFont="1" applyBorder="1" applyAlignment="1">
      <alignment horizontal="center" vertical="center"/>
    </xf>
    <xf numFmtId="41" fontId="99" fillId="0" borderId="8" xfId="182" applyNumberFormat="1" applyFont="1" applyBorder="1" applyAlignment="1">
      <alignment horizontal="center" vertical="center"/>
    </xf>
    <xf numFmtId="41" fontId="99" fillId="0" borderId="15" xfId="182" applyNumberFormat="1" applyFont="1" applyBorder="1" applyAlignment="1">
      <alignment horizontal="center" vertical="center"/>
    </xf>
    <xf numFmtId="0" fontId="83" fillId="8" borderId="8" xfId="0" applyFont="1" applyFill="1" applyBorder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/>
    </xf>
    <xf numFmtId="0" fontId="85" fillId="0" borderId="0" xfId="214" applyFont="1" applyAlignment="1">
      <alignment horizontal="left" vertical="center"/>
    </xf>
    <xf numFmtId="41" fontId="76" fillId="0" borderId="229" xfId="149" applyFont="1" applyFill="1" applyBorder="1" applyAlignment="1">
      <alignment horizontal="center" vertical="center"/>
    </xf>
    <xf numFmtId="224" fontId="89" fillId="64" borderId="38" xfId="762" applyNumberFormat="1" applyFont="1" applyFill="1" applyBorder="1" applyAlignment="1">
      <alignment horizontal="centerContinuous" vertical="center"/>
    </xf>
    <xf numFmtId="0" fontId="83" fillId="0" borderId="15" xfId="751" applyFont="1" applyBorder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76" fillId="15" borderId="8" xfId="0" applyFont="1" applyFill="1" applyBorder="1" applyAlignment="1">
      <alignment horizontal="center" vertical="center" wrapText="1"/>
    </xf>
    <xf numFmtId="0" fontId="76" fillId="15" borderId="8" xfId="0" applyFont="1" applyFill="1" applyBorder="1" applyAlignment="1">
      <alignment horizontal="center" vertical="center"/>
    </xf>
    <xf numFmtId="0" fontId="85" fillId="0" borderId="0" xfId="214" applyFont="1" applyAlignment="1">
      <alignment horizontal="left" vertical="center"/>
    </xf>
    <xf numFmtId="0" fontId="8" fillId="0" borderId="77" xfId="1345" applyFont="1" applyBorder="1" applyAlignment="1">
      <alignment horizontal="center"/>
    </xf>
    <xf numFmtId="0" fontId="8" fillId="0" borderId="8" xfId="1345" applyFont="1" applyBorder="1" applyAlignment="1">
      <alignment horizontal="center"/>
    </xf>
    <xf numFmtId="0" fontId="8" fillId="0" borderId="90" xfId="1345" applyFont="1" applyBorder="1" applyAlignment="1">
      <alignment horizontal="center"/>
    </xf>
    <xf numFmtId="0" fontId="8" fillId="0" borderId="2" xfId="1345" applyFont="1" applyBorder="1" applyAlignment="1">
      <alignment horizontal="center"/>
    </xf>
    <xf numFmtId="0" fontId="2" fillId="0" borderId="0" xfId="1519">
      <alignment vertical="center"/>
    </xf>
    <xf numFmtId="41" fontId="75" fillId="8" borderId="255" xfId="1518" applyFont="1" applyFill="1" applyBorder="1" applyAlignment="1">
      <alignment horizontal="center" vertical="center"/>
    </xf>
    <xf numFmtId="182" fontId="75" fillId="8" borderId="255" xfId="750" applyNumberFormat="1" applyFont="1" applyFill="1" applyBorder="1" applyAlignment="1">
      <alignment horizontal="center" vertical="center" wrapText="1"/>
    </xf>
    <xf numFmtId="41" fontId="76" fillId="0" borderId="248" xfId="1518" applyFont="1" applyBorder="1" applyAlignment="1">
      <alignment vertical="center"/>
    </xf>
    <xf numFmtId="41" fontId="75" fillId="0" borderId="258" xfId="750" applyNumberFormat="1" applyFont="1" applyBorder="1">
      <alignment vertical="center"/>
    </xf>
    <xf numFmtId="41" fontId="76" fillId="0" borderId="226" xfId="1518" applyFont="1" applyBorder="1" applyAlignment="1">
      <alignment vertical="center"/>
    </xf>
    <xf numFmtId="41" fontId="75" fillId="0" borderId="226" xfId="750" applyNumberFormat="1" applyFont="1" applyBorder="1">
      <alignment vertical="center"/>
    </xf>
    <xf numFmtId="41" fontId="76" fillId="0" borderId="260" xfId="1518" applyFont="1" applyBorder="1" applyAlignment="1">
      <alignment vertical="center"/>
    </xf>
    <xf numFmtId="41" fontId="75" fillId="0" borderId="261" xfId="750" applyNumberFormat="1" applyFont="1" applyBorder="1">
      <alignment vertical="center"/>
    </xf>
    <xf numFmtId="41" fontId="75" fillId="0" borderId="260" xfId="1341" applyNumberFormat="1" applyFont="1" applyFill="1" applyBorder="1" applyAlignment="1" applyProtection="1">
      <alignment horizontal="right" vertical="center"/>
      <protection locked="0"/>
    </xf>
    <xf numFmtId="183" fontId="75" fillId="0" borderId="260" xfId="1341" applyNumberFormat="1" applyFont="1" applyBorder="1" applyAlignment="1">
      <alignment horizontal="right" vertical="center"/>
    </xf>
    <xf numFmtId="41" fontId="75" fillId="0" borderId="226" xfId="1341" applyNumberFormat="1" applyFont="1" applyFill="1" applyBorder="1" applyAlignment="1" applyProtection="1">
      <alignment horizontal="right" vertical="center"/>
      <protection locked="0"/>
    </xf>
    <xf numFmtId="183" fontId="75" fillId="0" borderId="260" xfId="1341" applyNumberFormat="1" applyFont="1" applyFill="1" applyBorder="1" applyAlignment="1">
      <alignment horizontal="right" vertical="center"/>
    </xf>
    <xf numFmtId="41" fontId="75" fillId="0" borderId="255" xfId="1341" applyNumberFormat="1" applyFont="1" applyFill="1" applyBorder="1" applyAlignment="1" applyProtection="1">
      <alignment horizontal="right" vertical="center"/>
      <protection locked="0"/>
    </xf>
    <xf numFmtId="183" fontId="75" fillId="0" borderId="255" xfId="1341" applyNumberFormat="1" applyFont="1" applyFill="1" applyBorder="1" applyAlignment="1">
      <alignment horizontal="right" vertical="center"/>
    </xf>
    <xf numFmtId="41" fontId="75" fillId="0" borderId="262" xfId="750" applyNumberFormat="1" applyFont="1" applyBorder="1">
      <alignment vertical="center"/>
    </xf>
    <xf numFmtId="41" fontId="75" fillId="0" borderId="264" xfId="1341" applyNumberFormat="1" applyFont="1" applyFill="1" applyBorder="1" applyAlignment="1" applyProtection="1">
      <alignment horizontal="right" vertical="center"/>
      <protection locked="0"/>
    </xf>
    <xf numFmtId="183" fontId="75" fillId="0" borderId="264" xfId="1341" applyNumberFormat="1" applyFont="1" applyFill="1" applyBorder="1" applyAlignment="1">
      <alignment horizontal="right" vertical="center"/>
    </xf>
    <xf numFmtId="41" fontId="75" fillId="0" borderId="265" xfId="750" applyNumberFormat="1" applyFont="1" applyBorder="1">
      <alignment vertical="center"/>
    </xf>
    <xf numFmtId="41" fontId="76" fillId="0" borderId="267" xfId="1518" applyFont="1" applyBorder="1" applyAlignment="1">
      <alignment vertical="center"/>
    </xf>
    <xf numFmtId="41" fontId="75" fillId="0" borderId="268" xfId="750" applyNumberFormat="1" applyFont="1" applyBorder="1">
      <alignment vertical="center"/>
    </xf>
    <xf numFmtId="0" fontId="73" fillId="0" borderId="0" xfId="1519" applyFont="1" applyAlignment="1"/>
    <xf numFmtId="0" fontId="6" fillId="0" borderId="0" xfId="1232"/>
    <xf numFmtId="0" fontId="81" fillId="15" borderId="272" xfId="182" applyFont="1" applyFill="1" applyBorder="1" applyAlignment="1">
      <alignment horizontal="center" vertical="center"/>
    </xf>
    <xf numFmtId="0" fontId="81" fillId="15" borderId="233" xfId="182" applyFont="1" applyFill="1" applyBorder="1" applyAlignment="1">
      <alignment horizontal="center" vertical="center"/>
    </xf>
    <xf numFmtId="41" fontId="76" fillId="0" borderId="196" xfId="764" applyFont="1" applyBorder="1" applyAlignment="1">
      <alignment horizontal="center" vertical="center"/>
    </xf>
    <xf numFmtId="41" fontId="76" fillId="0" borderId="230" xfId="764" applyFont="1" applyBorder="1" applyAlignment="1">
      <alignment horizontal="center" vertical="center"/>
    </xf>
    <xf numFmtId="0" fontId="81" fillId="16" borderId="233" xfId="182" applyFont="1" applyFill="1" applyBorder="1" applyAlignment="1">
      <alignment horizontal="center" vertical="center"/>
    </xf>
    <xf numFmtId="41" fontId="76" fillId="0" borderId="178" xfId="764" applyFont="1" applyBorder="1" applyAlignment="1">
      <alignment horizontal="center" vertical="center"/>
    </xf>
    <xf numFmtId="41" fontId="76" fillId="0" borderId="179" xfId="764" applyFont="1" applyBorder="1" applyAlignment="1">
      <alignment horizontal="center" vertical="center"/>
    </xf>
    <xf numFmtId="41" fontId="76" fillId="0" borderId="233" xfId="764" applyFont="1" applyBorder="1" applyAlignment="1">
      <alignment horizontal="center" vertical="center"/>
    </xf>
    <xf numFmtId="41" fontId="76" fillId="0" borderId="234" xfId="764" applyFont="1" applyBorder="1" applyAlignment="1">
      <alignment horizontal="center" vertical="center"/>
    </xf>
    <xf numFmtId="41" fontId="6" fillId="0" borderId="226" xfId="1232" applyNumberFormat="1" applyBorder="1" applyAlignment="1">
      <alignment horizontal="center"/>
    </xf>
    <xf numFmtId="0" fontId="6" fillId="0" borderId="226" xfId="1232" applyBorder="1" applyAlignment="1">
      <alignment horizontal="center"/>
    </xf>
    <xf numFmtId="178" fontId="6" fillId="0" borderId="226" xfId="1232" applyNumberFormat="1" applyBorder="1" applyAlignment="1">
      <alignment horizontal="center"/>
    </xf>
    <xf numFmtId="0" fontId="73" fillId="0" borderId="0" xfId="1232" applyFont="1"/>
    <xf numFmtId="0" fontId="6" fillId="0" borderId="0" xfId="770"/>
    <xf numFmtId="0" fontId="188" fillId="0" borderId="0" xfId="1519" applyFont="1" applyAlignment="1">
      <alignment horizontal="left" vertical="center"/>
    </xf>
    <xf numFmtId="0" fontId="2" fillId="0" borderId="0" xfId="1519" applyAlignment="1">
      <alignment horizontal="center" vertical="center"/>
    </xf>
    <xf numFmtId="0" fontId="2" fillId="16" borderId="226" xfId="1519" applyFill="1" applyBorder="1" applyAlignment="1">
      <alignment horizontal="center" vertical="center"/>
    </xf>
    <xf numFmtId="0" fontId="116" fillId="0" borderId="226" xfId="1519" applyFont="1" applyFill="1" applyBorder="1" applyAlignment="1">
      <alignment horizontal="center" vertical="center"/>
    </xf>
    <xf numFmtId="41" fontId="189" fillId="0" borderId="226" xfId="1519" applyNumberFormat="1" applyFont="1" applyFill="1" applyBorder="1" applyAlignment="1">
      <alignment horizontal="center" vertical="center"/>
    </xf>
    <xf numFmtId="41" fontId="116" fillId="0" borderId="226" xfId="1519" applyNumberFormat="1" applyFont="1" applyFill="1" applyBorder="1" applyAlignment="1">
      <alignment horizontal="center" vertical="center"/>
    </xf>
    <xf numFmtId="41" fontId="189" fillId="53" borderId="226" xfId="1519" applyNumberFormat="1" applyFont="1" applyFill="1" applyBorder="1" applyAlignment="1">
      <alignment horizontal="center" vertical="center"/>
    </xf>
    <xf numFmtId="41" fontId="116" fillId="53" borderId="226" xfId="1519" applyNumberFormat="1" applyFont="1" applyFill="1" applyBorder="1" applyAlignment="1">
      <alignment horizontal="center" vertical="center"/>
    </xf>
    <xf numFmtId="0" fontId="2" fillId="0" borderId="226" xfId="1519" applyFill="1" applyBorder="1" applyAlignment="1">
      <alignment horizontal="center" vertical="center"/>
    </xf>
    <xf numFmtId="41" fontId="0" fillId="0" borderId="226" xfId="1518" applyFont="1" applyFill="1" applyBorder="1" applyAlignment="1">
      <alignment horizontal="center" vertical="center"/>
    </xf>
    <xf numFmtId="200" fontId="0" fillId="0" borderId="226" xfId="1518" applyNumberFormat="1" applyFont="1" applyFill="1" applyBorder="1" applyAlignment="1">
      <alignment horizontal="center" vertical="center"/>
    </xf>
    <xf numFmtId="0" fontId="2" fillId="0" borderId="0" xfId="1519" applyFill="1">
      <alignment vertical="center"/>
    </xf>
    <xf numFmtId="41" fontId="0" fillId="0" borderId="226" xfId="1518" applyFont="1" applyBorder="1" applyAlignment="1">
      <alignment horizontal="center" vertical="center"/>
    </xf>
    <xf numFmtId="1" fontId="89" fillId="0" borderId="0" xfId="762" applyNumberFormat="1" applyFont="1" applyAlignment="1">
      <alignment horizontal="centerContinuous" vertical="center"/>
    </xf>
    <xf numFmtId="0" fontId="160" fillId="0" borderId="226" xfId="0" applyFont="1" applyBorder="1" applyAlignment="1">
      <alignment horizontal="center" vertical="center" wrapText="1"/>
    </xf>
    <xf numFmtId="41" fontId="167" fillId="0" borderId="178" xfId="221" applyNumberFormat="1" applyFont="1" applyFill="1" applyBorder="1" applyAlignment="1">
      <alignment vertical="center" shrinkToFit="1"/>
    </xf>
    <xf numFmtId="41" fontId="167" fillId="0" borderId="196" xfId="221" applyNumberFormat="1" applyFont="1" applyFill="1" applyBorder="1" applyAlignment="1">
      <alignment vertical="center" shrinkToFit="1"/>
    </xf>
    <xf numFmtId="41" fontId="167" fillId="0" borderId="275" xfId="221" applyNumberFormat="1" applyFont="1" applyFill="1" applyBorder="1" applyAlignment="1">
      <alignment vertical="center" shrinkToFit="1"/>
    </xf>
    <xf numFmtId="41" fontId="167" fillId="0" borderId="260" xfId="221" applyNumberFormat="1" applyFont="1" applyFill="1" applyBorder="1" applyAlignment="1">
      <alignment vertical="center" shrinkToFit="1"/>
    </xf>
    <xf numFmtId="41" fontId="167" fillId="0" borderId="278" xfId="221" applyNumberFormat="1" applyFont="1" applyFill="1" applyBorder="1" applyAlignment="1">
      <alignment vertical="center" shrinkToFit="1"/>
    </xf>
    <xf numFmtId="0" fontId="41" fillId="48" borderId="282" xfId="485" applyFont="1" applyFill="1" applyBorder="1" applyAlignment="1">
      <alignment horizontal="center" vertical="center" wrapText="1"/>
    </xf>
    <xf numFmtId="0" fontId="41" fillId="48" borderId="282" xfId="485" quotePrefix="1" applyFont="1" applyFill="1" applyBorder="1" applyAlignment="1">
      <alignment horizontal="center" vertical="center" wrapText="1"/>
    </xf>
    <xf numFmtId="0" fontId="41" fillId="48" borderId="283" xfId="485" applyFont="1" applyFill="1" applyBorder="1" applyAlignment="1">
      <alignment horizontal="center" vertical="center" wrapText="1"/>
    </xf>
    <xf numFmtId="41" fontId="140" fillId="53" borderId="260" xfId="153" applyNumberFormat="1" applyFont="1" applyFill="1" applyBorder="1" applyAlignment="1">
      <alignment horizontal="center" vertical="center" wrapText="1"/>
    </xf>
    <xf numFmtId="183" fontId="41" fillId="53" borderId="260" xfId="153" applyNumberFormat="1" applyFont="1" applyFill="1" applyBorder="1" applyAlignment="1">
      <alignment horizontal="center" vertical="center" wrapText="1"/>
    </xf>
    <xf numFmtId="9" fontId="41" fillId="53" borderId="260" xfId="485" applyNumberFormat="1" applyFont="1" applyFill="1" applyBorder="1" applyAlignment="1">
      <alignment horizontal="center" vertical="center" wrapText="1"/>
    </xf>
    <xf numFmtId="176" fontId="41" fillId="53" borderId="260" xfId="485" applyNumberFormat="1" applyFont="1" applyFill="1" applyBorder="1" applyAlignment="1">
      <alignment horizontal="center" vertical="center" wrapText="1"/>
    </xf>
    <xf numFmtId="41" fontId="140" fillId="53" borderId="261" xfId="153" applyNumberFormat="1" applyFont="1" applyFill="1" applyBorder="1" applyAlignment="1">
      <alignment horizontal="center" vertical="center" wrapText="1"/>
    </xf>
    <xf numFmtId="41" fontId="63" fillId="53" borderId="248" xfId="485" applyNumberFormat="1" applyFont="1" applyFill="1" applyBorder="1" applyAlignment="1">
      <alignment horizontal="center" vertical="center" wrapText="1"/>
    </xf>
    <xf numFmtId="183" fontId="41" fillId="53" borderId="248" xfId="485" applyNumberFormat="1" applyFont="1" applyFill="1" applyBorder="1" applyAlignment="1">
      <alignment horizontal="center" vertical="center" wrapText="1"/>
    </xf>
    <xf numFmtId="9" fontId="41" fillId="53" borderId="248" xfId="485" applyNumberFormat="1" applyFont="1" applyFill="1" applyBorder="1" applyAlignment="1">
      <alignment horizontal="center" vertical="center" wrapText="1"/>
    </xf>
    <xf numFmtId="176" fontId="41" fillId="53" borderId="248" xfId="485" applyNumberFormat="1" applyFont="1" applyFill="1" applyBorder="1" applyAlignment="1">
      <alignment horizontal="center" vertical="center" wrapText="1"/>
    </xf>
    <xf numFmtId="41" fontId="41" fillId="53" borderId="258" xfId="485" applyNumberFormat="1" applyFont="1" applyFill="1" applyBorder="1" applyAlignment="1">
      <alignment horizontal="center" vertical="center" wrapText="1"/>
    </xf>
    <xf numFmtId="41" fontId="140" fillId="53" borderId="264" xfId="153" applyNumberFormat="1" applyFont="1" applyFill="1" applyBorder="1" applyAlignment="1">
      <alignment horizontal="center" vertical="center" wrapText="1"/>
    </xf>
    <xf numFmtId="183" fontId="41" fillId="53" borderId="264" xfId="153" applyNumberFormat="1" applyFont="1" applyFill="1" applyBorder="1" applyAlignment="1">
      <alignment horizontal="center" vertical="center" wrapText="1"/>
    </xf>
    <xf numFmtId="9" fontId="41" fillId="53" borderId="264" xfId="485" applyNumberFormat="1" applyFont="1" applyFill="1" applyBorder="1" applyAlignment="1">
      <alignment horizontal="center" vertical="center" wrapText="1"/>
    </xf>
    <xf numFmtId="176" fontId="41" fillId="53" borderId="264" xfId="485" applyNumberFormat="1" applyFont="1" applyFill="1" applyBorder="1" applyAlignment="1">
      <alignment horizontal="center" vertical="center" wrapText="1"/>
    </xf>
    <xf numFmtId="41" fontId="140" fillId="53" borderId="265" xfId="153" quotePrefix="1" applyNumberFormat="1" applyFont="1" applyFill="1" applyBorder="1" applyAlignment="1">
      <alignment horizontal="center" vertical="center" wrapText="1"/>
    </xf>
    <xf numFmtId="0" fontId="83" fillId="0" borderId="161" xfId="751" applyFont="1" applyBorder="1" applyAlignment="1">
      <alignment horizontal="center" vertical="center"/>
    </xf>
    <xf numFmtId="191" fontId="83" fillId="48" borderId="160" xfId="751" applyNumberFormat="1" applyFont="1" applyFill="1" applyBorder="1" applyAlignment="1">
      <alignment horizontal="center" vertical="center"/>
    </xf>
    <xf numFmtId="41" fontId="190" fillId="5" borderId="4" xfId="149" applyFont="1" applyFill="1" applyBorder="1" applyAlignment="1">
      <alignment horizontal="right" vertical="center" wrapText="1"/>
    </xf>
    <xf numFmtId="41" fontId="190" fillId="0" borderId="4" xfId="149" applyFont="1" applyFill="1" applyBorder="1" applyAlignment="1">
      <alignment horizontal="right" vertical="center" wrapText="1"/>
    </xf>
    <xf numFmtId="41" fontId="190" fillId="0" borderId="4" xfId="149" applyFont="1" applyBorder="1" applyAlignment="1">
      <alignment horizontal="right" vertical="center" wrapText="1"/>
    </xf>
    <xf numFmtId="41" fontId="190" fillId="11" borderId="4" xfId="149" applyFont="1" applyFill="1" applyBorder="1" applyAlignment="1">
      <alignment horizontal="right" vertical="center"/>
    </xf>
    <xf numFmtId="41" fontId="191" fillId="0" borderId="4" xfId="149" applyFont="1" applyFill="1" applyBorder="1" applyAlignment="1">
      <alignment horizontal="right" vertical="center"/>
    </xf>
    <xf numFmtId="41" fontId="190" fillId="11" borderId="4" xfId="149" applyFont="1" applyFill="1" applyBorder="1" applyAlignment="1">
      <alignment vertical="center"/>
    </xf>
    <xf numFmtId="41" fontId="190" fillId="0" borderId="4" xfId="149" applyFont="1" applyBorder="1" applyAlignment="1">
      <alignment vertical="center"/>
    </xf>
    <xf numFmtId="41" fontId="191" fillId="0" borderId="4" xfId="149" applyFont="1" applyFill="1" applyBorder="1" applyAlignment="1">
      <alignment vertical="center"/>
    </xf>
    <xf numFmtId="179" fontId="6" fillId="0" borderId="140" xfId="149" applyNumberFormat="1" applyFont="1" applyBorder="1" applyAlignment="1">
      <alignment horizontal="center" vertical="center" wrapText="1"/>
    </xf>
    <xf numFmtId="0" fontId="99" fillId="0" borderId="161" xfId="182" applyFont="1" applyFill="1" applyBorder="1" applyAlignment="1">
      <alignment horizontal="center" vertical="center" wrapText="1"/>
    </xf>
    <xf numFmtId="0" fontId="99" fillId="15" borderId="260" xfId="182" applyFont="1" applyFill="1" applyBorder="1" applyAlignment="1">
      <alignment horizontal="center" vertical="center"/>
    </xf>
    <xf numFmtId="0" fontId="99" fillId="0" borderId="260" xfId="182" applyFont="1" applyFill="1" applyBorder="1" applyAlignment="1">
      <alignment horizontal="center" vertical="center"/>
    </xf>
    <xf numFmtId="41" fontId="83" fillId="0" borderId="260" xfId="155" applyFont="1" applyBorder="1" applyAlignment="1">
      <alignment horizontal="center" vertical="center"/>
    </xf>
    <xf numFmtId="0" fontId="83" fillId="0" borderId="261" xfId="182" applyFont="1" applyBorder="1" applyAlignment="1">
      <alignment horizontal="center" vertical="center"/>
    </xf>
    <xf numFmtId="0" fontId="99" fillId="0" borderId="260" xfId="182" applyFont="1" applyFill="1" applyBorder="1" applyAlignment="1">
      <alignment horizontal="center" vertical="center" wrapText="1"/>
    </xf>
    <xf numFmtId="184" fontId="83" fillId="0" borderId="260" xfId="155" applyNumberFormat="1" applyFont="1" applyBorder="1" applyAlignment="1">
      <alignment horizontal="center" vertical="center"/>
    </xf>
    <xf numFmtId="41" fontId="99" fillId="0" borderId="260" xfId="155" applyFont="1" applyBorder="1" applyAlignment="1">
      <alignment horizontal="center" vertical="center"/>
    </xf>
    <xf numFmtId="0" fontId="99" fillId="0" borderId="264" xfId="182" applyFont="1" applyFill="1" applyBorder="1" applyAlignment="1">
      <alignment horizontal="center" vertical="center"/>
    </xf>
    <xf numFmtId="41" fontId="99" fillId="0" borderId="264" xfId="155" applyFont="1" applyBorder="1" applyAlignment="1">
      <alignment horizontal="center" vertical="center"/>
    </xf>
    <xf numFmtId="0" fontId="83" fillId="0" borderId="265" xfId="0" applyFont="1" applyBorder="1"/>
    <xf numFmtId="41" fontId="98" fillId="0" borderId="197" xfId="764" applyNumberFormat="1" applyFont="1" applyBorder="1" applyAlignment="1">
      <alignment horizontal="center" vertical="center"/>
    </xf>
    <xf numFmtId="41" fontId="98" fillId="0" borderId="202" xfId="764" applyNumberFormat="1" applyFont="1" applyBorder="1" applyAlignment="1">
      <alignment horizontal="center" vertical="center"/>
    </xf>
    <xf numFmtId="0" fontId="81" fillId="16" borderId="248" xfId="182" applyFont="1" applyFill="1" applyBorder="1" applyAlignment="1">
      <alignment horizontal="center" vertical="center"/>
    </xf>
    <xf numFmtId="41" fontId="76" fillId="0" borderId="248" xfId="764" applyFont="1" applyBorder="1" applyAlignment="1">
      <alignment horizontal="center" vertical="center"/>
    </xf>
    <xf numFmtId="41" fontId="76" fillId="0" borderId="258" xfId="764" applyFont="1" applyBorder="1" applyAlignment="1">
      <alignment horizontal="center" vertical="center"/>
    </xf>
    <xf numFmtId="0" fontId="81" fillId="16" borderId="260" xfId="182" applyFont="1" applyFill="1" applyBorder="1" applyAlignment="1">
      <alignment horizontal="center" vertical="center"/>
    </xf>
    <xf numFmtId="41" fontId="76" fillId="0" borderId="260" xfId="764" applyFont="1" applyBorder="1" applyAlignment="1">
      <alignment horizontal="center" vertical="center"/>
    </xf>
    <xf numFmtId="41" fontId="76" fillId="0" borderId="261" xfId="764" applyFont="1" applyBorder="1" applyAlignment="1">
      <alignment horizontal="center" vertical="center"/>
    </xf>
    <xf numFmtId="0" fontId="97" fillId="16" borderId="260" xfId="182" applyFont="1" applyFill="1" applyBorder="1" applyAlignment="1">
      <alignment horizontal="center" vertical="center"/>
    </xf>
    <xf numFmtId="0" fontId="81" fillId="16" borderId="278" xfId="182" applyFont="1" applyFill="1" applyBorder="1" applyAlignment="1">
      <alignment horizontal="center" vertical="center"/>
    </xf>
    <xf numFmtId="41" fontId="76" fillId="0" borderId="278" xfId="764" applyFont="1" applyBorder="1" applyAlignment="1">
      <alignment horizontal="center" vertical="center"/>
    </xf>
    <xf numFmtId="41" fontId="76" fillId="0" borderId="279" xfId="764" applyFont="1" applyBorder="1" applyAlignment="1">
      <alignment horizontal="center" vertical="center"/>
    </xf>
    <xf numFmtId="0" fontId="99" fillId="15" borderId="248" xfId="182" applyFont="1" applyFill="1" applyBorder="1" applyAlignment="1">
      <alignment horizontal="center" vertical="center" wrapText="1"/>
    </xf>
    <xf numFmtId="0" fontId="99" fillId="15" borderId="258" xfId="182" applyFont="1" applyFill="1" applyBorder="1" applyAlignment="1">
      <alignment horizontal="center" vertical="center"/>
    </xf>
    <xf numFmtId="41" fontId="99" fillId="0" borderId="260" xfId="182" applyNumberFormat="1" applyFont="1" applyFill="1" applyBorder="1" applyAlignment="1">
      <alignment horizontal="center" vertical="center"/>
    </xf>
    <xf numFmtId="0" fontId="99" fillId="0" borderId="261" xfId="182" applyFont="1" applyFill="1" applyBorder="1" applyAlignment="1">
      <alignment horizontal="center" vertical="center"/>
    </xf>
    <xf numFmtId="0" fontId="83" fillId="0" borderId="265" xfId="182" applyFont="1" applyBorder="1" applyAlignment="1">
      <alignment horizontal="center" vertical="center"/>
    </xf>
    <xf numFmtId="41" fontId="99" fillId="0" borderId="264" xfId="182" applyNumberFormat="1" applyFont="1" applyFill="1" applyBorder="1" applyAlignment="1">
      <alignment horizontal="center" vertical="center"/>
    </xf>
    <xf numFmtId="0" fontId="164" fillId="0" borderId="226" xfId="0" applyFont="1" applyBorder="1" applyAlignment="1">
      <alignment horizontal="center" vertical="center" wrapText="1"/>
    </xf>
    <xf numFmtId="201" fontId="146" fillId="0" borderId="260" xfId="155" applyNumberFormat="1" applyFont="1" applyBorder="1" applyAlignment="1">
      <alignment horizontal="right" vertical="center"/>
    </xf>
    <xf numFmtId="0" fontId="134" fillId="15" borderId="260" xfId="182" applyFont="1" applyFill="1" applyBorder="1" applyAlignment="1">
      <alignment horizontal="center" vertical="center"/>
    </xf>
    <xf numFmtId="201" fontId="132" fillId="0" borderId="260" xfId="155" applyNumberFormat="1" applyFont="1" applyBorder="1" applyAlignment="1">
      <alignment horizontal="right" vertical="center"/>
    </xf>
    <xf numFmtId="242" fontId="132" fillId="0" borderId="260" xfId="155" applyNumberFormat="1" applyFont="1" applyBorder="1" applyAlignment="1">
      <alignment horizontal="right" vertical="center"/>
    </xf>
    <xf numFmtId="241" fontId="132" fillId="0" borderId="260" xfId="155" applyNumberFormat="1" applyFont="1" applyBorder="1" applyAlignment="1">
      <alignment horizontal="right" vertical="center"/>
    </xf>
    <xf numFmtId="183" fontId="139" fillId="0" borderId="260" xfId="155" applyNumberFormat="1" applyFont="1" applyBorder="1" applyAlignment="1">
      <alignment vertical="center"/>
    </xf>
    <xf numFmtId="201" fontId="134" fillId="0" borderId="260" xfId="155" applyNumberFormat="1" applyFont="1" applyBorder="1" applyAlignment="1">
      <alignment horizontal="right" vertical="center"/>
    </xf>
    <xf numFmtId="0" fontId="81" fillId="0" borderId="260" xfId="0" applyFont="1" applyBorder="1"/>
    <xf numFmtId="41" fontId="76" fillId="0" borderId="260" xfId="0" applyNumberFormat="1" applyFont="1" applyBorder="1" applyAlignment="1">
      <alignment vertical="center"/>
    </xf>
    <xf numFmtId="183" fontId="134" fillId="0" borderId="260" xfId="155" applyNumberFormat="1" applyFont="1" applyBorder="1" applyAlignment="1">
      <alignment vertical="center"/>
    </xf>
    <xf numFmtId="41" fontId="83" fillId="0" borderId="160" xfId="153" applyFont="1" applyBorder="1" applyAlignment="1">
      <alignment horizontal="right" vertical="center"/>
    </xf>
    <xf numFmtId="191" fontId="83" fillId="48" borderId="260" xfId="751" applyNumberFormat="1" applyFont="1" applyFill="1" applyBorder="1" applyAlignment="1">
      <alignment horizontal="center" vertical="center"/>
    </xf>
    <xf numFmtId="41" fontId="83" fillId="0" borderId="260" xfId="153" applyFont="1" applyBorder="1" applyAlignment="1">
      <alignment horizontal="right" vertical="center"/>
    </xf>
    <xf numFmtId="183" fontId="146" fillId="55" borderId="260" xfId="155" applyNumberFormat="1" applyFont="1" applyFill="1" applyBorder="1" applyAlignment="1">
      <alignment horizontal="center" vertical="center"/>
    </xf>
    <xf numFmtId="201" fontId="83" fillId="0" borderId="260" xfId="943" applyNumberFormat="1" applyFont="1" applyBorder="1" applyAlignment="1">
      <alignment horizontal="right"/>
    </xf>
    <xf numFmtId="201" fontId="83" fillId="0" borderId="260" xfId="943" applyNumberFormat="1" applyFont="1" applyBorder="1" applyAlignment="1"/>
    <xf numFmtId="201" fontId="83" fillId="0" borderId="260" xfId="751" applyNumberFormat="1" applyFont="1" applyBorder="1"/>
    <xf numFmtId="41" fontId="83" fillId="0" borderId="260" xfId="149" applyFont="1" applyBorder="1" applyAlignment="1">
      <alignment horizontal="right"/>
    </xf>
    <xf numFmtId="191" fontId="83" fillId="48" borderId="278" xfId="751" applyNumberFormat="1" applyFont="1" applyFill="1" applyBorder="1" applyAlignment="1">
      <alignment horizontal="center" vertical="center"/>
    </xf>
    <xf numFmtId="41" fontId="83" fillId="0" borderId="278" xfId="149" applyFont="1" applyBorder="1" applyAlignment="1">
      <alignment horizontal="right"/>
    </xf>
    <xf numFmtId="0" fontId="75" fillId="2" borderId="8" xfId="0" applyFont="1" applyFill="1" applyBorder="1" applyAlignment="1">
      <alignment horizontal="center" vertical="center"/>
    </xf>
    <xf numFmtId="191" fontId="76" fillId="0" borderId="8" xfId="140" applyNumberFormat="1" applyFont="1" applyBorder="1" applyAlignment="1">
      <alignment vertical="center"/>
    </xf>
    <xf numFmtId="41" fontId="75" fillId="0" borderId="8" xfId="149" applyFont="1" applyBorder="1" applyAlignment="1">
      <alignment horizontal="center" vertical="center"/>
    </xf>
    <xf numFmtId="182" fontId="75" fillId="0" borderId="8" xfId="750" applyNumberFormat="1" applyFont="1" applyBorder="1" applyAlignment="1">
      <alignment vertical="center"/>
    </xf>
    <xf numFmtId="41" fontId="75" fillId="0" borderId="8" xfId="149" applyFont="1" applyBorder="1" applyAlignment="1">
      <alignment vertical="center"/>
    </xf>
    <xf numFmtId="41" fontId="75" fillId="0" borderId="15" xfId="750" applyNumberFormat="1" applyFont="1" applyBorder="1">
      <alignment vertical="center"/>
    </xf>
    <xf numFmtId="41" fontId="75" fillId="0" borderId="8" xfId="1341" applyNumberFormat="1" applyFont="1" applyFill="1" applyBorder="1" applyAlignment="1" applyProtection="1">
      <alignment horizontal="right" vertical="center"/>
      <protection locked="0"/>
    </xf>
    <xf numFmtId="183" fontId="75" fillId="0" borderId="8" xfId="1341" applyNumberFormat="1" applyFont="1" applyBorder="1" applyAlignment="1">
      <alignment horizontal="right" vertical="center"/>
    </xf>
    <xf numFmtId="183" fontId="75" fillId="0" borderId="8" xfId="1341" applyNumberFormat="1" applyFont="1" applyFill="1" applyBorder="1" applyAlignment="1">
      <alignment horizontal="right" vertical="center"/>
    </xf>
    <xf numFmtId="0" fontId="75" fillId="2" borderId="143" xfId="0" applyFont="1" applyFill="1" applyBorder="1" applyAlignment="1">
      <alignment horizontal="center" vertical="center"/>
    </xf>
    <xf numFmtId="41" fontId="76" fillId="0" borderId="143" xfId="149" applyFont="1" applyBorder="1" applyAlignment="1">
      <alignment vertical="center"/>
    </xf>
    <xf numFmtId="191" fontId="76" fillId="0" borderId="143" xfId="140" applyNumberFormat="1" applyFont="1" applyBorder="1" applyAlignment="1">
      <alignment vertical="center"/>
    </xf>
    <xf numFmtId="41" fontId="76" fillId="0" borderId="143" xfId="149" quotePrefix="1" applyFont="1" applyBorder="1" applyAlignment="1">
      <alignment horizontal="right" vertical="center"/>
    </xf>
    <xf numFmtId="41" fontId="75" fillId="0" borderId="143" xfId="149" applyFont="1" applyBorder="1" applyAlignment="1">
      <alignment horizontal="center" vertical="center"/>
    </xf>
    <xf numFmtId="182" fontId="75" fillId="0" borderId="143" xfId="750" applyNumberFormat="1" applyFont="1" applyBorder="1" applyAlignment="1">
      <alignment vertical="center"/>
    </xf>
    <xf numFmtId="41" fontId="75" fillId="0" borderId="143" xfId="149" applyFont="1" applyBorder="1" applyAlignment="1">
      <alignment vertical="center"/>
    </xf>
    <xf numFmtId="41" fontId="75" fillId="0" borderId="144" xfId="750" applyNumberFormat="1" applyFont="1" applyBorder="1">
      <alignment vertical="center"/>
    </xf>
    <xf numFmtId="41" fontId="75" fillId="0" borderId="143" xfId="1341" applyNumberFormat="1" applyFont="1" applyFill="1" applyBorder="1" applyAlignment="1" applyProtection="1">
      <alignment horizontal="right" vertical="center"/>
      <protection locked="0"/>
    </xf>
    <xf numFmtId="183" fontId="75" fillId="0" borderId="143" xfId="1341" applyNumberFormat="1" applyFont="1" applyFill="1" applyBorder="1" applyAlignment="1">
      <alignment horizontal="right" vertical="center"/>
    </xf>
    <xf numFmtId="183" fontId="76" fillId="0" borderId="8" xfId="149" applyNumberFormat="1" applyFont="1" applyBorder="1" applyAlignment="1">
      <alignment vertical="center"/>
    </xf>
    <xf numFmtId="183" fontId="75" fillId="0" borderId="13" xfId="149" applyNumberFormat="1" applyFont="1" applyBorder="1" applyAlignment="1">
      <alignment horizontal="center" vertical="center"/>
    </xf>
    <xf numFmtId="183" fontId="75" fillId="0" borderId="8" xfId="149" applyNumberFormat="1" applyFont="1" applyBorder="1" applyAlignment="1">
      <alignment horizontal="center" vertical="center"/>
    </xf>
    <xf numFmtId="41" fontId="75" fillId="0" borderId="8" xfId="1341" applyNumberFormat="1" applyFont="1" applyFill="1" applyBorder="1" applyAlignment="1">
      <alignment horizontal="right" vertical="center"/>
    </xf>
    <xf numFmtId="244" fontId="76" fillId="0" borderId="8" xfId="140" applyNumberFormat="1" applyFont="1" applyBorder="1" applyAlignment="1">
      <alignment vertical="center"/>
    </xf>
    <xf numFmtId="244" fontId="75" fillId="0" borderId="8" xfId="1341" applyNumberFormat="1" applyFont="1" applyBorder="1" applyAlignment="1">
      <alignment horizontal="right" vertical="center"/>
    </xf>
    <xf numFmtId="41" fontId="75" fillId="14" borderId="15" xfId="750" applyNumberFormat="1" applyFont="1" applyFill="1" applyBorder="1">
      <alignment vertical="center"/>
    </xf>
    <xf numFmtId="0" fontId="156" fillId="50" borderId="8" xfId="0" applyFont="1" applyFill="1" applyBorder="1" applyAlignment="1">
      <alignment horizontal="center" vertical="center"/>
    </xf>
    <xf numFmtId="41" fontId="155" fillId="0" borderId="8" xfId="0" applyNumberFormat="1" applyFont="1" applyBorder="1" applyAlignment="1">
      <alignment horizontal="center" vertical="center"/>
    </xf>
    <xf numFmtId="41" fontId="155" fillId="0" borderId="8" xfId="149" applyFont="1" applyBorder="1" applyAlignment="1">
      <alignment vertical="center"/>
    </xf>
    <xf numFmtId="41" fontId="155" fillId="0" borderId="8" xfId="149" applyFont="1" applyFill="1" applyBorder="1" applyAlignment="1">
      <alignment vertical="center"/>
    </xf>
    <xf numFmtId="41" fontId="155" fillId="0" borderId="8" xfId="149" quotePrefix="1" applyFont="1" applyBorder="1" applyAlignment="1">
      <alignment horizontal="right" vertical="center"/>
    </xf>
    <xf numFmtId="183" fontId="155" fillId="0" borderId="15" xfId="149" quotePrefix="1" applyNumberFormat="1" applyFont="1" applyFill="1" applyBorder="1" applyAlignment="1">
      <alignment horizontal="right" vertical="center"/>
    </xf>
    <xf numFmtId="0" fontId="156" fillId="50" borderId="143" xfId="0" applyFont="1" applyFill="1" applyBorder="1" applyAlignment="1">
      <alignment horizontal="center" vertical="center"/>
    </xf>
    <xf numFmtId="41" fontId="155" fillId="0" borderId="143" xfId="0" applyNumberFormat="1" applyFont="1" applyBorder="1" applyAlignment="1">
      <alignment horizontal="center" vertical="center"/>
    </xf>
    <xf numFmtId="41" fontId="155" fillId="0" borderId="143" xfId="149" applyFont="1" applyBorder="1" applyAlignment="1">
      <alignment vertical="center"/>
    </xf>
    <xf numFmtId="41" fontId="155" fillId="0" borderId="143" xfId="149" applyFont="1" applyFill="1" applyBorder="1" applyAlignment="1">
      <alignment vertical="center"/>
    </xf>
    <xf numFmtId="41" fontId="155" fillId="0" borderId="143" xfId="149" quotePrefix="1" applyFont="1" applyBorder="1" applyAlignment="1">
      <alignment horizontal="right" vertical="center"/>
    </xf>
    <xf numFmtId="183" fontId="155" fillId="0" borderId="144" xfId="149" quotePrefix="1" applyNumberFormat="1" applyFont="1" applyFill="1" applyBorder="1" applyAlignment="1">
      <alignment horizontal="right" vertical="center"/>
    </xf>
    <xf numFmtId="183" fontId="155" fillId="0" borderId="15" xfId="149" quotePrefix="1" applyNumberFormat="1" applyFont="1" applyBorder="1" applyAlignment="1">
      <alignment horizontal="right" vertical="center"/>
    </xf>
    <xf numFmtId="0" fontId="155" fillId="8" borderId="160" xfId="0" applyFont="1" applyFill="1" applyBorder="1" applyAlignment="1">
      <alignment horizontal="center" vertical="center"/>
    </xf>
    <xf numFmtId="0" fontId="155" fillId="8" borderId="160" xfId="0" applyFont="1" applyFill="1" applyBorder="1" applyAlignment="1">
      <alignment horizontal="center" vertical="center" wrapText="1"/>
    </xf>
    <xf numFmtId="183" fontId="155" fillId="14" borderId="144" xfId="149" quotePrefix="1" applyNumberFormat="1" applyFont="1" applyFill="1" applyBorder="1" applyAlignment="1">
      <alignment horizontal="right" vertical="center"/>
    </xf>
    <xf numFmtId="183" fontId="139" fillId="0" borderId="275" xfId="155" applyNumberFormat="1" applyFont="1" applyBorder="1" applyAlignment="1">
      <alignment vertical="center"/>
    </xf>
    <xf numFmtId="0" fontId="81" fillId="0" borderId="275" xfId="0" applyFont="1" applyBorder="1"/>
    <xf numFmtId="0" fontId="76" fillId="0" borderId="285" xfId="0" applyFont="1" applyBorder="1"/>
    <xf numFmtId="0" fontId="76" fillId="0" borderId="287" xfId="0" applyFont="1" applyBorder="1"/>
    <xf numFmtId="183" fontId="139" fillId="0" borderId="278" xfId="155" applyNumberFormat="1" applyFont="1" applyBorder="1" applyAlignment="1">
      <alignment vertical="center"/>
    </xf>
    <xf numFmtId="0" fontId="81" fillId="0" borderId="278" xfId="0" applyFont="1" applyBorder="1"/>
    <xf numFmtId="0" fontId="76" fillId="0" borderId="289" xfId="0" applyFont="1" applyBorder="1"/>
    <xf numFmtId="0" fontId="76" fillId="0" borderId="287" xfId="0" applyFont="1" applyBorder="1" applyAlignment="1">
      <alignment vertical="center"/>
    </xf>
    <xf numFmtId="191" fontId="76" fillId="8" borderId="287" xfId="751" applyNumberFormat="1" applyFont="1" applyFill="1" applyBorder="1" applyAlignment="1">
      <alignment vertical="center"/>
    </xf>
    <xf numFmtId="183" fontId="134" fillId="0" borderId="278" xfId="155" applyNumberFormat="1" applyFont="1" applyBorder="1" applyAlignment="1">
      <alignment vertical="center"/>
    </xf>
    <xf numFmtId="201" fontId="134" fillId="0" borderId="278" xfId="155" applyNumberFormat="1" applyFont="1" applyBorder="1" applyAlignment="1">
      <alignment horizontal="right" vertical="center"/>
    </xf>
    <xf numFmtId="191" fontId="76" fillId="8" borderId="289" xfId="751" applyNumberFormat="1" applyFont="1" applyFill="1" applyBorder="1" applyAlignment="1">
      <alignment vertical="center"/>
    </xf>
    <xf numFmtId="191" fontId="83" fillId="48" borderId="267" xfId="751" applyNumberFormat="1" applyFont="1" applyFill="1" applyBorder="1" applyAlignment="1">
      <alignment horizontal="center" vertical="center"/>
    </xf>
    <xf numFmtId="191" fontId="83" fillId="48" borderId="275" xfId="751" applyNumberFormat="1" applyFont="1" applyFill="1" applyBorder="1" applyAlignment="1">
      <alignment horizontal="center" vertical="center"/>
    </xf>
    <xf numFmtId="41" fontId="83" fillId="0" borderId="275" xfId="153" applyFont="1" applyBorder="1" applyAlignment="1">
      <alignment horizontal="right" vertical="center"/>
    </xf>
    <xf numFmtId="0" fontId="41" fillId="48" borderId="282" xfId="485" applyFont="1" applyFill="1" applyBorder="1" applyAlignment="1">
      <alignment horizontal="center" vertical="center" wrapText="1"/>
    </xf>
    <xf numFmtId="0" fontId="6" fillId="0" borderId="0" xfId="1521">
      <alignment vertical="center"/>
    </xf>
    <xf numFmtId="0" fontId="6" fillId="0" borderId="226" xfId="1521" applyBorder="1" applyAlignment="1">
      <alignment horizontal="center" vertical="center"/>
    </xf>
    <xf numFmtId="0" fontId="6" fillId="0" borderId="240" xfId="1521" applyBorder="1" applyAlignment="1">
      <alignment horizontal="center" vertical="center"/>
    </xf>
    <xf numFmtId="179" fontId="6" fillId="0" borderId="226" xfId="1521" applyNumberFormat="1" applyBorder="1" applyAlignment="1">
      <alignment horizontal="center" vertical="center"/>
    </xf>
    <xf numFmtId="0" fontId="6" fillId="14" borderId="226" xfId="1521" applyFill="1" applyBorder="1" applyAlignment="1">
      <alignment horizontal="center" vertical="center"/>
    </xf>
    <xf numFmtId="179" fontId="6" fillId="14" borderId="226" xfId="1521" applyNumberFormat="1" applyFill="1" applyBorder="1" applyAlignment="1">
      <alignment horizontal="center" vertical="center"/>
    </xf>
    <xf numFmtId="209" fontId="6" fillId="14" borderId="226" xfId="1521" applyNumberFormat="1" applyFill="1" applyBorder="1" applyAlignment="1">
      <alignment horizontal="center" vertical="center"/>
    </xf>
    <xf numFmtId="41" fontId="41" fillId="53" borderId="268" xfId="485" applyNumberFormat="1" applyFont="1" applyFill="1" applyBorder="1" applyAlignment="1">
      <alignment horizontal="center" vertical="center" wrapText="1"/>
    </xf>
    <xf numFmtId="41" fontId="41" fillId="53" borderId="261" xfId="485" applyNumberFormat="1" applyFont="1" applyFill="1" applyBorder="1" applyAlignment="1">
      <alignment horizontal="center" vertical="center" wrapText="1"/>
    </xf>
    <xf numFmtId="41" fontId="140" fillId="53" borderId="264" xfId="153" quotePrefix="1" applyNumberFormat="1" applyFont="1" applyFill="1" applyBorder="1" applyAlignment="1">
      <alignment horizontal="center" vertical="center" wrapText="1"/>
    </xf>
    <xf numFmtId="41" fontId="140" fillId="53" borderId="248" xfId="153" applyNumberFormat="1" applyFont="1" applyFill="1" applyBorder="1" applyAlignment="1">
      <alignment horizontal="center" vertical="center" wrapText="1"/>
    </xf>
    <xf numFmtId="0" fontId="6" fillId="0" borderId="0" xfId="1740">
      <alignment vertical="center"/>
    </xf>
    <xf numFmtId="0" fontId="193" fillId="0" borderId="0" xfId="1740" applyFont="1" applyAlignment="1">
      <alignment horizontal="center" vertical="center"/>
    </xf>
    <xf numFmtId="201" fontId="193" fillId="0" borderId="0" xfId="1740" applyNumberFormat="1" applyFont="1" applyAlignment="1">
      <alignment horizontal="center" vertical="center"/>
    </xf>
    <xf numFmtId="191" fontId="193" fillId="0" borderId="0" xfId="1740" applyNumberFormat="1" applyFont="1" applyAlignment="1">
      <alignment horizontal="center" vertical="center"/>
    </xf>
    <xf numFmtId="252" fontId="193" fillId="0" borderId="0" xfId="1740" applyNumberFormat="1" applyFont="1" applyAlignment="1">
      <alignment horizontal="center" vertical="center"/>
    </xf>
    <xf numFmtId="0" fontId="195" fillId="0" borderId="0" xfId="1740" applyFont="1">
      <alignment vertical="center"/>
    </xf>
    <xf numFmtId="0" fontId="196" fillId="14" borderId="226" xfId="1740" applyFont="1" applyFill="1" applyBorder="1" applyAlignment="1">
      <alignment horizontal="center" vertical="center"/>
    </xf>
    <xf numFmtId="14" fontId="188" fillId="0" borderId="226" xfId="1740" applyNumberFormat="1" applyFont="1" applyBorder="1" applyAlignment="1">
      <alignment horizontal="center" vertical="center"/>
    </xf>
    <xf numFmtId="179" fontId="188" fillId="0" borderId="226" xfId="943" applyNumberFormat="1" applyFont="1" applyBorder="1" applyAlignment="1">
      <alignment horizontal="center" vertical="center"/>
    </xf>
    <xf numFmtId="177" fontId="188" fillId="0" borderId="226" xfId="1740" applyNumberFormat="1" applyFont="1" applyBorder="1" applyAlignment="1">
      <alignment horizontal="center" vertical="center"/>
    </xf>
    <xf numFmtId="253" fontId="188" fillId="0" borderId="226" xfId="1740" applyNumberFormat="1" applyFont="1" applyBorder="1" applyAlignment="1">
      <alignment horizontal="center" vertical="center"/>
    </xf>
    <xf numFmtId="14" fontId="188" fillId="0" borderId="226" xfId="1740" applyNumberFormat="1" applyFont="1" applyFill="1" applyBorder="1" applyAlignment="1">
      <alignment horizontal="center" vertical="center"/>
    </xf>
    <xf numFmtId="0" fontId="188" fillId="14" borderId="226" xfId="1740" applyFont="1" applyFill="1" applyBorder="1" applyAlignment="1">
      <alignment horizontal="center" vertical="center"/>
    </xf>
    <xf numFmtId="179" fontId="188" fillId="14" borderId="226" xfId="1740" applyNumberFormat="1" applyFont="1" applyFill="1" applyBorder="1" applyAlignment="1">
      <alignment horizontal="center" vertical="center"/>
    </xf>
    <xf numFmtId="181" fontId="188" fillId="14" borderId="226" xfId="1740" applyNumberFormat="1" applyFont="1" applyFill="1" applyBorder="1" applyAlignment="1">
      <alignment horizontal="center" vertical="center"/>
    </xf>
    <xf numFmtId="254" fontId="188" fillId="14" borderId="226" xfId="1740" applyNumberFormat="1" applyFont="1" applyFill="1" applyBorder="1" applyAlignment="1">
      <alignment horizontal="center" vertical="center"/>
    </xf>
    <xf numFmtId="0" fontId="6" fillId="0" borderId="227" xfId="1740" applyBorder="1">
      <alignment vertical="center"/>
    </xf>
    <xf numFmtId="14" fontId="197" fillId="14" borderId="226" xfId="1740" applyNumberFormat="1" applyFont="1" applyFill="1" applyBorder="1" applyAlignment="1">
      <alignment horizontal="center" vertical="center"/>
    </xf>
    <xf numFmtId="201" fontId="197" fillId="14" borderId="226" xfId="1740" applyNumberFormat="1" applyFont="1" applyFill="1" applyBorder="1" applyAlignment="1">
      <alignment horizontal="center" vertical="center"/>
    </xf>
    <xf numFmtId="177" fontId="197" fillId="14" borderId="226" xfId="1740" applyNumberFormat="1" applyFont="1" applyFill="1" applyBorder="1" applyAlignment="1">
      <alignment horizontal="center" vertical="center"/>
    </xf>
    <xf numFmtId="253" fontId="197" fillId="14" borderId="226" xfId="1740" applyNumberFormat="1" applyFont="1" applyFill="1" applyBorder="1" applyAlignment="1">
      <alignment horizontal="center" vertical="center"/>
    </xf>
    <xf numFmtId="179" fontId="193" fillId="0" borderId="0" xfId="1740" applyNumberFormat="1" applyFont="1" applyAlignment="1">
      <alignment horizontal="center" vertical="center"/>
    </xf>
    <xf numFmtId="14" fontId="197" fillId="0" borderId="226" xfId="1738" applyNumberFormat="1" applyFont="1" applyFill="1" applyBorder="1" applyAlignment="1">
      <alignment horizontal="center" vertical="center"/>
    </xf>
    <xf numFmtId="201" fontId="197" fillId="0" borderId="226" xfId="1739" applyNumberFormat="1" applyFont="1" applyBorder="1" applyAlignment="1">
      <alignment horizontal="center" vertical="center"/>
    </xf>
    <xf numFmtId="177" fontId="197" fillId="0" borderId="226" xfId="1740" applyNumberFormat="1" applyFont="1" applyBorder="1" applyAlignment="1">
      <alignment horizontal="center" vertical="center"/>
    </xf>
    <xf numFmtId="253" fontId="197" fillId="0" borderId="226" xfId="1740" applyNumberFormat="1" applyFont="1" applyBorder="1" applyAlignment="1">
      <alignment horizontal="center" vertical="center"/>
    </xf>
    <xf numFmtId="201" fontId="197" fillId="0" borderId="226" xfId="1738" applyNumberFormat="1" applyFont="1" applyFill="1" applyBorder="1" applyAlignment="1">
      <alignment horizontal="center" vertical="center"/>
    </xf>
    <xf numFmtId="201" fontId="197" fillId="53" borderId="226" xfId="1738" applyNumberFormat="1" applyFont="1" applyFill="1" applyBorder="1" applyAlignment="1">
      <alignment horizontal="center" vertical="center"/>
    </xf>
    <xf numFmtId="201" fontId="197" fillId="0" borderId="226" xfId="1740" applyNumberFormat="1" applyFont="1" applyBorder="1" applyAlignment="1">
      <alignment horizontal="center" vertical="center"/>
    </xf>
    <xf numFmtId="191" fontId="197" fillId="14" borderId="226" xfId="1740" applyNumberFormat="1" applyFont="1" applyFill="1" applyBorder="1" applyAlignment="1">
      <alignment horizontal="center" vertical="center"/>
    </xf>
    <xf numFmtId="252" fontId="197" fillId="14" borderId="226" xfId="1740" applyNumberFormat="1" applyFont="1" applyFill="1" applyBorder="1" applyAlignment="1">
      <alignment horizontal="center" vertical="center"/>
    </xf>
    <xf numFmtId="191" fontId="197" fillId="0" borderId="226" xfId="1740" applyNumberFormat="1" applyFont="1" applyBorder="1" applyAlignment="1">
      <alignment horizontal="center" vertical="center"/>
    </xf>
    <xf numFmtId="252" fontId="197" fillId="0" borderId="226" xfId="1740" applyNumberFormat="1" applyFont="1" applyBorder="1" applyAlignment="1">
      <alignment horizontal="center" vertical="center"/>
    </xf>
    <xf numFmtId="201" fontId="193" fillId="0" borderId="226" xfId="1740" applyNumberFormat="1" applyFont="1" applyBorder="1" applyAlignment="1">
      <alignment horizontal="center" vertical="center"/>
    </xf>
    <xf numFmtId="177" fontId="193" fillId="0" borderId="226" xfId="1740" applyNumberFormat="1" applyFont="1" applyBorder="1" applyAlignment="1">
      <alignment horizontal="center" vertical="center"/>
    </xf>
    <xf numFmtId="252" fontId="193" fillId="0" borderId="226" xfId="1740" applyNumberFormat="1" applyFont="1" applyBorder="1" applyAlignment="1">
      <alignment horizontal="center" vertical="center"/>
    </xf>
    <xf numFmtId="191" fontId="193" fillId="0" borderId="226" xfId="1740" applyNumberFormat="1" applyFont="1" applyBorder="1" applyAlignment="1">
      <alignment horizontal="center" vertical="center"/>
    </xf>
    <xf numFmtId="201" fontId="188" fillId="0" borderId="226" xfId="1740" applyNumberFormat="1" applyFont="1" applyBorder="1" applyAlignment="1">
      <alignment horizontal="center" vertical="center"/>
    </xf>
    <xf numFmtId="241" fontId="193" fillId="0" borderId="226" xfId="1740" applyNumberFormat="1" applyFont="1" applyBorder="1" applyAlignment="1">
      <alignment horizontal="center" vertical="center"/>
    </xf>
    <xf numFmtId="241" fontId="197" fillId="14" borderId="226" xfId="1740" applyNumberFormat="1" applyFont="1" applyFill="1" applyBorder="1" applyAlignment="1">
      <alignment horizontal="center" vertical="center"/>
    </xf>
    <xf numFmtId="255" fontId="197" fillId="14" borderId="226" xfId="1740" applyNumberFormat="1" applyFont="1" applyFill="1" applyBorder="1" applyAlignment="1">
      <alignment horizontal="center" vertical="center"/>
    </xf>
    <xf numFmtId="14" fontId="198" fillId="14" borderId="226" xfId="1740" applyNumberFormat="1" applyFont="1" applyFill="1" applyBorder="1" applyAlignment="1">
      <alignment horizontal="center" vertical="center"/>
    </xf>
    <xf numFmtId="201" fontId="198" fillId="14" borderId="226" xfId="1740" applyNumberFormat="1" applyFont="1" applyFill="1" applyBorder="1" applyAlignment="1">
      <alignment horizontal="center" vertical="center"/>
    </xf>
    <xf numFmtId="241" fontId="198" fillId="14" borderId="226" xfId="1740" applyNumberFormat="1" applyFont="1" applyFill="1" applyBorder="1" applyAlignment="1">
      <alignment horizontal="center" vertical="center"/>
    </xf>
    <xf numFmtId="255" fontId="198" fillId="14" borderId="226" xfId="1740" applyNumberFormat="1" applyFont="1" applyFill="1" applyBorder="1" applyAlignment="1">
      <alignment horizontal="center" vertical="center"/>
    </xf>
    <xf numFmtId="0" fontId="200" fillId="0" borderId="0" xfId="1741" applyFont="1" applyFill="1" applyBorder="1" applyAlignment="1">
      <alignment horizontal="left" vertical="center"/>
    </xf>
    <xf numFmtId="0" fontId="202" fillId="0" borderId="0" xfId="0" applyFont="1" applyAlignment="1">
      <alignment vertical="center"/>
    </xf>
    <xf numFmtId="0" fontId="203" fillId="0" borderId="0" xfId="1741" applyFont="1" applyFill="1" applyBorder="1" applyAlignment="1">
      <alignment horizontal="left" vertical="center"/>
    </xf>
    <xf numFmtId="0" fontId="200" fillId="0" borderId="0" xfId="0" applyFont="1" applyAlignment="1">
      <alignment vertical="center"/>
    </xf>
    <xf numFmtId="0" fontId="204" fillId="0" borderId="0" xfId="1741" applyFont="1" applyFill="1" applyBorder="1" applyAlignment="1">
      <alignment horizontal="left" vertical="center"/>
    </xf>
    <xf numFmtId="0" fontId="204" fillId="0" borderId="0" xfId="0" quotePrefix="1" applyFont="1" applyAlignment="1">
      <alignment vertical="center"/>
    </xf>
    <xf numFmtId="0" fontId="203" fillId="0" borderId="0" xfId="0" quotePrefix="1" applyFont="1" applyAlignment="1">
      <alignment vertical="center"/>
    </xf>
    <xf numFmtId="0" fontId="204" fillId="0" borderId="226" xfId="0" applyFont="1" applyBorder="1" applyAlignment="1">
      <alignment horizontal="center" vertical="center"/>
    </xf>
    <xf numFmtId="0" fontId="205" fillId="0" borderId="273" xfId="1742" applyFont="1" applyFill="1" applyBorder="1" applyAlignment="1" applyProtection="1">
      <alignment horizontal="center" vertical="center"/>
    </xf>
    <xf numFmtId="0" fontId="205" fillId="0" borderId="43" xfId="1742" applyFont="1" applyFill="1" applyBorder="1" applyAlignment="1" applyProtection="1">
      <alignment horizontal="center" vertical="center"/>
    </xf>
    <xf numFmtId="0" fontId="204" fillId="0" borderId="44" xfId="0" applyFont="1" applyBorder="1" applyAlignment="1">
      <alignment horizontal="center" vertical="center"/>
    </xf>
    <xf numFmtId="0" fontId="204" fillId="0" borderId="274" xfId="0" applyFont="1" applyFill="1" applyBorder="1" applyAlignment="1">
      <alignment horizontal="center" vertical="center" wrapText="1"/>
    </xf>
    <xf numFmtId="181" fontId="204" fillId="0" borderId="271" xfId="0" applyNumberFormat="1" applyFont="1" applyFill="1" applyBorder="1" applyAlignment="1">
      <alignment horizontal="center" vertical="center"/>
    </xf>
    <xf numFmtId="181" fontId="204" fillId="0" borderId="24" xfId="0" applyNumberFormat="1" applyFont="1" applyFill="1" applyBorder="1" applyAlignment="1">
      <alignment horizontal="center" vertical="center"/>
    </xf>
    <xf numFmtId="254" fontId="204" fillId="0" borderId="24" xfId="0" applyNumberFormat="1" applyFont="1" applyFill="1" applyBorder="1" applyAlignment="1">
      <alignment horizontal="center" vertical="center"/>
    </xf>
    <xf numFmtId="0" fontId="204" fillId="0" borderId="25" xfId="0" applyFont="1" applyFill="1" applyBorder="1" applyAlignment="1">
      <alignment horizontal="center" vertical="center"/>
    </xf>
    <xf numFmtId="0" fontId="202" fillId="0" borderId="0" xfId="0" applyFont="1" applyFill="1" applyAlignment="1">
      <alignment vertical="center"/>
    </xf>
    <xf numFmtId="0" fontId="202" fillId="0" borderId="0" xfId="0" applyFont="1" applyFill="1" applyBorder="1" applyAlignment="1">
      <alignment vertical="center"/>
    </xf>
    <xf numFmtId="0" fontId="202" fillId="0" borderId="0" xfId="0" applyFont="1" applyFill="1" applyAlignment="1">
      <alignment horizontal="left" vertical="center"/>
    </xf>
    <xf numFmtId="0" fontId="202" fillId="0" borderId="0" xfId="0" applyFont="1" applyFill="1" applyBorder="1" applyAlignment="1">
      <alignment horizontal="center" vertical="center"/>
    </xf>
    <xf numFmtId="0" fontId="202" fillId="0" borderId="0" xfId="0" applyFont="1" applyBorder="1" applyAlignment="1">
      <alignment vertical="center"/>
    </xf>
    <xf numFmtId="0" fontId="200" fillId="0" borderId="0" xfId="0" applyFont="1" applyBorder="1" applyAlignment="1">
      <alignment vertical="center"/>
    </xf>
    <xf numFmtId="0" fontId="206" fillId="0" borderId="0" xfId="0" applyFont="1" applyBorder="1" applyAlignment="1">
      <alignment horizontal="center" wrapText="1"/>
    </xf>
    <xf numFmtId="0" fontId="205" fillId="0" borderId="44" xfId="1742" applyFont="1" applyFill="1" applyBorder="1" applyAlignment="1" applyProtection="1">
      <alignment horizontal="center" vertical="center"/>
    </xf>
    <xf numFmtId="0" fontId="208" fillId="0" borderId="0" xfId="0" applyFont="1" applyBorder="1" applyAlignment="1">
      <alignment horizontal="center" wrapText="1"/>
    </xf>
    <xf numFmtId="41" fontId="205" fillId="0" borderId="162" xfId="1742" applyNumberFormat="1" applyFont="1" applyFill="1" applyBorder="1" applyAlignment="1" applyProtection="1">
      <alignment horizontal="center" vertical="center"/>
    </xf>
    <xf numFmtId="41" fontId="205" fillId="0" borderId="196" xfId="1742" applyNumberFormat="1" applyFont="1" applyFill="1" applyBorder="1" applyAlignment="1" applyProtection="1">
      <alignment horizontal="center" vertical="center"/>
    </xf>
    <xf numFmtId="0" fontId="205" fillId="0" borderId="45" xfId="1742" applyFont="1" applyFill="1" applyBorder="1" applyAlignment="1" applyProtection="1">
      <alignment horizontal="center" vertical="center"/>
    </xf>
    <xf numFmtId="0" fontId="204" fillId="0" borderId="230" xfId="1743" applyFont="1" applyFill="1" applyBorder="1" applyAlignment="1">
      <alignment horizontal="center" vertical="center"/>
    </xf>
    <xf numFmtId="177" fontId="204" fillId="0" borderId="244" xfId="1743" applyNumberFormat="1" applyFont="1" applyFill="1" applyBorder="1">
      <alignment vertical="center"/>
    </xf>
    <xf numFmtId="177" fontId="204" fillId="0" borderId="8" xfId="1743" applyNumberFormat="1" applyFont="1" applyFill="1" applyBorder="1">
      <alignment vertical="center"/>
    </xf>
    <xf numFmtId="253" fontId="204" fillId="0" borderId="244" xfId="1743" applyNumberFormat="1" applyFont="1" applyFill="1" applyBorder="1">
      <alignment vertical="center"/>
    </xf>
    <xf numFmtId="253" fontId="204" fillId="0" borderId="8" xfId="1743" applyNumberFormat="1" applyFont="1" applyFill="1" applyBorder="1">
      <alignment vertical="center"/>
    </xf>
    <xf numFmtId="0" fontId="204" fillId="0" borderId="234" xfId="1743" applyFont="1" applyFill="1" applyBorder="1" applyAlignment="1">
      <alignment horizontal="center" vertical="center"/>
    </xf>
    <xf numFmtId="253" fontId="204" fillId="0" borderId="272" xfId="1743" applyNumberFormat="1" applyFont="1" applyFill="1" applyBorder="1">
      <alignment vertical="center"/>
    </xf>
    <xf numFmtId="253" fontId="204" fillId="0" borderId="233" xfId="1743" applyNumberFormat="1" applyFont="1" applyFill="1" applyBorder="1">
      <alignment vertical="center"/>
    </xf>
    <xf numFmtId="0" fontId="52" fillId="0" borderId="0" xfId="0" applyFont="1"/>
    <xf numFmtId="0" fontId="52" fillId="0" borderId="4" xfId="0" applyFont="1" applyBorder="1" applyAlignment="1">
      <alignment horizontal="center" vertical="center"/>
    </xf>
    <xf numFmtId="183" fontId="52" fillId="0" borderId="4" xfId="149" applyNumberFormat="1" applyFont="1" applyBorder="1" applyAlignment="1">
      <alignment vertical="center"/>
    </xf>
    <xf numFmtId="0" fontId="211" fillId="0" borderId="4" xfId="0" applyFont="1" applyBorder="1" applyAlignment="1">
      <alignment horizontal="center" vertical="center"/>
    </xf>
    <xf numFmtId="183" fontId="211" fillId="0" borderId="4" xfId="149" applyNumberFormat="1" applyFont="1" applyBorder="1" applyAlignment="1">
      <alignment vertical="center"/>
    </xf>
    <xf numFmtId="0" fontId="212" fillId="0" borderId="4" xfId="0" applyFont="1" applyBorder="1" applyAlignment="1">
      <alignment horizontal="center" vertical="center"/>
    </xf>
    <xf numFmtId="183" fontId="212" fillId="0" borderId="4" xfId="0" applyNumberFormat="1" applyFont="1" applyBorder="1" applyAlignment="1">
      <alignment vertical="center"/>
    </xf>
    <xf numFmtId="0" fontId="52" fillId="0" borderId="0" xfId="0" applyFont="1" applyAlignment="1">
      <alignment vertical="center"/>
    </xf>
    <xf numFmtId="43" fontId="52" fillId="0" borderId="0" xfId="0" applyNumberFormat="1" applyFont="1" applyAlignment="1">
      <alignment vertical="center"/>
    </xf>
    <xf numFmtId="193" fontId="83" fillId="55" borderId="260" xfId="751" applyNumberFormat="1" applyFont="1" applyFill="1" applyBorder="1" applyAlignment="1">
      <alignment horizontal="center" vertical="center"/>
    </xf>
    <xf numFmtId="193" fontId="83" fillId="55" borderId="275" xfId="751" applyNumberFormat="1" applyFont="1" applyFill="1" applyBorder="1" applyAlignment="1">
      <alignment horizontal="center" vertical="center"/>
    </xf>
    <xf numFmtId="193" fontId="84" fillId="55" borderId="1" xfId="751" applyNumberFormat="1" applyFont="1" applyFill="1" applyBorder="1" applyAlignment="1">
      <alignment horizontal="center" vertical="center" wrapText="1"/>
    </xf>
    <xf numFmtId="0" fontId="134" fillId="15" borderId="260" xfId="182" applyFont="1" applyFill="1" applyBorder="1" applyAlignment="1">
      <alignment horizontal="center" vertical="center"/>
    </xf>
    <xf numFmtId="0" fontId="148" fillId="15" borderId="8" xfId="0" applyFont="1" applyFill="1" applyBorder="1" applyAlignment="1">
      <alignment horizontal="center" vertical="center" wrapText="1"/>
    </xf>
    <xf numFmtId="201" fontId="66" fillId="2" borderId="4" xfId="188" applyNumberFormat="1" applyFont="1" applyFill="1" applyBorder="1" applyAlignment="1">
      <alignment horizontal="center" vertical="center" wrapText="1"/>
    </xf>
    <xf numFmtId="0" fontId="99" fillId="15" borderId="260" xfId="182" applyFont="1" applyFill="1" applyBorder="1" applyAlignment="1">
      <alignment horizontal="center" vertical="center"/>
    </xf>
    <xf numFmtId="3" fontId="84" fillId="0" borderId="0" xfId="0" applyNumberFormat="1" applyFont="1"/>
    <xf numFmtId="41" fontId="0" fillId="0" borderId="0" xfId="0" applyNumberFormat="1" applyAlignment="1">
      <alignment shrinkToFit="1"/>
    </xf>
    <xf numFmtId="0" fontId="0" fillId="0" borderId="0" xfId="0" applyAlignment="1">
      <alignment shrinkToFit="1"/>
    </xf>
    <xf numFmtId="43" fontId="0" fillId="0" borderId="0" xfId="0" applyNumberFormat="1" applyAlignment="1">
      <alignment shrinkToFit="1"/>
    </xf>
    <xf numFmtId="43" fontId="0" fillId="0" borderId="0" xfId="0" applyNumberFormat="1"/>
    <xf numFmtId="9" fontId="83" fillId="0" borderId="260" xfId="140" applyFont="1" applyBorder="1" applyAlignment="1">
      <alignment horizontal="center" vertical="center"/>
    </xf>
    <xf numFmtId="9" fontId="83" fillId="0" borderId="264" xfId="140" applyFont="1" applyBorder="1" applyAlignment="1">
      <alignment horizontal="center" vertical="center"/>
    </xf>
    <xf numFmtId="193" fontId="83" fillId="55" borderId="260" xfId="751" applyNumberFormat="1" applyFont="1" applyFill="1" applyBorder="1" applyAlignment="1">
      <alignment horizontal="center" vertical="center"/>
    </xf>
    <xf numFmtId="0" fontId="83" fillId="0" borderId="261" xfId="751" applyFont="1" applyBorder="1" applyAlignment="1">
      <alignment horizontal="center" vertical="center"/>
    </xf>
    <xf numFmtId="0" fontId="83" fillId="0" borderId="45" xfId="751" applyFont="1" applyBorder="1" applyAlignment="1">
      <alignment horizontal="center" vertical="center"/>
    </xf>
    <xf numFmtId="193" fontId="83" fillId="55" borderId="278" xfId="751" applyNumberFormat="1" applyFont="1" applyFill="1" applyBorder="1" applyAlignment="1">
      <alignment horizontal="center" vertical="center"/>
    </xf>
    <xf numFmtId="0" fontId="83" fillId="0" borderId="179" xfId="751" applyFont="1" applyBorder="1" applyAlignment="1">
      <alignment horizontal="center" vertical="center"/>
    </xf>
    <xf numFmtId="0" fontId="139" fillId="15" borderId="260" xfId="182" applyFont="1" applyFill="1" applyBorder="1" applyAlignment="1">
      <alignment horizontal="center" vertical="center"/>
    </xf>
    <xf numFmtId="0" fontId="99" fillId="0" borderId="255" xfId="182" applyFont="1" applyFill="1" applyBorder="1" applyAlignment="1">
      <alignment horizontal="center" vertical="center"/>
    </xf>
    <xf numFmtId="201" fontId="146" fillId="0" borderId="255" xfId="155" applyNumberFormat="1" applyFont="1" applyBorder="1" applyAlignment="1">
      <alignment horizontal="right" vertical="center"/>
    </xf>
    <xf numFmtId="0" fontId="99" fillId="0" borderId="248" xfId="182" applyFont="1" applyFill="1" applyBorder="1" applyAlignment="1">
      <alignment horizontal="center" vertical="center"/>
    </xf>
    <xf numFmtId="201" fontId="139" fillId="0" borderId="248" xfId="155" applyNumberFormat="1" applyFont="1" applyFill="1" applyBorder="1" applyAlignment="1">
      <alignment horizontal="right" vertical="center"/>
    </xf>
    <xf numFmtId="201" fontId="139" fillId="0" borderId="260" xfId="155" applyNumberFormat="1" applyFont="1" applyFill="1" applyBorder="1" applyAlignment="1">
      <alignment horizontal="right" vertical="center"/>
    </xf>
    <xf numFmtId="201" fontId="139" fillId="0" borderId="264" xfId="155" applyNumberFormat="1" applyFont="1" applyFill="1" applyBorder="1" applyAlignment="1">
      <alignment horizontal="right" vertical="center"/>
    </xf>
    <xf numFmtId="193" fontId="83" fillId="55" borderId="248" xfId="751" applyNumberFormat="1" applyFont="1" applyFill="1" applyBorder="1" applyAlignment="1">
      <alignment horizontal="center" vertical="center"/>
    </xf>
    <xf numFmtId="191" fontId="83" fillId="48" borderId="248" xfId="751" applyNumberFormat="1" applyFont="1" applyFill="1" applyBorder="1" applyAlignment="1">
      <alignment horizontal="center" vertical="center"/>
    </xf>
    <xf numFmtId="41" fontId="83" fillId="0" borderId="248" xfId="153" applyFont="1" applyBorder="1" applyAlignment="1">
      <alignment horizontal="right" vertical="center"/>
    </xf>
    <xf numFmtId="0" fontId="83" fillId="0" borderId="258" xfId="751" applyFont="1" applyBorder="1" applyAlignment="1">
      <alignment horizontal="center" vertical="center"/>
    </xf>
    <xf numFmtId="193" fontId="83" fillId="55" borderId="264" xfId="751" applyNumberFormat="1" applyFont="1" applyFill="1" applyBorder="1" applyAlignment="1">
      <alignment horizontal="center" vertical="center"/>
    </xf>
    <xf numFmtId="191" fontId="83" fillId="48" borderId="264" xfId="751" applyNumberFormat="1" applyFont="1" applyFill="1" applyBorder="1" applyAlignment="1">
      <alignment horizontal="center" vertical="center"/>
    </xf>
    <xf numFmtId="41" fontId="83" fillId="0" borderId="264" xfId="153" applyFont="1" applyBorder="1" applyAlignment="1">
      <alignment horizontal="right" vertical="center"/>
    </xf>
    <xf numFmtId="0" fontId="83" fillId="0" borderId="265" xfId="751" applyFont="1" applyBorder="1" applyAlignment="1">
      <alignment horizontal="center" vertical="center"/>
    </xf>
    <xf numFmtId="191" fontId="83" fillId="48" borderId="178" xfId="751" applyNumberFormat="1" applyFont="1" applyFill="1" applyBorder="1" applyAlignment="1">
      <alignment horizontal="center" vertical="center"/>
    </xf>
    <xf numFmtId="184" fontId="83" fillId="0" borderId="178" xfId="153" applyNumberFormat="1" applyFont="1" applyBorder="1" applyAlignment="1">
      <alignment horizontal="right" vertical="center"/>
    </xf>
    <xf numFmtId="41" fontId="83" fillId="0" borderId="196" xfId="153" applyFont="1" applyBorder="1" applyAlignment="1">
      <alignment horizontal="right" vertical="center"/>
    </xf>
    <xf numFmtId="243" fontId="84" fillId="15" borderId="290" xfId="751" applyNumberFormat="1" applyFont="1" applyFill="1" applyBorder="1" applyAlignment="1">
      <alignment horizontal="center" vertical="center"/>
    </xf>
    <xf numFmtId="0" fontId="84" fillId="15" borderId="290" xfId="751" applyNumberFormat="1" applyFont="1" applyFill="1" applyBorder="1" applyAlignment="1">
      <alignment horizontal="center" vertical="center"/>
    </xf>
    <xf numFmtId="41" fontId="84" fillId="15" borderId="290" xfId="943" applyFont="1" applyFill="1" applyBorder="1" applyAlignment="1">
      <alignment horizontal="center" vertical="center"/>
    </xf>
    <xf numFmtId="0" fontId="84" fillId="15" borderId="270" xfId="751" applyFont="1" applyFill="1" applyBorder="1" applyAlignment="1">
      <alignment horizontal="center" vertical="center"/>
    </xf>
    <xf numFmtId="184" fontId="83" fillId="0" borderId="196" xfId="153" applyNumberFormat="1" applyFont="1" applyBorder="1" applyAlignment="1">
      <alignment horizontal="right" vertical="center"/>
    </xf>
    <xf numFmtId="193" fontId="84" fillId="55" borderId="177" xfId="751" applyNumberFormat="1" applyFont="1" applyFill="1" applyBorder="1" applyAlignment="1">
      <alignment horizontal="center" vertical="center" wrapText="1"/>
    </xf>
    <xf numFmtId="193" fontId="83" fillId="55" borderId="255" xfId="751" applyNumberFormat="1" applyFont="1" applyFill="1" applyBorder="1" applyAlignment="1">
      <alignment horizontal="center" vertical="center"/>
    </xf>
    <xf numFmtId="41" fontId="83" fillId="0" borderId="178" xfId="153" applyFont="1" applyBorder="1" applyAlignment="1">
      <alignment horizontal="right" vertical="center"/>
    </xf>
    <xf numFmtId="191" fontId="83" fillId="48" borderId="255" xfId="751" applyNumberFormat="1" applyFont="1" applyFill="1" applyBorder="1" applyAlignment="1">
      <alignment horizontal="center" vertical="center"/>
    </xf>
    <xf numFmtId="201" fontId="83" fillId="0" borderId="264" xfId="943" applyNumberFormat="1" applyFont="1" applyBorder="1" applyAlignment="1">
      <alignment horizontal="right"/>
    </xf>
    <xf numFmtId="201" fontId="83" fillId="0" borderId="255" xfId="943" applyNumberFormat="1" applyFont="1" applyBorder="1" applyAlignment="1"/>
    <xf numFmtId="41" fontId="83" fillId="0" borderId="267" xfId="149" applyFont="1" applyBorder="1" applyAlignment="1">
      <alignment horizontal="right"/>
    </xf>
    <xf numFmtId="201" fontId="83" fillId="0" borderId="275" xfId="943" applyNumberFormat="1" applyFont="1" applyBorder="1" applyAlignment="1">
      <alignment horizontal="right"/>
    </xf>
    <xf numFmtId="41" fontId="83" fillId="0" borderId="275" xfId="149" applyFont="1" applyBorder="1" applyAlignment="1">
      <alignment horizontal="right"/>
    </xf>
    <xf numFmtId="41" fontId="83" fillId="0" borderId="275" xfId="151" applyFont="1" applyBorder="1" applyAlignment="1">
      <alignment horizontal="right"/>
    </xf>
    <xf numFmtId="41" fontId="83" fillId="0" borderId="260" xfId="151" applyFont="1" applyBorder="1" applyAlignment="1">
      <alignment horizontal="right"/>
    </xf>
    <xf numFmtId="0" fontId="148" fillId="15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horizontal="center" vertical="center"/>
    </xf>
    <xf numFmtId="1" fontId="84" fillId="0" borderId="0" xfId="0" applyNumberFormat="1" applyFont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0" fontId="99" fillId="15" borderId="258" xfId="182" applyFont="1" applyFill="1" applyBorder="1" applyAlignment="1">
      <alignment horizontal="center" vertical="center"/>
    </xf>
    <xf numFmtId="0" fontId="86" fillId="0" borderId="0" xfId="182" applyFont="1" applyFill="1" applyAlignment="1">
      <alignment horizontal="left" vertical="center"/>
    </xf>
    <xf numFmtId="0" fontId="146" fillId="0" borderId="0" xfId="182" applyFont="1" applyFill="1">
      <alignment vertical="center"/>
    </xf>
    <xf numFmtId="41" fontId="41" fillId="0" borderId="27" xfId="750" applyNumberFormat="1" applyFont="1" applyBorder="1" applyAlignment="1">
      <alignment horizontal="center" vertical="center"/>
    </xf>
    <xf numFmtId="41" fontId="83" fillId="0" borderId="174" xfId="0" applyNumberFormat="1" applyFont="1" applyBorder="1" applyAlignment="1">
      <alignment horizontal="center" vertical="center"/>
    </xf>
    <xf numFmtId="0" fontId="144" fillId="0" borderId="260" xfId="215" applyFont="1" applyBorder="1" applyAlignment="1">
      <alignment horizontal="center" vertical="center"/>
    </xf>
    <xf numFmtId="41" fontId="75" fillId="0" borderId="256" xfId="1341" applyNumberFormat="1" applyFont="1" applyFill="1" applyBorder="1" applyAlignment="1" applyProtection="1">
      <alignment horizontal="right" vertical="center"/>
      <protection locked="0"/>
    </xf>
    <xf numFmtId="183" fontId="75" fillId="0" borderId="256" xfId="1341" applyNumberFormat="1" applyFont="1" applyFill="1" applyBorder="1" applyAlignment="1">
      <alignment horizontal="right" vertical="center"/>
    </xf>
    <xf numFmtId="41" fontId="75" fillId="0" borderId="257" xfId="750" applyNumberFormat="1" applyFont="1" applyBorder="1">
      <alignment vertical="center"/>
    </xf>
    <xf numFmtId="41" fontId="75" fillId="0" borderId="0" xfId="1341" applyNumberFormat="1" applyFont="1" applyFill="1" applyBorder="1" applyAlignment="1" applyProtection="1">
      <alignment horizontal="right" vertical="center"/>
      <protection locked="0"/>
    </xf>
    <xf numFmtId="41" fontId="41" fillId="0" borderId="0" xfId="750" applyNumberFormat="1" applyFont="1" applyBorder="1" applyAlignment="1">
      <alignment horizontal="center" vertical="center"/>
    </xf>
    <xf numFmtId="0" fontId="75" fillId="2" borderId="248" xfId="0" applyFont="1" applyFill="1" applyBorder="1" applyAlignment="1">
      <alignment horizontal="center" vertical="center"/>
    </xf>
    <xf numFmtId="0" fontId="75" fillId="2" borderId="260" xfId="0" applyFont="1" applyFill="1" applyBorder="1" applyAlignment="1">
      <alignment horizontal="center" vertical="center"/>
    </xf>
    <xf numFmtId="0" fontId="75" fillId="2" borderId="264" xfId="0" applyFont="1" applyFill="1" applyBorder="1" applyAlignment="1">
      <alignment horizontal="center" vertical="center"/>
    </xf>
    <xf numFmtId="0" fontId="75" fillId="2" borderId="267" xfId="0" applyFont="1" applyFill="1" applyBorder="1" applyAlignment="1">
      <alignment horizontal="center" vertical="center"/>
    </xf>
    <xf numFmtId="0" fontId="75" fillId="2" borderId="255" xfId="0" applyFont="1" applyFill="1" applyBorder="1" applyAlignment="1">
      <alignment horizontal="center" vertical="center"/>
    </xf>
    <xf numFmtId="183" fontId="75" fillId="0" borderId="248" xfId="1341" applyNumberFormat="1" applyFont="1" applyFill="1" applyBorder="1" applyAlignment="1">
      <alignment horizontal="right" vertical="center"/>
    </xf>
    <xf numFmtId="191" fontId="76" fillId="0" borderId="267" xfId="140" applyNumberFormat="1" applyFont="1" applyBorder="1" applyAlignment="1">
      <alignment vertical="center"/>
    </xf>
    <xf numFmtId="191" fontId="76" fillId="0" borderId="260" xfId="140" applyNumberFormat="1" applyFont="1" applyBorder="1" applyAlignment="1">
      <alignment vertical="center"/>
    </xf>
    <xf numFmtId="191" fontId="76" fillId="0" borderId="248" xfId="140" applyNumberFormat="1" applyFont="1" applyBorder="1" applyAlignment="1">
      <alignment vertical="center"/>
    </xf>
    <xf numFmtId="193" fontId="83" fillId="55" borderId="286" xfId="751" applyNumberFormat="1" applyFont="1" applyFill="1" applyBorder="1" applyAlignment="1">
      <alignment horizontal="center" vertical="center" wrapText="1"/>
    </xf>
    <xf numFmtId="193" fontId="83" fillId="55" borderId="288" xfId="751" applyNumberFormat="1" applyFont="1" applyFill="1" applyBorder="1" applyAlignment="1">
      <alignment horizontal="center" vertical="center" wrapText="1"/>
    </xf>
    <xf numFmtId="41" fontId="63" fillId="53" borderId="267" xfId="485" applyNumberFormat="1" applyFont="1" applyFill="1" applyBorder="1" applyAlignment="1">
      <alignment horizontal="center" vertical="center" wrapText="1"/>
    </xf>
    <xf numFmtId="183" fontId="41" fillId="53" borderId="267" xfId="153" applyNumberFormat="1" applyFont="1" applyFill="1" applyBorder="1" applyAlignment="1">
      <alignment horizontal="center" vertical="center" wrapText="1"/>
    </xf>
    <xf numFmtId="9" fontId="41" fillId="53" borderId="267" xfId="485" applyNumberFormat="1" applyFont="1" applyFill="1" applyBorder="1" applyAlignment="1">
      <alignment horizontal="center" vertical="center" wrapText="1"/>
    </xf>
    <xf numFmtId="176" fontId="41" fillId="53" borderId="267" xfId="485" applyNumberFormat="1" applyFont="1" applyFill="1" applyBorder="1" applyAlignment="1">
      <alignment horizontal="center" vertical="center" wrapText="1"/>
    </xf>
    <xf numFmtId="0" fontId="41" fillId="48" borderId="303" xfId="485" quotePrefix="1" applyFont="1" applyFill="1" applyBorder="1" applyAlignment="1">
      <alignment horizontal="center" vertical="center" wrapText="1"/>
    </xf>
    <xf numFmtId="0" fontId="41" fillId="48" borderId="304" xfId="485" applyFont="1" applyFill="1" applyBorder="1" applyAlignment="1">
      <alignment horizontal="center" vertical="center" wrapText="1"/>
    </xf>
    <xf numFmtId="0" fontId="69" fillId="0" borderId="0" xfId="1800" applyFont="1" applyAlignment="1">
      <alignment horizontal="center" vertical="center"/>
    </xf>
    <xf numFmtId="259" fontId="73" fillId="0" borderId="0" xfId="1801" applyNumberFormat="1" applyFont="1" applyAlignment="1">
      <alignment horizontal="center" vertical="center"/>
    </xf>
    <xf numFmtId="0" fontId="69" fillId="0" borderId="0" xfId="1800" applyFont="1">
      <alignment vertical="center"/>
    </xf>
    <xf numFmtId="0" fontId="69" fillId="0" borderId="247" xfId="1800" applyFont="1" applyFill="1" applyBorder="1" applyAlignment="1">
      <alignment horizontal="center" vertical="center"/>
    </xf>
    <xf numFmtId="259" fontId="73" fillId="0" borderId="248" xfId="1801" applyNumberFormat="1" applyFont="1" applyFill="1" applyBorder="1" applyAlignment="1">
      <alignment horizontal="center" vertical="center"/>
    </xf>
    <xf numFmtId="0" fontId="69" fillId="0" borderId="258" xfId="1800" applyFont="1" applyFill="1" applyBorder="1" applyAlignment="1">
      <alignment horizontal="center" vertical="center"/>
    </xf>
    <xf numFmtId="260" fontId="69" fillId="0" borderId="259" xfId="1800" applyNumberFormat="1" applyFont="1" applyFill="1" applyBorder="1" applyAlignment="1">
      <alignment horizontal="center" vertical="center"/>
    </xf>
    <xf numFmtId="259" fontId="73" fillId="0" borderId="260" xfId="1801" applyNumberFormat="1" applyFont="1" applyFill="1" applyBorder="1" applyAlignment="1">
      <alignment horizontal="center" vertical="center"/>
    </xf>
    <xf numFmtId="259" fontId="69" fillId="0" borderId="261" xfId="1800" applyNumberFormat="1" applyFont="1" applyFill="1" applyBorder="1" applyAlignment="1">
      <alignment horizontal="center" vertical="center"/>
    </xf>
    <xf numFmtId="259" fontId="69" fillId="0" borderId="265" xfId="1800" applyNumberFormat="1" applyFont="1" applyFill="1" applyBorder="1" applyAlignment="1">
      <alignment horizontal="center" vertical="center"/>
    </xf>
    <xf numFmtId="0" fontId="73" fillId="0" borderId="0" xfId="1350" applyFont="1" applyAlignment="1">
      <alignment horizontal="left" vertical="center"/>
    </xf>
    <xf numFmtId="0" fontId="73" fillId="0" borderId="0" xfId="1350" applyFont="1" applyAlignment="1">
      <alignment horizontal="center" vertical="center"/>
    </xf>
    <xf numFmtId="0" fontId="73" fillId="15" borderId="306" xfId="1350" applyFont="1" applyFill="1" applyBorder="1" applyAlignment="1">
      <alignment horizontal="center" vertical="center"/>
    </xf>
    <xf numFmtId="0" fontId="73" fillId="0" borderId="203" xfId="1350" applyFont="1" applyBorder="1" applyAlignment="1">
      <alignment horizontal="left" vertical="center"/>
    </xf>
    <xf numFmtId="244" fontId="73" fillId="0" borderId="196" xfId="1350" applyNumberFormat="1" applyFont="1" applyBorder="1" applyAlignment="1">
      <alignment horizontal="center" vertical="center"/>
    </xf>
    <xf numFmtId="244" fontId="73" fillId="0" borderId="8" xfId="1350" applyNumberFormat="1" applyFont="1" applyBorder="1" applyAlignment="1">
      <alignment horizontal="center" vertical="center"/>
    </xf>
    <xf numFmtId="2" fontId="73" fillId="0" borderId="196" xfId="1350" applyNumberFormat="1" applyFont="1" applyBorder="1" applyAlignment="1">
      <alignment horizontal="center" vertical="center"/>
    </xf>
    <xf numFmtId="0" fontId="73" fillId="0" borderId="45" xfId="1350" applyFont="1" applyBorder="1" applyAlignment="1">
      <alignment horizontal="center" vertical="center"/>
    </xf>
    <xf numFmtId="0" fontId="73" fillId="0" borderId="231" xfId="1350" applyFont="1" applyBorder="1" applyAlignment="1">
      <alignment horizontal="left" vertical="center"/>
    </xf>
    <xf numFmtId="2" fontId="73" fillId="0" borderId="8" xfId="1350" applyNumberFormat="1" applyFont="1" applyBorder="1" applyAlignment="1">
      <alignment horizontal="center" vertical="center"/>
    </xf>
    <xf numFmtId="0" fontId="73" fillId="0" borderId="174" xfId="1350" applyFont="1" applyBorder="1" applyAlignment="1">
      <alignment horizontal="center" vertical="center"/>
    </xf>
    <xf numFmtId="0" fontId="73" fillId="0" borderId="232" xfId="1350" applyFont="1" applyBorder="1" applyAlignment="1">
      <alignment horizontal="left" vertical="center"/>
    </xf>
    <xf numFmtId="244" fontId="73" fillId="0" borderId="233" xfId="1350" applyNumberFormat="1" applyFont="1" applyBorder="1" applyAlignment="1">
      <alignment horizontal="center" vertical="center"/>
    </xf>
    <xf numFmtId="2" fontId="73" fillId="0" borderId="233" xfId="1350" applyNumberFormat="1" applyFont="1" applyBorder="1" applyAlignment="1">
      <alignment horizontal="center" vertical="center"/>
    </xf>
    <xf numFmtId="0" fontId="73" fillId="0" borderId="234" xfId="1350" applyFont="1" applyBorder="1" applyAlignment="1">
      <alignment horizontal="center" vertical="center"/>
    </xf>
    <xf numFmtId="0" fontId="69" fillId="0" borderId="231" xfId="1350" quotePrefix="1" applyFont="1" applyBorder="1" applyAlignment="1">
      <alignment horizontal="center" vertical="center"/>
    </xf>
    <xf numFmtId="247" fontId="69" fillId="0" borderId="8" xfId="1350" applyNumberFormat="1" applyFont="1" applyBorder="1" applyAlignment="1">
      <alignment horizontal="center" vertical="center"/>
    </xf>
    <xf numFmtId="250" fontId="69" fillId="0" borderId="8" xfId="1350" applyNumberFormat="1" applyFont="1" applyBorder="1" applyAlignment="1">
      <alignment horizontal="center" vertical="center"/>
    </xf>
    <xf numFmtId="0" fontId="69" fillId="0" borderId="174" xfId="1350" quotePrefix="1" applyFont="1" applyBorder="1" applyAlignment="1">
      <alignment horizontal="center" vertical="center"/>
    </xf>
    <xf numFmtId="0" fontId="116" fillId="0" borderId="232" xfId="1350" applyFont="1" applyBorder="1" applyAlignment="1">
      <alignment horizontal="center" vertical="center"/>
    </xf>
    <xf numFmtId="247" fontId="116" fillId="0" borderId="233" xfId="1350" applyNumberFormat="1" applyFont="1" applyBorder="1" applyAlignment="1">
      <alignment horizontal="center" vertical="center"/>
    </xf>
    <xf numFmtId="0" fontId="116" fillId="0" borderId="234" xfId="1350" applyFont="1" applyBorder="1" applyAlignment="1">
      <alignment horizontal="center" vertical="center"/>
    </xf>
    <xf numFmtId="0" fontId="223" fillId="68" borderId="310" xfId="0" applyFont="1" applyFill="1" applyBorder="1" applyAlignment="1">
      <alignment horizontal="center" vertical="center" wrapText="1"/>
    </xf>
    <xf numFmtId="0" fontId="176" fillId="68" borderId="311" xfId="0" applyFont="1" applyFill="1" applyBorder="1" applyAlignment="1">
      <alignment horizontal="center" vertical="center" wrapText="1"/>
    </xf>
    <xf numFmtId="0" fontId="224" fillId="60" borderId="312" xfId="0" applyFont="1" applyFill="1" applyBorder="1" applyAlignment="1">
      <alignment horizontal="center" vertical="center" wrapText="1"/>
    </xf>
    <xf numFmtId="0" fontId="224" fillId="60" borderId="313" xfId="0" applyFont="1" applyFill="1" applyBorder="1" applyAlignment="1">
      <alignment horizontal="center" vertical="center" wrapText="1"/>
    </xf>
    <xf numFmtId="0" fontId="225" fillId="0" borderId="313" xfId="0" applyFont="1" applyBorder="1" applyAlignment="1">
      <alignment horizontal="center" vertical="center" wrapText="1"/>
    </xf>
    <xf numFmtId="0" fontId="225" fillId="0" borderId="314" xfId="0" applyFont="1" applyBorder="1" applyAlignment="1">
      <alignment horizontal="center" vertical="center" wrapText="1"/>
    </xf>
    <xf numFmtId="0" fontId="224" fillId="60" borderId="315" xfId="0" applyFont="1" applyFill="1" applyBorder="1" applyAlignment="1">
      <alignment horizontal="center" vertical="center" wrapText="1"/>
    </xf>
    <xf numFmtId="0" fontId="225" fillId="60" borderId="316" xfId="0" applyFont="1" applyFill="1" applyBorder="1" applyAlignment="1">
      <alignment horizontal="center" vertical="center" wrapText="1"/>
    </xf>
    <xf numFmtId="4" fontId="225" fillId="0" borderId="316" xfId="0" applyNumberFormat="1" applyFont="1" applyBorder="1" applyAlignment="1">
      <alignment horizontal="center" vertical="center" wrapText="1"/>
    </xf>
    <xf numFmtId="0" fontId="225" fillId="0" borderId="316" xfId="0" applyFont="1" applyBorder="1" applyAlignment="1">
      <alignment horizontal="center" vertical="center" wrapText="1"/>
    </xf>
    <xf numFmtId="0" fontId="225" fillId="0" borderId="317" xfId="0" applyFont="1" applyBorder="1" applyAlignment="1">
      <alignment horizontal="center" vertical="center" wrapText="1"/>
    </xf>
    <xf numFmtId="0" fontId="224" fillId="60" borderId="318" xfId="0" applyFont="1" applyFill="1" applyBorder="1" applyAlignment="1">
      <alignment horizontal="center" vertical="center" wrapText="1"/>
    </xf>
    <xf numFmtId="0" fontId="225" fillId="60" borderId="319" xfId="0" applyFont="1" applyFill="1" applyBorder="1" applyAlignment="1">
      <alignment horizontal="center" vertical="center" wrapText="1"/>
    </xf>
    <xf numFmtId="0" fontId="225" fillId="0" borderId="319" xfId="0" applyFont="1" applyBorder="1" applyAlignment="1">
      <alignment horizontal="center" vertical="center" wrapText="1"/>
    </xf>
    <xf numFmtId="0" fontId="225" fillId="0" borderId="320" xfId="0" applyFont="1" applyBorder="1" applyAlignment="1">
      <alignment horizontal="center" vertical="center" wrapText="1"/>
    </xf>
    <xf numFmtId="0" fontId="224" fillId="60" borderId="316" xfId="0" applyFont="1" applyFill="1" applyBorder="1" applyAlignment="1">
      <alignment horizontal="center" vertical="center" wrapText="1"/>
    </xf>
    <xf numFmtId="0" fontId="73" fillId="0" borderId="0" xfId="0" applyFont="1" applyAlignment="1">
      <alignment vertical="center"/>
    </xf>
    <xf numFmtId="179" fontId="83" fillId="0" borderId="260" xfId="153" applyNumberFormat="1" applyFont="1" applyBorder="1" applyAlignment="1">
      <alignment horizontal="right" vertical="center"/>
    </xf>
    <xf numFmtId="179" fontId="83" fillId="0" borderId="255" xfId="153" applyNumberFormat="1" applyFont="1" applyBorder="1" applyAlignment="1">
      <alignment horizontal="right" vertical="center"/>
    </xf>
    <xf numFmtId="193" fontId="83" fillId="55" borderId="260" xfId="751" applyNumberFormat="1" applyFont="1" applyFill="1" applyBorder="1" applyAlignment="1">
      <alignment horizontal="center" vertical="center"/>
    </xf>
    <xf numFmtId="193" fontId="83" fillId="55" borderId="286" xfId="751" applyNumberFormat="1" applyFont="1" applyFill="1" applyBorder="1" applyAlignment="1">
      <alignment horizontal="center" vertical="center" wrapText="1"/>
    </xf>
    <xf numFmtId="193" fontId="83" fillId="55" borderId="288" xfId="751" applyNumberFormat="1" applyFont="1" applyFill="1" applyBorder="1" applyAlignment="1">
      <alignment horizontal="center" vertical="center" wrapText="1"/>
    </xf>
    <xf numFmtId="0" fontId="83" fillId="0" borderId="287" xfId="751" applyFont="1" applyBorder="1" applyAlignment="1">
      <alignment horizontal="center" vertical="center" wrapText="1"/>
    </xf>
    <xf numFmtId="193" fontId="83" fillId="55" borderId="278" xfId="751" applyNumberFormat="1" applyFont="1" applyFill="1" applyBorder="1" applyAlignment="1">
      <alignment horizontal="center" vertical="center"/>
    </xf>
    <xf numFmtId="193" fontId="83" fillId="55" borderId="267" xfId="751" applyNumberFormat="1" applyFont="1" applyFill="1" applyBorder="1" applyAlignment="1">
      <alignment horizontal="center" vertical="center"/>
    </xf>
    <xf numFmtId="2" fontId="8" fillId="0" borderId="0" xfId="751" applyNumberFormat="1" applyFont="1"/>
    <xf numFmtId="193" fontId="83" fillId="55" borderId="323" xfId="751" applyNumberFormat="1" applyFont="1" applyFill="1" applyBorder="1" applyAlignment="1">
      <alignment horizontal="center" vertical="center" wrapText="1"/>
    </xf>
    <xf numFmtId="41" fontId="83" fillId="0" borderId="278" xfId="151" applyFont="1" applyBorder="1" applyAlignment="1">
      <alignment horizontal="right"/>
    </xf>
    <xf numFmtId="0" fontId="83" fillId="0" borderId="289" xfId="751" applyFont="1" applyBorder="1" applyAlignment="1">
      <alignment horizontal="center" vertical="center" wrapText="1"/>
    </xf>
    <xf numFmtId="41" fontId="83" fillId="0" borderId="267" xfId="151" applyFont="1" applyBorder="1" applyAlignment="1">
      <alignment horizontal="right"/>
    </xf>
    <xf numFmtId="0" fontId="83" fillId="0" borderId="324" xfId="751" applyFont="1" applyBorder="1" applyAlignment="1">
      <alignment horizontal="center" vertical="center" wrapText="1"/>
    </xf>
    <xf numFmtId="0" fontId="75" fillId="2" borderId="275" xfId="0" applyFont="1" applyFill="1" applyBorder="1" applyAlignment="1">
      <alignment horizontal="center" vertical="center"/>
    </xf>
    <xf numFmtId="41" fontId="76" fillId="0" borderId="275" xfId="1518" applyFont="1" applyBorder="1" applyAlignment="1">
      <alignment vertical="center"/>
    </xf>
    <xf numFmtId="191" fontId="76" fillId="0" borderId="275" xfId="140" applyNumberFormat="1" applyFont="1" applyBorder="1" applyAlignment="1">
      <alignment vertical="center"/>
    </xf>
    <xf numFmtId="41" fontId="75" fillId="0" borderId="285" xfId="750" applyNumberFormat="1" applyFont="1" applyBorder="1">
      <alignment vertical="center"/>
    </xf>
    <xf numFmtId="41" fontId="75" fillId="0" borderId="287" xfId="750" applyNumberFormat="1" applyFont="1" applyBorder="1">
      <alignment vertical="center"/>
    </xf>
    <xf numFmtId="0" fontId="75" fillId="2" borderId="278" xfId="0" applyFont="1" applyFill="1" applyBorder="1" applyAlignment="1">
      <alignment horizontal="center" vertical="center"/>
    </xf>
    <xf numFmtId="41" fontId="75" fillId="0" borderId="278" xfId="1341" applyNumberFormat="1" applyFont="1" applyFill="1" applyBorder="1" applyAlignment="1" applyProtection="1">
      <alignment horizontal="right" vertical="center"/>
      <protection locked="0"/>
    </xf>
    <xf numFmtId="183" fontId="75" fillId="0" borderId="278" xfId="1341" applyNumberFormat="1" applyFont="1" applyFill="1" applyBorder="1" applyAlignment="1">
      <alignment horizontal="right" vertical="center"/>
    </xf>
    <xf numFmtId="41" fontId="75" fillId="0" borderId="289" xfId="750" applyNumberFormat="1" applyFont="1" applyBorder="1">
      <alignment vertical="center"/>
    </xf>
    <xf numFmtId="0" fontId="139" fillId="15" borderId="260" xfId="182" applyFont="1" applyFill="1" applyBorder="1" applyAlignment="1">
      <alignment horizontal="center" vertical="center"/>
    </xf>
    <xf numFmtId="0" fontId="83" fillId="8" borderId="8" xfId="0" applyFont="1" applyFill="1" applyBorder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41" fontId="99" fillId="0" borderId="17" xfId="182" applyNumberFormat="1" applyFont="1" applyBorder="1" applyAlignment="1">
      <alignment horizontal="center" vertical="center"/>
    </xf>
    <xf numFmtId="41" fontId="99" fillId="0" borderId="18" xfId="182" applyNumberFormat="1" applyFont="1" applyBorder="1" applyAlignment="1">
      <alignment horizontal="center" vertical="center"/>
    </xf>
    <xf numFmtId="41" fontId="99" fillId="0" borderId="8" xfId="182" applyNumberFormat="1" applyFont="1" applyBorder="1" applyAlignment="1">
      <alignment horizontal="center" vertical="center"/>
    </xf>
    <xf numFmtId="41" fontId="99" fillId="0" borderId="15" xfId="182" applyNumberFormat="1" applyFont="1" applyBorder="1" applyAlignment="1">
      <alignment horizontal="center" vertical="center"/>
    </xf>
    <xf numFmtId="41" fontId="99" fillId="0" borderId="8" xfId="182" applyNumberFormat="1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201" fontId="76" fillId="0" borderId="248" xfId="149" applyNumberFormat="1" applyFont="1" applyBorder="1" applyAlignment="1">
      <alignment vertical="center"/>
    </xf>
    <xf numFmtId="201" fontId="76" fillId="0" borderId="260" xfId="149" applyNumberFormat="1" applyFont="1" applyBorder="1" applyAlignment="1">
      <alignment vertical="center"/>
    </xf>
    <xf numFmtId="201" fontId="75" fillId="0" borderId="260" xfId="1341" applyNumberFormat="1" applyFont="1" applyFill="1" applyBorder="1" applyAlignment="1" applyProtection="1">
      <alignment horizontal="right" vertical="center"/>
      <protection locked="0"/>
    </xf>
    <xf numFmtId="201" fontId="75" fillId="0" borderId="255" xfId="1341" applyNumberFormat="1" applyFont="1" applyFill="1" applyBorder="1" applyAlignment="1" applyProtection="1">
      <alignment horizontal="right" vertical="center"/>
      <protection locked="0"/>
    </xf>
    <xf numFmtId="201" fontId="75" fillId="0" borderId="256" xfId="1341" applyNumberFormat="1" applyFont="1" applyFill="1" applyBorder="1" applyAlignment="1" applyProtection="1">
      <alignment horizontal="right" vertical="center"/>
      <protection locked="0"/>
    </xf>
    <xf numFmtId="201" fontId="76" fillId="0" borderId="248" xfId="140" applyNumberFormat="1" applyFont="1" applyBorder="1" applyAlignment="1">
      <alignment vertical="center"/>
    </xf>
    <xf numFmtId="201" fontId="76" fillId="0" borderId="260" xfId="140" applyNumberFormat="1" applyFont="1" applyBorder="1" applyAlignment="1">
      <alignment vertical="center"/>
    </xf>
    <xf numFmtId="201" fontId="75" fillId="0" borderId="260" xfId="1341" applyNumberFormat="1" applyFont="1" applyBorder="1" applyAlignment="1">
      <alignment horizontal="right" vertical="center"/>
    </xf>
    <xf numFmtId="201" fontId="75" fillId="0" borderId="260" xfId="1341" applyNumberFormat="1" applyFont="1" applyFill="1" applyBorder="1" applyAlignment="1">
      <alignment horizontal="right" vertical="center"/>
    </xf>
    <xf numFmtId="201" fontId="75" fillId="0" borderId="255" xfId="1341" applyNumberFormat="1" applyFont="1" applyFill="1" applyBorder="1" applyAlignment="1">
      <alignment horizontal="right" vertical="center"/>
    </xf>
    <xf numFmtId="0" fontId="99" fillId="15" borderId="275" xfId="182" applyFont="1" applyFill="1" applyBorder="1" applyAlignment="1">
      <alignment horizontal="center" vertical="center" wrapText="1"/>
    </xf>
    <xf numFmtId="0" fontId="99" fillId="15" borderId="285" xfId="182" applyFont="1" applyFill="1" applyBorder="1" applyAlignment="1">
      <alignment horizontal="center" vertical="center"/>
    </xf>
    <xf numFmtId="0" fontId="99" fillId="0" borderId="287" xfId="182" applyFont="1" applyFill="1" applyBorder="1" applyAlignment="1">
      <alignment horizontal="center" vertical="center"/>
    </xf>
    <xf numFmtId="0" fontId="99" fillId="0" borderId="278" xfId="182" applyFont="1" applyFill="1" applyBorder="1" applyAlignment="1">
      <alignment horizontal="center" vertical="center"/>
    </xf>
    <xf numFmtId="41" fontId="99" fillId="0" borderId="278" xfId="182" applyNumberFormat="1" applyFont="1" applyFill="1" applyBorder="1" applyAlignment="1">
      <alignment horizontal="center" vertical="center"/>
    </xf>
    <xf numFmtId="0" fontId="99" fillId="0" borderId="230" xfId="182" applyFont="1" applyFill="1" applyBorder="1" applyAlignment="1">
      <alignment horizontal="center" vertical="center"/>
    </xf>
    <xf numFmtId="41" fontId="99" fillId="0" borderId="8" xfId="155" applyFont="1" applyBorder="1" applyAlignment="1">
      <alignment horizontal="center" vertical="center"/>
    </xf>
    <xf numFmtId="0" fontId="99" fillId="0" borderId="233" xfId="182" applyFont="1" applyFill="1" applyBorder="1" applyAlignment="1">
      <alignment horizontal="center" vertical="center"/>
    </xf>
    <xf numFmtId="41" fontId="99" fillId="0" borderId="233" xfId="155" applyFont="1" applyBorder="1" applyAlignment="1">
      <alignment horizontal="center" vertical="center"/>
    </xf>
    <xf numFmtId="0" fontId="83" fillId="0" borderId="234" xfId="182" applyFont="1" applyBorder="1" applyAlignment="1">
      <alignment horizontal="center" vertical="center"/>
    </xf>
    <xf numFmtId="0" fontId="83" fillId="0" borderId="289" xfId="182" applyFont="1" applyBorder="1" applyAlignment="1">
      <alignment horizontal="center" vertical="center"/>
    </xf>
    <xf numFmtId="0" fontId="143" fillId="0" borderId="0" xfId="182" applyFont="1" applyBorder="1" applyAlignment="1">
      <alignment horizontal="center" vertical="center"/>
    </xf>
    <xf numFmtId="3" fontId="146" fillId="0" borderId="0" xfId="182" applyNumberFormat="1" applyFont="1" applyBorder="1" applyAlignment="1">
      <alignment horizontal="center" vertical="center"/>
    </xf>
    <xf numFmtId="0" fontId="146" fillId="0" borderId="0" xfId="182" applyFont="1" applyBorder="1" applyAlignment="1">
      <alignment horizontal="center" vertical="center"/>
    </xf>
    <xf numFmtId="0" fontId="146" fillId="0" borderId="0" xfId="182" applyFont="1" applyBorder="1">
      <alignment vertical="center"/>
    </xf>
    <xf numFmtId="0" fontId="99" fillId="0" borderId="332" xfId="182" applyFont="1" applyFill="1" applyBorder="1" applyAlignment="1">
      <alignment horizontal="center" vertical="center" wrapText="1"/>
    </xf>
    <xf numFmtId="0" fontId="99" fillId="0" borderId="289" xfId="182" applyFont="1" applyFill="1" applyBorder="1" applyAlignment="1">
      <alignment horizontal="center" vertical="center"/>
    </xf>
    <xf numFmtId="0" fontId="99" fillId="0" borderId="288" xfId="182" applyFont="1" applyFill="1" applyBorder="1" applyAlignment="1">
      <alignment horizontal="center" vertical="center" wrapText="1"/>
    </xf>
    <xf numFmtId="41" fontId="99" fillId="0" borderId="233" xfId="182" applyNumberFormat="1" applyFont="1" applyFill="1" applyBorder="1" applyAlignment="1">
      <alignment horizontal="center" vertical="center"/>
    </xf>
    <xf numFmtId="0" fontId="99" fillId="0" borderId="234" xfId="182" applyFont="1" applyFill="1" applyBorder="1" applyAlignment="1">
      <alignment horizontal="center" vertical="center"/>
    </xf>
    <xf numFmtId="0" fontId="99" fillId="0" borderId="334" xfId="182" applyFont="1" applyFill="1" applyBorder="1" applyAlignment="1">
      <alignment horizontal="center" vertical="center" wrapText="1"/>
    </xf>
    <xf numFmtId="0" fontId="99" fillId="0" borderId="24" xfId="182" applyFont="1" applyFill="1" applyBorder="1" applyAlignment="1">
      <alignment horizontal="center" vertical="center"/>
    </xf>
    <xf numFmtId="41" fontId="99" fillId="0" borderId="24" xfId="155" applyFont="1" applyBorder="1" applyAlignment="1">
      <alignment horizontal="center" vertical="center"/>
    </xf>
    <xf numFmtId="0" fontId="83" fillId="0" borderId="25" xfId="182" applyFont="1" applyBorder="1" applyAlignment="1">
      <alignment horizontal="center" vertical="center"/>
    </xf>
    <xf numFmtId="0" fontId="99" fillId="0" borderId="141" xfId="182" applyFont="1" applyFill="1" applyBorder="1" applyAlignment="1">
      <alignment horizontal="center" vertical="center"/>
    </xf>
    <xf numFmtId="0" fontId="83" fillId="0" borderId="141" xfId="182" applyFont="1" applyBorder="1" applyAlignment="1">
      <alignment horizontal="center" vertical="center"/>
    </xf>
    <xf numFmtId="3" fontId="41" fillId="0" borderId="260" xfId="485" applyNumberFormat="1" applyFont="1" applyFill="1" applyBorder="1" applyAlignment="1">
      <alignment horizontal="center" vertical="center" wrapText="1"/>
    </xf>
    <xf numFmtId="3" fontId="41" fillId="0" borderId="255" xfId="485" applyNumberFormat="1" applyFont="1" applyFill="1" applyBorder="1" applyAlignment="1">
      <alignment horizontal="center" vertical="center" wrapText="1"/>
    </xf>
    <xf numFmtId="41" fontId="140" fillId="53" borderId="255" xfId="153" applyNumberFormat="1" applyFont="1" applyFill="1" applyBorder="1" applyAlignment="1">
      <alignment horizontal="center" vertical="center" wrapText="1"/>
    </xf>
    <xf numFmtId="3" fontId="41" fillId="0" borderId="337" xfId="485" applyNumberFormat="1" applyFont="1" applyFill="1" applyBorder="1" applyAlignment="1">
      <alignment horizontal="center" vertical="center" wrapText="1"/>
    </xf>
    <xf numFmtId="41" fontId="140" fillId="53" borderId="337" xfId="153" applyNumberFormat="1" applyFont="1" applyFill="1" applyBorder="1" applyAlignment="1">
      <alignment horizontal="center" vertical="center" wrapText="1"/>
    </xf>
    <xf numFmtId="3" fontId="41" fillId="0" borderId="267" xfId="485" applyNumberFormat="1" applyFont="1" applyFill="1" applyBorder="1" applyAlignment="1">
      <alignment horizontal="center" vertical="center" wrapText="1"/>
    </xf>
    <xf numFmtId="41" fontId="140" fillId="53" borderId="267" xfId="153" applyNumberFormat="1" applyFont="1" applyFill="1" applyBorder="1" applyAlignment="1">
      <alignment horizontal="center" vertical="center" wrapText="1"/>
    </xf>
    <xf numFmtId="0" fontId="41" fillId="48" borderId="233" xfId="485" applyFont="1" applyFill="1" applyBorder="1" applyAlignment="1">
      <alignment horizontal="center" vertical="center" wrapText="1"/>
    </xf>
    <xf numFmtId="176" fontId="41" fillId="53" borderId="275" xfId="485" applyNumberFormat="1" applyFont="1" applyFill="1" applyBorder="1" applyAlignment="1">
      <alignment horizontal="center" vertical="center" wrapText="1"/>
    </xf>
    <xf numFmtId="182" fontId="41" fillId="53" borderId="260" xfId="485" applyNumberFormat="1" applyFont="1" applyFill="1" applyBorder="1" applyAlignment="1">
      <alignment horizontal="center" vertical="center" wrapText="1"/>
    </xf>
    <xf numFmtId="176" fontId="41" fillId="53" borderId="285" xfId="485" applyNumberFormat="1" applyFont="1" applyFill="1" applyBorder="1" applyAlignment="1">
      <alignment horizontal="center" vertical="center" wrapText="1"/>
    </xf>
    <xf numFmtId="182" fontId="41" fillId="53" borderId="287" xfId="485" applyNumberFormat="1" applyFont="1" applyFill="1" applyBorder="1" applyAlignment="1">
      <alignment horizontal="center" vertical="center" wrapText="1"/>
    </xf>
    <xf numFmtId="182" fontId="41" fillId="53" borderId="255" xfId="485" applyNumberFormat="1" applyFont="1" applyFill="1" applyBorder="1" applyAlignment="1">
      <alignment horizontal="center" vertical="center" wrapText="1"/>
    </xf>
    <xf numFmtId="182" fontId="41" fillId="53" borderId="340" xfId="485" applyNumberFormat="1" applyFont="1" applyFill="1" applyBorder="1" applyAlignment="1">
      <alignment horizontal="center" vertical="center" wrapText="1"/>
    </xf>
    <xf numFmtId="182" fontId="63" fillId="53" borderId="337" xfId="485" applyNumberFormat="1" applyFont="1" applyFill="1" applyBorder="1" applyAlignment="1">
      <alignment horizontal="center" vertical="center" wrapText="1"/>
    </xf>
    <xf numFmtId="182" fontId="63" fillId="53" borderId="341" xfId="485" applyNumberFormat="1" applyFont="1" applyFill="1" applyBorder="1" applyAlignment="1">
      <alignment horizontal="center" vertical="center" wrapText="1"/>
    </xf>
    <xf numFmtId="182" fontId="83" fillId="0" borderId="0" xfId="143" applyNumberFormat="1" applyFont="1" applyFill="1" applyBorder="1" applyAlignment="1">
      <alignment horizontal="center"/>
    </xf>
    <xf numFmtId="193" fontId="83" fillId="55" borderId="275" xfId="751" applyNumberFormat="1" applyFont="1" applyFill="1" applyBorder="1" applyAlignment="1">
      <alignment horizontal="center" vertical="center"/>
    </xf>
    <xf numFmtId="193" fontId="83" fillId="55" borderId="260" xfId="751" applyNumberFormat="1" applyFont="1" applyFill="1" applyBorder="1" applyAlignment="1">
      <alignment horizontal="center" vertical="center"/>
    </xf>
    <xf numFmtId="193" fontId="83" fillId="55" borderId="255" xfId="751" applyNumberFormat="1" applyFont="1" applyFill="1" applyBorder="1" applyAlignment="1">
      <alignment horizontal="center" vertical="center"/>
    </xf>
    <xf numFmtId="193" fontId="83" fillId="55" borderId="264" xfId="751" applyNumberFormat="1" applyFont="1" applyFill="1" applyBorder="1" applyAlignment="1">
      <alignment horizontal="center" vertical="center"/>
    </xf>
    <xf numFmtId="0" fontId="83" fillId="0" borderId="285" xfId="751" applyFont="1" applyBorder="1" applyAlignment="1">
      <alignment horizontal="center" vertical="center"/>
    </xf>
    <xf numFmtId="0" fontId="83" fillId="0" borderId="287" xfId="751" applyFont="1" applyBorder="1" applyAlignment="1">
      <alignment horizontal="center" vertical="center"/>
    </xf>
    <xf numFmtId="0" fontId="83" fillId="0" borderId="289" xfId="751" applyFont="1" applyBorder="1" applyAlignment="1">
      <alignment horizontal="center" vertical="center"/>
    </xf>
    <xf numFmtId="193" fontId="83" fillId="55" borderId="8" xfId="751" applyNumberFormat="1" applyFont="1" applyFill="1" applyBorder="1" applyAlignment="1">
      <alignment horizontal="center" vertical="center"/>
    </xf>
    <xf numFmtId="193" fontId="83" fillId="55" borderId="278" xfId="751" applyNumberFormat="1" applyFont="1" applyFill="1" applyBorder="1" applyAlignment="1">
      <alignment horizontal="center" vertical="center"/>
    </xf>
    <xf numFmtId="193" fontId="83" fillId="55" borderId="267" xfId="751" applyNumberFormat="1" applyFont="1" applyFill="1" applyBorder="1" applyAlignment="1">
      <alignment horizontal="center" vertical="center"/>
    </xf>
    <xf numFmtId="193" fontId="83" fillId="55" borderId="344" xfId="751" applyNumberFormat="1" applyFont="1" applyFill="1" applyBorder="1" applyAlignment="1">
      <alignment horizontal="center" vertical="center"/>
    </xf>
    <xf numFmtId="191" fontId="83" fillId="48" borderId="344" xfId="751" applyNumberFormat="1" applyFont="1" applyFill="1" applyBorder="1" applyAlignment="1">
      <alignment horizontal="center" vertical="center"/>
    </xf>
    <xf numFmtId="41" fontId="83" fillId="0" borderId="344" xfId="149" applyFont="1" applyBorder="1" applyAlignment="1">
      <alignment horizontal="right"/>
    </xf>
    <xf numFmtId="193" fontId="83" fillId="55" borderId="346" xfId="751" applyNumberFormat="1" applyFont="1" applyFill="1" applyBorder="1" applyAlignment="1">
      <alignment horizontal="center" vertical="center"/>
    </xf>
    <xf numFmtId="191" fontId="83" fillId="48" borderId="346" xfId="751" applyNumberFormat="1" applyFont="1" applyFill="1" applyBorder="1" applyAlignment="1">
      <alignment horizontal="center" vertical="center"/>
    </xf>
    <xf numFmtId="41" fontId="83" fillId="0" borderId="346" xfId="149" applyFont="1" applyBorder="1" applyAlignment="1">
      <alignment horizontal="right"/>
    </xf>
    <xf numFmtId="179" fontId="83" fillId="0" borderId="275" xfId="153" applyNumberFormat="1" applyFont="1" applyBorder="1" applyAlignment="1">
      <alignment horizontal="right" vertical="center"/>
    </xf>
    <xf numFmtId="0" fontId="83" fillId="0" borderId="340" xfId="751" applyFont="1" applyBorder="1" applyAlignment="1">
      <alignment horizontal="center" vertical="center"/>
    </xf>
    <xf numFmtId="183" fontId="146" fillId="55" borderId="278" xfId="155" applyNumberFormat="1" applyFont="1" applyFill="1" applyBorder="1" applyAlignment="1">
      <alignment horizontal="center" vertical="center"/>
    </xf>
    <xf numFmtId="41" fontId="83" fillId="0" borderId="278" xfId="153" applyFont="1" applyBorder="1" applyAlignment="1">
      <alignment horizontal="right" vertical="center"/>
    </xf>
    <xf numFmtId="193" fontId="84" fillId="55" borderId="284" xfId="751" applyNumberFormat="1" applyFont="1" applyFill="1" applyBorder="1" applyAlignment="1">
      <alignment horizontal="center" vertical="center" wrapText="1"/>
    </xf>
    <xf numFmtId="193" fontId="84" fillId="55" borderId="286" xfId="751" applyNumberFormat="1" applyFont="1" applyFill="1" applyBorder="1" applyAlignment="1">
      <alignment horizontal="center" vertical="center" wrapText="1"/>
    </xf>
    <xf numFmtId="193" fontId="84" fillId="55" borderId="329" xfId="751" applyNumberFormat="1" applyFont="1" applyFill="1" applyBorder="1" applyAlignment="1">
      <alignment horizontal="center" vertical="center" wrapText="1"/>
    </xf>
    <xf numFmtId="179" fontId="83" fillId="0" borderId="278" xfId="153" applyNumberFormat="1" applyFont="1" applyBorder="1" applyAlignment="1">
      <alignment horizontal="right" vertical="center"/>
    </xf>
    <xf numFmtId="183" fontId="139" fillId="0" borderId="267" xfId="155" applyNumberFormat="1" applyFont="1" applyBorder="1" applyAlignment="1">
      <alignment vertical="center"/>
    </xf>
    <xf numFmtId="0" fontId="81" fillId="0" borderId="267" xfId="0" applyFont="1" applyBorder="1"/>
    <xf numFmtId="0" fontId="134" fillId="15" borderId="278" xfId="182" applyFont="1" applyFill="1" applyBorder="1" applyAlignment="1">
      <alignment horizontal="center" vertical="center"/>
    </xf>
    <xf numFmtId="201" fontId="132" fillId="0" borderId="267" xfId="155" applyNumberFormat="1" applyFont="1" applyBorder="1" applyAlignment="1">
      <alignment horizontal="right" vertical="center"/>
    </xf>
    <xf numFmtId="0" fontId="41" fillId="48" borderId="303" xfId="485" applyFont="1" applyFill="1" applyBorder="1" applyAlignment="1">
      <alignment horizontal="center" vertical="center" wrapText="1"/>
    </xf>
    <xf numFmtId="0" fontId="41" fillId="48" borderId="282" xfId="485" applyFont="1" applyFill="1" applyBorder="1" applyAlignment="1">
      <alignment horizontal="center" vertical="center" wrapText="1"/>
    </xf>
    <xf numFmtId="3" fontId="63" fillId="48" borderId="260" xfId="485" applyNumberFormat="1" applyFont="1" applyFill="1" applyBorder="1" applyAlignment="1">
      <alignment horizontal="center" vertical="center" wrapText="1"/>
    </xf>
    <xf numFmtId="3" fontId="63" fillId="48" borderId="255" xfId="485" applyNumberFormat="1" applyFont="1" applyFill="1" applyBorder="1" applyAlignment="1">
      <alignment horizontal="center" vertical="center" wrapText="1"/>
    </xf>
    <xf numFmtId="201" fontId="76" fillId="0" borderId="248" xfId="1518" quotePrefix="1" applyNumberFormat="1" applyFont="1" applyBorder="1" applyAlignment="1">
      <alignment horizontal="right" vertical="center"/>
    </xf>
    <xf numFmtId="201" fontId="75" fillId="0" borderId="248" xfId="1518" applyNumberFormat="1" applyFont="1" applyBorder="1" applyAlignment="1">
      <alignment horizontal="center" vertical="center"/>
    </xf>
    <xf numFmtId="201" fontId="75" fillId="0" borderId="248" xfId="750" applyNumberFormat="1" applyFont="1" applyBorder="1" applyAlignment="1">
      <alignment vertical="center"/>
    </xf>
    <xf numFmtId="201" fontId="75" fillId="0" borderId="248" xfId="1518" applyNumberFormat="1" applyFont="1" applyBorder="1" applyAlignment="1">
      <alignment vertical="center"/>
    </xf>
    <xf numFmtId="201" fontId="76" fillId="0" borderId="260" xfId="1518" quotePrefix="1" applyNumberFormat="1" applyFont="1" applyBorder="1" applyAlignment="1">
      <alignment horizontal="right" vertical="center"/>
    </xf>
    <xf numFmtId="201" fontId="75" fillId="0" borderId="260" xfId="1518" applyNumberFormat="1" applyFont="1" applyBorder="1" applyAlignment="1">
      <alignment horizontal="center" vertical="center"/>
    </xf>
    <xf numFmtId="201" fontId="75" fillId="0" borderId="260" xfId="750" applyNumberFormat="1" applyFont="1" applyBorder="1" applyAlignment="1">
      <alignment vertical="center"/>
    </xf>
    <xf numFmtId="201" fontId="75" fillId="0" borderId="260" xfId="1518" applyNumberFormat="1" applyFont="1" applyBorder="1" applyAlignment="1">
      <alignment vertical="center"/>
    </xf>
    <xf numFmtId="201" fontId="76" fillId="0" borderId="264" xfId="1518" quotePrefix="1" applyNumberFormat="1" applyFont="1" applyBorder="1" applyAlignment="1">
      <alignment horizontal="right" vertical="center"/>
    </xf>
    <xf numFmtId="201" fontId="75" fillId="0" borderId="264" xfId="1518" applyNumberFormat="1" applyFont="1" applyBorder="1" applyAlignment="1">
      <alignment horizontal="center" vertical="center"/>
    </xf>
    <xf numFmtId="201" fontId="75" fillId="0" borderId="264" xfId="750" applyNumberFormat="1" applyFont="1" applyBorder="1" applyAlignment="1">
      <alignment vertical="center"/>
    </xf>
    <xf numFmtId="201" fontId="75" fillId="0" borderId="264" xfId="1518" applyNumberFormat="1" applyFont="1" applyBorder="1" applyAlignment="1">
      <alignment vertical="center"/>
    </xf>
    <xf numFmtId="201" fontId="75" fillId="0" borderId="255" xfId="1518" applyNumberFormat="1" applyFont="1" applyBorder="1" applyAlignment="1">
      <alignment horizontal="center" vertical="center"/>
    </xf>
    <xf numFmtId="201" fontId="75" fillId="0" borderId="255" xfId="750" applyNumberFormat="1" applyFont="1" applyBorder="1" applyAlignment="1">
      <alignment vertical="center"/>
    </xf>
    <xf numFmtId="201" fontId="75" fillId="0" borderId="255" xfId="1518" applyNumberFormat="1" applyFont="1" applyBorder="1" applyAlignment="1">
      <alignment vertical="center"/>
    </xf>
    <xf numFmtId="201" fontId="76" fillId="0" borderId="267" xfId="1518" quotePrefix="1" applyNumberFormat="1" applyFont="1" applyBorder="1" applyAlignment="1">
      <alignment horizontal="right" vertical="center"/>
    </xf>
    <xf numFmtId="201" fontId="75" fillId="0" borderId="267" xfId="1518" applyNumberFormat="1" applyFont="1" applyBorder="1" applyAlignment="1">
      <alignment horizontal="center" vertical="center"/>
    </xf>
    <xf numFmtId="201" fontId="75" fillId="0" borderId="267" xfId="750" applyNumberFormat="1" applyFont="1" applyBorder="1" applyAlignment="1">
      <alignment vertical="center"/>
    </xf>
    <xf numFmtId="201" fontId="75" fillId="0" borderId="267" xfId="1518" applyNumberFormat="1" applyFont="1" applyBorder="1" applyAlignment="1">
      <alignment vertical="center"/>
    </xf>
    <xf numFmtId="201" fontId="76" fillId="0" borderId="255" xfId="1518" quotePrefix="1" applyNumberFormat="1" applyFont="1" applyBorder="1" applyAlignment="1">
      <alignment horizontal="right" vertical="center"/>
    </xf>
    <xf numFmtId="201" fontId="76" fillId="0" borderId="256" xfId="1518" quotePrefix="1" applyNumberFormat="1" applyFont="1" applyBorder="1" applyAlignment="1">
      <alignment horizontal="right" vertical="center"/>
    </xf>
    <xf numFmtId="201" fontId="75" fillId="0" borderId="256" xfId="1518" applyNumberFormat="1" applyFont="1" applyBorder="1" applyAlignment="1">
      <alignment horizontal="center" vertical="center"/>
    </xf>
    <xf numFmtId="201" fontId="75" fillId="0" borderId="256" xfId="750" applyNumberFormat="1" applyFont="1" applyBorder="1" applyAlignment="1">
      <alignment vertical="center"/>
    </xf>
    <xf numFmtId="201" fontId="75" fillId="0" borderId="256" xfId="1518" applyNumberFormat="1" applyFont="1" applyBorder="1" applyAlignment="1">
      <alignment vertical="center"/>
    </xf>
    <xf numFmtId="201" fontId="76" fillId="0" borderId="275" xfId="1518" quotePrefix="1" applyNumberFormat="1" applyFont="1" applyBorder="1" applyAlignment="1">
      <alignment horizontal="right" vertical="center"/>
    </xf>
    <xf numFmtId="201" fontId="75" fillId="0" borderId="275" xfId="1518" applyNumberFormat="1" applyFont="1" applyBorder="1" applyAlignment="1">
      <alignment horizontal="center" vertical="center"/>
    </xf>
    <xf numFmtId="201" fontId="75" fillId="0" borderId="275" xfId="750" applyNumberFormat="1" applyFont="1" applyBorder="1" applyAlignment="1">
      <alignment vertical="center"/>
    </xf>
    <xf numFmtId="201" fontId="75" fillId="0" borderId="275" xfId="1518" applyNumberFormat="1" applyFont="1" applyBorder="1" applyAlignment="1">
      <alignment vertical="center"/>
    </xf>
    <xf numFmtId="201" fontId="76" fillId="0" borderId="278" xfId="1518" quotePrefix="1" applyNumberFormat="1" applyFont="1" applyBorder="1" applyAlignment="1">
      <alignment horizontal="right" vertical="center"/>
    </xf>
    <xf numFmtId="201" fontId="75" fillId="0" borderId="278" xfId="1518" applyNumberFormat="1" applyFont="1" applyBorder="1" applyAlignment="1">
      <alignment horizontal="center" vertical="center"/>
    </xf>
    <xf numFmtId="201" fontId="75" fillId="0" borderId="278" xfId="750" applyNumberFormat="1" applyFont="1" applyBorder="1" applyAlignment="1">
      <alignment vertical="center"/>
    </xf>
    <xf numFmtId="201" fontId="75" fillId="0" borderId="278" xfId="1518" applyNumberFormat="1" applyFont="1" applyBorder="1" applyAlignment="1">
      <alignment vertical="center"/>
    </xf>
    <xf numFmtId="0" fontId="0" fillId="0" borderId="344" xfId="0" applyFont="1" applyFill="1" applyBorder="1" applyAlignment="1">
      <alignment horizontal="center" vertical="center" wrapText="1"/>
    </xf>
    <xf numFmtId="179" fontId="171" fillId="0" borderId="344" xfId="149" applyNumberFormat="1" applyFont="1" applyBorder="1" applyAlignment="1">
      <alignment horizontal="center" vertical="center" wrapText="1"/>
    </xf>
    <xf numFmtId="0" fontId="141" fillId="5" borderId="43" xfId="0" applyFont="1" applyFill="1" applyBorder="1" applyAlignment="1">
      <alignment horizontal="center" vertical="center" wrapText="1"/>
    </xf>
    <xf numFmtId="0" fontId="141" fillId="5" borderId="44" xfId="0" applyFont="1" applyFill="1" applyBorder="1" applyAlignment="1">
      <alignment horizontal="center" vertical="center"/>
    </xf>
    <xf numFmtId="193" fontId="84" fillId="15" borderId="299" xfId="751" applyNumberFormat="1" applyFont="1" applyFill="1" applyBorder="1" applyAlignment="1">
      <alignment horizontal="center" vertical="center"/>
    </xf>
    <xf numFmtId="193" fontId="84" fillId="15" borderId="290" xfId="751" applyNumberFormat="1" applyFont="1" applyFill="1" applyBorder="1" applyAlignment="1">
      <alignment horizontal="center" vertical="center"/>
    </xf>
    <xf numFmtId="193" fontId="83" fillId="55" borderId="247" xfId="751" applyNumberFormat="1" applyFont="1" applyFill="1" applyBorder="1" applyAlignment="1">
      <alignment horizontal="center" vertical="center" wrapText="1"/>
    </xf>
    <xf numFmtId="193" fontId="83" fillId="55" borderId="259" xfId="751" applyNumberFormat="1" applyFont="1" applyFill="1" applyBorder="1" applyAlignment="1">
      <alignment horizontal="center" vertical="center" wrapText="1"/>
    </xf>
    <xf numFmtId="193" fontId="83" fillId="55" borderId="263" xfId="751" applyNumberFormat="1" applyFont="1" applyFill="1" applyBorder="1" applyAlignment="1">
      <alignment horizontal="center" vertical="center" wrapText="1"/>
    </xf>
    <xf numFmtId="0" fontId="83" fillId="55" borderId="248" xfId="182" applyFont="1" applyFill="1" applyBorder="1" applyAlignment="1">
      <alignment horizontal="center" vertical="center"/>
    </xf>
    <xf numFmtId="0" fontId="83" fillId="55" borderId="260" xfId="182" applyFont="1" applyFill="1" applyBorder="1" applyAlignment="1">
      <alignment horizontal="center" vertical="center"/>
    </xf>
    <xf numFmtId="0" fontId="83" fillId="55" borderId="260" xfId="182" applyFont="1" applyFill="1" applyBorder="1" applyAlignment="1">
      <alignment horizontal="center" vertical="center" wrapText="1"/>
    </xf>
    <xf numFmtId="0" fontId="83" fillId="55" borderId="264" xfId="182" applyFont="1" applyFill="1" applyBorder="1" applyAlignment="1">
      <alignment horizontal="center" vertical="center"/>
    </xf>
    <xf numFmtId="193" fontId="83" fillId="55" borderId="284" xfId="751" applyNumberFormat="1" applyFont="1" applyFill="1" applyBorder="1" applyAlignment="1">
      <alignment horizontal="center" vertical="center" wrapText="1"/>
    </xf>
    <xf numFmtId="193" fontId="83" fillId="55" borderId="286" xfId="751" applyNumberFormat="1" applyFont="1" applyFill="1" applyBorder="1" applyAlignment="1">
      <alignment horizontal="center" vertical="center" wrapText="1"/>
    </xf>
    <xf numFmtId="193" fontId="83" fillId="55" borderId="288" xfId="751" applyNumberFormat="1" applyFont="1" applyFill="1" applyBorder="1" applyAlignment="1">
      <alignment horizontal="center" vertical="center" wrapText="1"/>
    </xf>
    <xf numFmtId="193" fontId="83" fillId="55" borderId="275" xfId="751" applyNumberFormat="1" applyFont="1" applyFill="1" applyBorder="1" applyAlignment="1">
      <alignment horizontal="center" vertical="center"/>
    </xf>
    <xf numFmtId="193" fontId="83" fillId="55" borderId="260" xfId="751" applyNumberFormat="1" applyFont="1" applyFill="1" applyBorder="1" applyAlignment="1">
      <alignment horizontal="center" vertical="center"/>
    </xf>
    <xf numFmtId="193" fontId="83" fillId="55" borderId="255" xfId="751" applyNumberFormat="1" applyFont="1" applyFill="1" applyBorder="1" applyAlignment="1">
      <alignment horizontal="center" vertical="center"/>
    </xf>
    <xf numFmtId="193" fontId="83" fillId="55" borderId="248" xfId="751" applyNumberFormat="1" applyFont="1" applyFill="1" applyBorder="1" applyAlignment="1">
      <alignment horizontal="center" vertical="center"/>
    </xf>
    <xf numFmtId="0" fontId="83" fillId="0" borderId="345" xfId="751" applyFont="1" applyBorder="1" applyAlignment="1">
      <alignment horizontal="center" vertical="center"/>
    </xf>
    <xf numFmtId="0" fontId="83" fillId="0" borderId="15" xfId="751" applyFont="1" applyBorder="1" applyAlignment="1">
      <alignment horizontal="center" vertical="center"/>
    </xf>
    <xf numFmtId="0" fontId="83" fillId="0" borderId="347" xfId="751" applyFont="1" applyBorder="1" applyAlignment="1">
      <alignment horizontal="center" vertical="center"/>
    </xf>
    <xf numFmtId="193" fontId="83" fillId="55" borderId="329" xfId="751" applyNumberFormat="1" applyFont="1" applyFill="1" applyBorder="1" applyAlignment="1">
      <alignment horizontal="center" vertical="center" wrapText="1"/>
    </xf>
    <xf numFmtId="0" fontId="83" fillId="0" borderId="287" xfId="751" applyFont="1" applyBorder="1" applyAlignment="1">
      <alignment horizontal="center" vertical="center"/>
    </xf>
    <xf numFmtId="0" fontId="83" fillId="0" borderId="340" xfId="751" applyFont="1" applyBorder="1" applyAlignment="1">
      <alignment horizontal="center" vertical="center"/>
    </xf>
    <xf numFmtId="193" fontId="84" fillId="55" borderId="247" xfId="751" applyNumberFormat="1" applyFont="1" applyFill="1" applyBorder="1" applyAlignment="1">
      <alignment horizontal="center" vertical="center" wrapText="1"/>
    </xf>
    <xf numFmtId="193" fontId="84" fillId="55" borderId="259" xfId="751" applyNumberFormat="1" applyFont="1" applyFill="1" applyBorder="1" applyAlignment="1">
      <alignment horizontal="center" vertical="center" wrapText="1"/>
    </xf>
    <xf numFmtId="193" fontId="84" fillId="55" borderId="263" xfId="751" applyNumberFormat="1" applyFont="1" applyFill="1" applyBorder="1" applyAlignment="1">
      <alignment horizontal="center" vertical="center" wrapText="1"/>
    </xf>
    <xf numFmtId="193" fontId="84" fillId="55" borderId="321" xfId="751" applyNumberFormat="1" applyFont="1" applyFill="1" applyBorder="1" applyAlignment="1">
      <alignment horizontal="center" vertical="center" wrapText="1"/>
    </xf>
    <xf numFmtId="193" fontId="84" fillId="55" borderId="322" xfId="751" applyNumberFormat="1" applyFont="1" applyFill="1" applyBorder="1" applyAlignment="1">
      <alignment horizontal="center" vertical="center" wrapText="1"/>
    </xf>
    <xf numFmtId="193" fontId="84" fillId="55" borderId="327" xfId="751" applyNumberFormat="1" applyFont="1" applyFill="1" applyBorder="1" applyAlignment="1">
      <alignment horizontal="center" vertical="center" wrapText="1"/>
    </xf>
    <xf numFmtId="0" fontId="83" fillId="0" borderId="198" xfId="751" applyFont="1" applyBorder="1" applyAlignment="1">
      <alignment horizontal="center" vertical="center"/>
    </xf>
    <xf numFmtId="193" fontId="83" fillId="55" borderId="323" xfId="751" applyNumberFormat="1" applyFont="1" applyFill="1" applyBorder="1" applyAlignment="1">
      <alignment horizontal="center" vertical="center" wrapText="1"/>
    </xf>
    <xf numFmtId="193" fontId="83" fillId="55" borderId="348" xfId="751" applyNumberFormat="1" applyFont="1" applyFill="1" applyBorder="1" applyAlignment="1">
      <alignment horizontal="center" vertical="center" wrapText="1"/>
    </xf>
    <xf numFmtId="193" fontId="83" fillId="55" borderId="139" xfId="751" applyNumberFormat="1" applyFont="1" applyFill="1" applyBorder="1" applyAlignment="1">
      <alignment horizontal="center" vertical="center" wrapText="1"/>
    </xf>
    <xf numFmtId="193" fontId="83" fillId="55" borderId="344" xfId="751" applyNumberFormat="1" applyFont="1" applyFill="1" applyBorder="1" applyAlignment="1">
      <alignment horizontal="center" vertical="center"/>
    </xf>
    <xf numFmtId="193" fontId="83" fillId="55" borderId="8" xfId="751" applyNumberFormat="1" applyFont="1" applyFill="1" applyBorder="1" applyAlignment="1">
      <alignment horizontal="center" vertical="center"/>
    </xf>
    <xf numFmtId="193" fontId="83" fillId="55" borderId="1" xfId="751" applyNumberFormat="1" applyFont="1" applyFill="1" applyBorder="1" applyAlignment="1">
      <alignment horizontal="center" vertical="center" wrapText="1"/>
    </xf>
    <xf numFmtId="0" fontId="83" fillId="0" borderId="146" xfId="751" applyFont="1" applyBorder="1" applyAlignment="1">
      <alignment horizontal="center" vertical="center"/>
    </xf>
    <xf numFmtId="0" fontId="83" fillId="0" borderId="138" xfId="751" applyFont="1" applyBorder="1" applyAlignment="1">
      <alignment horizontal="center" vertical="center"/>
    </xf>
    <xf numFmtId="0" fontId="83" fillId="0" borderId="45" xfId="751" applyFont="1" applyBorder="1" applyAlignment="1">
      <alignment horizontal="center" vertical="center"/>
    </xf>
    <xf numFmtId="193" fontId="83" fillId="55" borderId="199" xfId="751" applyNumberFormat="1" applyFont="1" applyFill="1" applyBorder="1" applyAlignment="1">
      <alignment horizontal="center" vertical="center" wrapText="1"/>
    </xf>
    <xf numFmtId="193" fontId="83" fillId="55" borderId="200" xfId="751" applyNumberFormat="1" applyFont="1" applyFill="1" applyBorder="1" applyAlignment="1">
      <alignment horizontal="center" vertical="center" wrapText="1"/>
    </xf>
    <xf numFmtId="193" fontId="83" fillId="55" borderId="173" xfId="751" applyNumberFormat="1" applyFont="1" applyFill="1" applyBorder="1" applyAlignment="1">
      <alignment horizontal="center" vertical="center"/>
    </xf>
    <xf numFmtId="193" fontId="83" fillId="55" borderId="201" xfId="751" applyNumberFormat="1" applyFont="1" applyFill="1" applyBorder="1" applyAlignment="1">
      <alignment horizontal="center" vertical="center"/>
    </xf>
    <xf numFmtId="0" fontId="83" fillId="0" borderId="179" xfId="751" applyFont="1" applyBorder="1" applyAlignment="1">
      <alignment horizontal="center" vertical="center"/>
    </xf>
    <xf numFmtId="0" fontId="83" fillId="0" borderId="202" xfId="751" applyFont="1" applyBorder="1" applyAlignment="1">
      <alignment horizontal="center" vertical="center"/>
    </xf>
    <xf numFmtId="193" fontId="83" fillId="55" borderId="275" xfId="751" applyNumberFormat="1" applyFont="1" applyFill="1" applyBorder="1" applyAlignment="1">
      <alignment horizontal="center" vertical="center" wrapText="1"/>
    </xf>
    <xf numFmtId="193" fontId="83" fillId="55" borderId="260" xfId="751" applyNumberFormat="1" applyFont="1" applyFill="1" applyBorder="1" applyAlignment="1">
      <alignment horizontal="center" vertical="center" wrapText="1"/>
    </xf>
    <xf numFmtId="193" fontId="83" fillId="55" borderId="267" xfId="751" applyNumberFormat="1" applyFont="1" applyFill="1" applyBorder="1" applyAlignment="1">
      <alignment horizontal="center" vertical="center" wrapText="1"/>
    </xf>
    <xf numFmtId="193" fontId="83" fillId="55" borderId="278" xfId="751" applyNumberFormat="1" applyFont="1" applyFill="1" applyBorder="1" applyAlignment="1">
      <alignment horizontal="center" vertical="center"/>
    </xf>
    <xf numFmtId="193" fontId="83" fillId="55" borderId="278" xfId="751" applyNumberFormat="1" applyFont="1" applyFill="1" applyBorder="1" applyAlignment="1">
      <alignment horizontal="center" vertical="center" wrapText="1"/>
    </xf>
    <xf numFmtId="0" fontId="83" fillId="0" borderId="324" xfId="751" applyFont="1" applyBorder="1" applyAlignment="1">
      <alignment horizontal="center" vertical="center" wrapText="1"/>
    </xf>
    <xf numFmtId="0" fontId="83" fillId="0" borderId="289" xfId="751" applyFont="1" applyBorder="1" applyAlignment="1">
      <alignment horizontal="center" vertical="center"/>
    </xf>
    <xf numFmtId="193" fontId="83" fillId="55" borderId="203" xfId="751" applyNumberFormat="1" applyFont="1" applyFill="1" applyBorder="1" applyAlignment="1">
      <alignment horizontal="center" vertical="center" wrapText="1"/>
    </xf>
    <xf numFmtId="193" fontId="83" fillId="55" borderId="196" xfId="751" applyNumberFormat="1" applyFont="1" applyFill="1" applyBorder="1" applyAlignment="1">
      <alignment horizontal="center" vertical="center"/>
    </xf>
    <xf numFmtId="193" fontId="83" fillId="55" borderId="321" xfId="751" applyNumberFormat="1" applyFont="1" applyFill="1" applyBorder="1" applyAlignment="1">
      <alignment horizontal="center" vertical="center" wrapText="1"/>
    </xf>
    <xf numFmtId="193" fontId="83" fillId="55" borderId="322" xfId="751" applyNumberFormat="1" applyFont="1" applyFill="1" applyBorder="1" applyAlignment="1">
      <alignment horizontal="center" vertical="center" wrapText="1"/>
    </xf>
    <xf numFmtId="193" fontId="83" fillId="55" borderId="327" xfId="751" applyNumberFormat="1" applyFont="1" applyFill="1" applyBorder="1" applyAlignment="1">
      <alignment horizontal="center" vertical="center" wrapText="1"/>
    </xf>
    <xf numFmtId="0" fontId="83" fillId="0" borderId="325" xfId="751" applyFont="1" applyBorder="1" applyAlignment="1">
      <alignment horizontal="center" vertical="center" wrapText="1"/>
    </xf>
    <xf numFmtId="0" fontId="83" fillId="0" borderId="326" xfId="751" applyFont="1" applyBorder="1" applyAlignment="1">
      <alignment horizontal="center" vertical="center" wrapText="1"/>
    </xf>
    <xf numFmtId="0" fontId="83" fillId="0" borderId="328" xfId="751" applyFont="1" applyBorder="1" applyAlignment="1">
      <alignment horizontal="center" vertical="center" wrapText="1"/>
    </xf>
    <xf numFmtId="193" fontId="83" fillId="55" borderId="104" xfId="751" applyNumberFormat="1" applyFont="1" applyFill="1" applyBorder="1" applyAlignment="1">
      <alignment horizontal="center" vertical="center" wrapText="1"/>
    </xf>
    <xf numFmtId="193" fontId="83" fillId="55" borderId="346" xfId="751" applyNumberFormat="1" applyFont="1" applyFill="1" applyBorder="1" applyAlignment="1">
      <alignment horizontal="center" vertical="center"/>
    </xf>
    <xf numFmtId="0" fontId="83" fillId="0" borderId="285" xfId="751" applyFont="1" applyBorder="1" applyAlignment="1">
      <alignment horizontal="center" vertical="center"/>
    </xf>
    <xf numFmtId="193" fontId="83" fillId="55" borderId="264" xfId="751" applyNumberFormat="1" applyFont="1" applyFill="1" applyBorder="1" applyAlignment="1">
      <alignment horizontal="center" vertical="center"/>
    </xf>
    <xf numFmtId="0" fontId="83" fillId="0" borderId="343" xfId="751" applyFont="1" applyBorder="1" applyAlignment="1">
      <alignment horizontal="center" vertical="center"/>
    </xf>
    <xf numFmtId="0" fontId="83" fillId="0" borderId="324" xfId="751" applyFont="1" applyBorder="1" applyAlignment="1">
      <alignment horizontal="center" vertical="center"/>
    </xf>
    <xf numFmtId="193" fontId="83" fillId="55" borderId="177" xfId="751" applyNumberFormat="1" applyFont="1" applyFill="1" applyBorder="1" applyAlignment="1">
      <alignment horizontal="center" vertical="center" wrapText="1"/>
    </xf>
    <xf numFmtId="193" fontId="83" fillId="55" borderId="145" xfId="751" applyNumberFormat="1" applyFont="1" applyFill="1" applyBorder="1" applyAlignment="1">
      <alignment horizontal="center" vertical="center" wrapText="1"/>
    </xf>
    <xf numFmtId="193" fontId="83" fillId="55" borderId="342" xfId="751" applyNumberFormat="1" applyFont="1" applyFill="1" applyBorder="1" applyAlignment="1">
      <alignment horizontal="center" vertical="center" wrapText="1"/>
    </xf>
    <xf numFmtId="0" fontId="83" fillId="55" borderId="8" xfId="182" applyFont="1" applyFill="1" applyBorder="1" applyAlignment="1">
      <alignment horizontal="center" vertical="center" wrapText="1"/>
    </xf>
    <xf numFmtId="193" fontId="83" fillId="55" borderId="267" xfId="751" applyNumberFormat="1" applyFont="1" applyFill="1" applyBorder="1" applyAlignment="1">
      <alignment horizontal="center" vertical="center"/>
    </xf>
    <xf numFmtId="0" fontId="83" fillId="55" borderId="178" xfId="182" applyFont="1" applyFill="1" applyBorder="1" applyAlignment="1">
      <alignment horizontal="center" vertical="center"/>
    </xf>
    <xf numFmtId="0" fontId="83" fillId="55" borderId="196" xfId="182" applyFont="1" applyFill="1" applyBorder="1" applyAlignment="1">
      <alignment horizontal="center" vertical="center"/>
    </xf>
    <xf numFmtId="0" fontId="83" fillId="55" borderId="8" xfId="182" applyFont="1" applyFill="1" applyBorder="1" applyAlignment="1">
      <alignment horizontal="center" vertical="center"/>
    </xf>
    <xf numFmtId="0" fontId="83" fillId="55" borderId="160" xfId="182" applyFont="1" applyFill="1" applyBorder="1" applyAlignment="1">
      <alignment horizontal="center" vertical="center"/>
    </xf>
    <xf numFmtId="0" fontId="83" fillId="0" borderId="287" xfId="751" applyFont="1" applyBorder="1" applyAlignment="1">
      <alignment horizontal="center" vertical="center" wrapText="1"/>
    </xf>
    <xf numFmtId="0" fontId="83" fillId="0" borderId="285" xfId="751" applyFont="1" applyBorder="1" applyAlignment="1">
      <alignment horizontal="center" vertical="center" wrapText="1"/>
    </xf>
    <xf numFmtId="0" fontId="81" fillId="8" borderId="12" xfId="0" applyFont="1" applyFill="1" applyBorder="1" applyAlignment="1">
      <alignment horizontal="center" vertical="center"/>
    </xf>
    <xf numFmtId="0" fontId="81" fillId="8" borderId="13" xfId="0" applyFont="1" applyFill="1" applyBorder="1" applyAlignment="1">
      <alignment horizontal="center" vertical="center"/>
    </xf>
    <xf numFmtId="0" fontId="81" fillId="8" borderId="231" xfId="0" applyFont="1" applyFill="1" applyBorder="1" applyAlignment="1">
      <alignment horizontal="center" vertical="center"/>
    </xf>
    <xf numFmtId="0" fontId="81" fillId="8" borderId="229" xfId="0" applyFont="1" applyFill="1" applyBorder="1" applyAlignment="1">
      <alignment horizontal="center" vertical="center"/>
    </xf>
    <xf numFmtId="0" fontId="74" fillId="0" borderId="246" xfId="0" applyFont="1" applyFill="1" applyBorder="1" applyAlignment="1">
      <alignment horizontal="center" vertical="center"/>
    </xf>
    <xf numFmtId="0" fontId="74" fillId="0" borderId="244" xfId="0" applyFont="1" applyFill="1" applyBorder="1" applyAlignment="1">
      <alignment horizontal="center" vertical="center"/>
    </xf>
    <xf numFmtId="0" fontId="74" fillId="0" borderId="231" xfId="0" applyFont="1" applyFill="1" applyBorder="1" applyAlignment="1">
      <alignment horizontal="center" vertical="center" wrapText="1"/>
    </xf>
    <xf numFmtId="0" fontId="74" fillId="0" borderId="231" xfId="0" applyFont="1" applyFill="1" applyBorder="1" applyAlignment="1">
      <alignment horizontal="center" vertical="center"/>
    </xf>
    <xf numFmtId="0" fontId="74" fillId="0" borderId="232" xfId="0" applyFont="1" applyFill="1" applyBorder="1" applyAlignment="1">
      <alignment horizontal="center" vertical="center"/>
    </xf>
    <xf numFmtId="0" fontId="76" fillId="0" borderId="4" xfId="750" applyFont="1" applyBorder="1" applyAlignment="1">
      <alignment horizontal="center" vertical="center"/>
    </xf>
    <xf numFmtId="0" fontId="75" fillId="2" borderId="1" xfId="750" applyFont="1" applyFill="1" applyBorder="1" applyAlignment="1">
      <alignment horizontal="center" vertical="center"/>
    </xf>
    <xf numFmtId="0" fontId="75" fillId="2" borderId="142" xfId="750" applyFont="1" applyFill="1" applyBorder="1" applyAlignment="1">
      <alignment horizontal="center" vertical="center"/>
    </xf>
    <xf numFmtId="0" fontId="75" fillId="8" borderId="14" xfId="750" applyFont="1" applyFill="1" applyBorder="1" applyAlignment="1">
      <alignment horizontal="center" vertical="center" wrapText="1"/>
    </xf>
    <xf numFmtId="0" fontId="75" fillId="8" borderId="161" xfId="750" applyFont="1" applyFill="1" applyBorder="1" applyAlignment="1">
      <alignment horizontal="center" vertical="center"/>
    </xf>
    <xf numFmtId="184" fontId="77" fillId="0" borderId="4" xfId="149" applyNumberFormat="1" applyFont="1" applyBorder="1" applyAlignment="1">
      <alignment horizontal="center" vertical="center"/>
    </xf>
    <xf numFmtId="41" fontId="76" fillId="0" borderId="4" xfId="149" applyFont="1" applyBorder="1" applyAlignment="1">
      <alignment horizontal="center" vertical="center"/>
    </xf>
    <xf numFmtId="0" fontId="75" fillId="2" borderId="12" xfId="750" applyFont="1" applyFill="1" applyBorder="1" applyAlignment="1">
      <alignment horizontal="center" vertical="center"/>
    </xf>
    <xf numFmtId="41" fontId="75" fillId="8" borderId="13" xfId="149" applyFont="1" applyFill="1" applyBorder="1" applyAlignment="1">
      <alignment horizontal="center" vertical="center" wrapText="1"/>
    </xf>
    <xf numFmtId="41" fontId="75" fillId="8" borderId="160" xfId="149" applyFont="1" applyFill="1" applyBorder="1" applyAlignment="1">
      <alignment horizontal="center" vertical="center"/>
    </xf>
    <xf numFmtId="0" fontId="75" fillId="8" borderId="13" xfId="750" applyFont="1" applyFill="1" applyBorder="1" applyAlignment="1">
      <alignment horizontal="center" vertical="center" wrapText="1"/>
    </xf>
    <xf numFmtId="0" fontId="75" fillId="8" borderId="160" xfId="750" applyFont="1" applyFill="1" applyBorder="1" applyAlignment="1">
      <alignment horizontal="center" vertical="center"/>
    </xf>
    <xf numFmtId="0" fontId="75" fillId="0" borderId="55" xfId="750" applyFont="1" applyFill="1" applyBorder="1" applyAlignment="1">
      <alignment horizontal="center" vertical="center"/>
    </xf>
    <xf numFmtId="41" fontId="41" fillId="0" borderId="26" xfId="750" applyNumberFormat="1" applyFont="1" applyBorder="1" applyAlignment="1">
      <alignment horizontal="center" vertical="center"/>
    </xf>
    <xf numFmtId="41" fontId="41" fillId="0" borderId="27" xfId="750" applyNumberFormat="1" applyFont="1" applyBorder="1" applyAlignment="1">
      <alignment horizontal="center" vertical="center"/>
    </xf>
    <xf numFmtId="41" fontId="41" fillId="0" borderId="28" xfId="750" applyNumberFormat="1" applyFont="1" applyBorder="1" applyAlignment="1">
      <alignment horizontal="center" vertical="center"/>
    </xf>
    <xf numFmtId="41" fontId="41" fillId="0" borderId="4" xfId="750" applyNumberFormat="1" applyFont="1" applyBorder="1" applyAlignment="1">
      <alignment horizontal="center" vertical="center"/>
    </xf>
    <xf numFmtId="0" fontId="63" fillId="8" borderId="26" xfId="750" applyFont="1" applyFill="1" applyBorder="1" applyAlignment="1">
      <alignment horizontal="center" vertical="center"/>
    </xf>
    <xf numFmtId="0" fontId="63" fillId="8" borderId="28" xfId="750" applyFont="1" applyFill="1" applyBorder="1" applyAlignment="1">
      <alignment horizontal="center" vertical="center"/>
    </xf>
    <xf numFmtId="41" fontId="75" fillId="8" borderId="191" xfId="149" applyFont="1" applyFill="1" applyBorder="1" applyAlignment="1">
      <alignment horizontal="center" vertical="center" wrapText="1"/>
    </xf>
    <xf numFmtId="41" fontId="75" fillId="8" borderId="191" xfId="149" applyFont="1" applyFill="1" applyBorder="1" applyAlignment="1">
      <alignment horizontal="center" vertical="center"/>
    </xf>
    <xf numFmtId="182" fontId="75" fillId="8" borderId="13" xfId="750" applyNumberFormat="1" applyFont="1" applyFill="1" applyBorder="1" applyAlignment="1">
      <alignment horizontal="center" vertical="center" wrapText="1"/>
    </xf>
    <xf numFmtId="182" fontId="75" fillId="8" borderId="160" xfId="750" applyNumberFormat="1" applyFont="1" applyFill="1" applyBorder="1" applyAlignment="1">
      <alignment horizontal="center" vertical="center" wrapText="1"/>
    </xf>
    <xf numFmtId="0" fontId="74" fillId="8" borderId="12" xfId="750" applyFont="1" applyFill="1" applyBorder="1" applyAlignment="1">
      <alignment horizontal="center" vertical="center" wrapText="1"/>
    </xf>
    <xf numFmtId="0" fontId="74" fillId="8" borderId="13" xfId="750" applyFont="1" applyFill="1" applyBorder="1" applyAlignment="1">
      <alignment horizontal="center" vertical="center" wrapText="1"/>
    </xf>
    <xf numFmtId="0" fontId="74" fillId="8" borderId="145" xfId="750" applyFont="1" applyFill="1" applyBorder="1" applyAlignment="1">
      <alignment horizontal="center" vertical="center" wrapText="1"/>
    </xf>
    <xf numFmtId="0" fontId="74" fillId="8" borderId="160" xfId="750" applyFont="1" applyFill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/>
    </xf>
    <xf numFmtId="0" fontId="77" fillId="0" borderId="21" xfId="750" applyFont="1" applyBorder="1" applyAlignment="1">
      <alignment horizontal="center" vertical="center"/>
    </xf>
    <xf numFmtId="0" fontId="77" fillId="0" borderId="20" xfId="750" applyFont="1" applyBorder="1" applyAlignment="1">
      <alignment horizontal="center" vertical="center"/>
    </xf>
    <xf numFmtId="0" fontId="76" fillId="0" borderId="21" xfId="750" applyFont="1" applyBorder="1" applyAlignment="1">
      <alignment horizontal="center" vertical="center"/>
    </xf>
    <xf numFmtId="0" fontId="76" fillId="0" borderId="20" xfId="750" applyFont="1" applyBorder="1" applyAlignment="1">
      <alignment horizontal="center" vertical="center"/>
    </xf>
    <xf numFmtId="41" fontId="76" fillId="0" borderId="21" xfId="149" applyFont="1" applyBorder="1" applyAlignment="1">
      <alignment horizontal="center" vertical="center"/>
    </xf>
    <xf numFmtId="41" fontId="76" fillId="0" borderId="20" xfId="149" applyFont="1" applyBorder="1" applyAlignment="1">
      <alignment horizontal="center" vertical="center"/>
    </xf>
    <xf numFmtId="0" fontId="76" fillId="2" borderId="26" xfId="750" applyFont="1" applyFill="1" applyBorder="1" applyAlignment="1">
      <alignment horizontal="center" vertical="center"/>
    </xf>
    <xf numFmtId="0" fontId="76" fillId="2" borderId="4" xfId="750" applyFont="1" applyFill="1" applyBorder="1" applyAlignment="1">
      <alignment horizontal="center" vertical="center"/>
    </xf>
    <xf numFmtId="0" fontId="38" fillId="8" borderId="14" xfId="0" applyFont="1" applyFill="1" applyBorder="1" applyAlignment="1">
      <alignment horizontal="center" vertical="center" wrapText="1"/>
    </xf>
    <xf numFmtId="0" fontId="38" fillId="8" borderId="179" xfId="0" applyFont="1" applyFill="1" applyBorder="1"/>
    <xf numFmtId="0" fontId="38" fillId="8" borderId="12" xfId="0" applyFont="1" applyFill="1" applyBorder="1" applyAlignment="1">
      <alignment horizontal="center" vertical="center" wrapText="1"/>
    </xf>
    <xf numFmtId="0" fontId="38" fillId="8" borderId="13" xfId="0" applyFont="1" applyFill="1" applyBorder="1" applyAlignment="1">
      <alignment horizontal="center" vertical="center" wrapText="1"/>
    </xf>
    <xf numFmtId="0" fontId="38" fillId="8" borderId="177" xfId="0" applyFont="1" applyFill="1" applyBorder="1" applyAlignment="1">
      <alignment horizontal="center" vertical="center" wrapText="1"/>
    </xf>
    <xf numFmtId="0" fontId="38" fillId="8" borderId="178" xfId="0" applyFont="1" applyFill="1" applyBorder="1" applyAlignment="1">
      <alignment horizontal="center" vertical="center" wrapText="1"/>
    </xf>
    <xf numFmtId="0" fontId="150" fillId="50" borderId="12" xfId="750" applyFont="1" applyFill="1" applyBorder="1" applyAlignment="1">
      <alignment horizontal="center" vertical="center"/>
    </xf>
    <xf numFmtId="0" fontId="150" fillId="50" borderId="231" xfId="750" applyFont="1" applyFill="1" applyBorder="1" applyAlignment="1">
      <alignment horizontal="center" vertical="center"/>
    </xf>
    <xf numFmtId="0" fontId="150" fillId="50" borderId="232" xfId="750" applyFont="1" applyFill="1" applyBorder="1" applyAlignment="1">
      <alignment horizontal="center" vertical="center"/>
    </xf>
    <xf numFmtId="0" fontId="38" fillId="8" borderId="178" xfId="0" applyFont="1" applyFill="1" applyBorder="1"/>
    <xf numFmtId="9" fontId="155" fillId="8" borderId="4" xfId="140" applyFont="1" applyFill="1" applyBorder="1" applyAlignment="1">
      <alignment horizontal="center" vertical="center" wrapText="1"/>
    </xf>
    <xf numFmtId="0" fontId="155" fillId="50" borderId="1" xfId="750" applyFont="1" applyFill="1" applyBorder="1" applyAlignment="1">
      <alignment horizontal="center" vertical="center"/>
    </xf>
    <xf numFmtId="0" fontId="155" fillId="50" borderId="142" xfId="750" applyFont="1" applyFill="1" applyBorder="1" applyAlignment="1">
      <alignment horizontal="center" vertical="center"/>
    </xf>
    <xf numFmtId="0" fontId="155" fillId="50" borderId="12" xfId="750" applyFont="1" applyFill="1" applyBorder="1" applyAlignment="1">
      <alignment horizontal="center" vertical="center"/>
    </xf>
    <xf numFmtId="0" fontId="155" fillId="8" borderId="14" xfId="0" applyFont="1" applyFill="1" applyBorder="1" applyAlignment="1">
      <alignment horizontal="center" vertical="center" wrapText="1"/>
    </xf>
    <xf numFmtId="0" fontId="155" fillId="8" borderId="161" xfId="0" applyFont="1" applyFill="1" applyBorder="1" applyAlignment="1">
      <alignment horizontal="center" vertical="center"/>
    </xf>
    <xf numFmtId="0" fontId="155" fillId="8" borderId="12" xfId="0" applyFont="1" applyFill="1" applyBorder="1" applyAlignment="1">
      <alignment horizontal="center" vertical="center" wrapText="1"/>
    </xf>
    <xf numFmtId="0" fontId="155" fillId="8" borderId="13" xfId="0" applyFont="1" applyFill="1" applyBorder="1" applyAlignment="1">
      <alignment horizontal="center" vertical="center" wrapText="1"/>
    </xf>
    <xf numFmtId="0" fontId="155" fillId="8" borderId="145" xfId="0" applyFont="1" applyFill="1" applyBorder="1" applyAlignment="1">
      <alignment horizontal="center" vertical="center" wrapText="1"/>
    </xf>
    <xf numFmtId="0" fontId="155" fillId="8" borderId="160" xfId="0" applyFont="1" applyFill="1" applyBorder="1" applyAlignment="1">
      <alignment horizontal="center" vertical="center" wrapText="1"/>
    </xf>
    <xf numFmtId="0" fontId="155" fillId="8" borderId="160" xfId="0" applyFont="1" applyFill="1" applyBorder="1" applyAlignment="1">
      <alignment horizontal="center" vertical="center"/>
    </xf>
    <xf numFmtId="0" fontId="155" fillId="50" borderId="4" xfId="750" applyFont="1" applyFill="1" applyBorder="1" applyAlignment="1">
      <alignment horizontal="center" vertical="center"/>
    </xf>
    <xf numFmtId="201" fontId="66" fillId="2" borderId="35" xfId="188" applyNumberFormat="1" applyFont="1" applyFill="1" applyBorder="1" applyAlignment="1">
      <alignment horizontal="center" vertical="center" wrapText="1"/>
    </xf>
    <xf numFmtId="201" fontId="66" fillId="2" borderId="32" xfId="188" applyNumberFormat="1" applyFont="1" applyFill="1" applyBorder="1" applyAlignment="1">
      <alignment horizontal="center" vertical="center" wrapText="1"/>
    </xf>
    <xf numFmtId="0" fontId="66" fillId="10" borderId="26" xfId="0" applyFont="1" applyFill="1" applyBorder="1" applyAlignment="1">
      <alignment horizontal="center" vertical="center"/>
    </xf>
    <xf numFmtId="0" fontId="66" fillId="10" borderId="27" xfId="0" applyFont="1" applyFill="1" applyBorder="1" applyAlignment="1">
      <alignment horizontal="center" vertical="center"/>
    </xf>
    <xf numFmtId="0" fontId="66" fillId="10" borderId="28" xfId="0" applyFont="1" applyFill="1" applyBorder="1" applyAlignment="1">
      <alignment horizontal="center" vertical="center"/>
    </xf>
    <xf numFmtId="201" fontId="66" fillId="2" borderId="4" xfId="188" applyNumberFormat="1" applyFont="1" applyFill="1" applyBorder="1" applyAlignment="1">
      <alignment horizontal="center" vertical="center" wrapText="1"/>
    </xf>
    <xf numFmtId="201" fontId="66" fillId="2" borderId="36" xfId="188" applyNumberFormat="1" applyFont="1" applyFill="1" applyBorder="1" applyAlignment="1">
      <alignment horizontal="center" vertical="center" wrapText="1"/>
    </xf>
    <xf numFmtId="201" fontId="66" fillId="2" borderId="34" xfId="188" applyNumberFormat="1" applyFont="1" applyFill="1" applyBorder="1" applyAlignment="1">
      <alignment horizontal="center" vertical="center" wrapText="1"/>
    </xf>
    <xf numFmtId="201" fontId="66" fillId="2" borderId="29" xfId="188" applyNumberFormat="1" applyFont="1" applyFill="1" applyBorder="1" applyAlignment="1">
      <alignment horizontal="center" vertical="center" wrapText="1"/>
    </xf>
    <xf numFmtId="201" fontId="66" fillId="2" borderId="26" xfId="188" applyNumberFormat="1" applyFont="1" applyFill="1" applyBorder="1" applyAlignment="1">
      <alignment horizontal="center" vertical="center" wrapText="1"/>
    </xf>
    <xf numFmtId="201" fontId="66" fillId="2" borderId="27" xfId="188" applyNumberFormat="1" applyFont="1" applyFill="1" applyBorder="1" applyAlignment="1">
      <alignment horizontal="center" vertical="center" wrapText="1"/>
    </xf>
    <xf numFmtId="201" fontId="66" fillId="2" borderId="28" xfId="188" applyNumberFormat="1" applyFont="1" applyFill="1" applyBorder="1" applyAlignment="1">
      <alignment horizontal="center" vertical="center" wrapText="1"/>
    </xf>
    <xf numFmtId="201" fontId="66" fillId="2" borderId="33" xfId="188" applyNumberFormat="1" applyFont="1" applyFill="1" applyBorder="1" applyAlignment="1">
      <alignment horizontal="center" vertical="center" wrapText="1"/>
    </xf>
    <xf numFmtId="0" fontId="66" fillId="10" borderId="4" xfId="0" applyFont="1" applyFill="1" applyBorder="1" applyAlignment="1">
      <alignment horizontal="center" vertical="center"/>
    </xf>
    <xf numFmtId="201" fontId="66" fillId="2" borderId="21" xfId="188" applyNumberFormat="1" applyFont="1" applyFill="1" applyBorder="1" applyAlignment="1">
      <alignment horizontal="center" vertical="center" wrapText="1"/>
    </xf>
    <xf numFmtId="201" fontId="66" fillId="2" borderId="3" xfId="188" applyNumberFormat="1" applyFont="1" applyFill="1" applyBorder="1" applyAlignment="1">
      <alignment horizontal="center" vertical="center" wrapText="1"/>
    </xf>
    <xf numFmtId="201" fontId="66" fillId="2" borderId="20" xfId="188" applyNumberFormat="1" applyFont="1" applyFill="1" applyBorder="1" applyAlignment="1">
      <alignment horizontal="center" vertical="center" wrapText="1"/>
    </xf>
    <xf numFmtId="41" fontId="41" fillId="0" borderId="242" xfId="750" applyNumberFormat="1" applyFont="1" applyBorder="1" applyAlignment="1">
      <alignment horizontal="center" vertical="center"/>
    </xf>
    <xf numFmtId="0" fontId="75" fillId="2" borderId="284" xfId="750" applyFont="1" applyFill="1" applyBorder="1" applyAlignment="1">
      <alignment horizontal="center" vertical="center"/>
    </xf>
    <xf numFmtId="0" fontId="75" fillId="2" borderId="286" xfId="750" applyFont="1" applyFill="1" applyBorder="1" applyAlignment="1">
      <alignment horizontal="center" vertical="center"/>
    </xf>
    <xf numFmtId="0" fontId="75" fillId="2" borderId="288" xfId="750" applyFont="1" applyFill="1" applyBorder="1" applyAlignment="1">
      <alignment horizontal="center" vertical="center"/>
    </xf>
    <xf numFmtId="0" fontId="75" fillId="2" borderId="266" xfId="750" applyFont="1" applyFill="1" applyBorder="1" applyAlignment="1">
      <alignment horizontal="center" vertical="center"/>
    </xf>
    <xf numFmtId="0" fontId="75" fillId="2" borderId="259" xfId="750" applyFont="1" applyFill="1" applyBorder="1" applyAlignment="1">
      <alignment horizontal="center" vertical="center"/>
    </xf>
    <xf numFmtId="0" fontId="75" fillId="2" borderId="254" xfId="750" applyFont="1" applyFill="1" applyBorder="1" applyAlignment="1">
      <alignment horizontal="center" vertical="center"/>
    </xf>
    <xf numFmtId="0" fontId="75" fillId="2" borderId="247" xfId="750" applyFont="1" applyFill="1" applyBorder="1" applyAlignment="1">
      <alignment horizontal="center" vertical="center"/>
    </xf>
    <xf numFmtId="0" fontId="75" fillId="2" borderId="263" xfId="750" applyFont="1" applyFill="1" applyBorder="1" applyAlignment="1">
      <alignment horizontal="center" vertical="center"/>
    </xf>
    <xf numFmtId="0" fontId="75" fillId="2" borderId="300" xfId="750" applyFont="1" applyFill="1" applyBorder="1" applyAlignment="1">
      <alignment horizontal="center" vertical="center"/>
    </xf>
    <xf numFmtId="0" fontId="74" fillId="8" borderId="247" xfId="750" applyFont="1" applyFill="1" applyBorder="1" applyAlignment="1">
      <alignment horizontal="center" vertical="center" wrapText="1"/>
    </xf>
    <xf numFmtId="0" fontId="74" fillId="8" borderId="248" xfId="750" applyFont="1" applyFill="1" applyBorder="1" applyAlignment="1">
      <alignment horizontal="center" vertical="center" wrapText="1"/>
    </xf>
    <xf numFmtId="0" fontId="74" fillId="8" borderId="254" xfId="750" applyFont="1" applyFill="1" applyBorder="1" applyAlignment="1">
      <alignment horizontal="center" vertical="center" wrapText="1"/>
    </xf>
    <xf numFmtId="0" fontId="74" fillId="8" borderId="255" xfId="750" applyFont="1" applyFill="1" applyBorder="1" applyAlignment="1">
      <alignment horizontal="center" vertical="center" wrapText="1"/>
    </xf>
    <xf numFmtId="41" fontId="75" fillId="8" borderId="248" xfId="1518" applyFont="1" applyFill="1" applyBorder="1" applyAlignment="1">
      <alignment horizontal="center" vertical="center" wrapText="1"/>
    </xf>
    <xf numFmtId="41" fontId="75" fillId="8" borderId="255" xfId="1518" applyFont="1" applyFill="1" applyBorder="1" applyAlignment="1">
      <alignment horizontal="center" vertical="center"/>
    </xf>
    <xf numFmtId="41" fontId="75" fillId="8" borderId="248" xfId="149" applyFont="1" applyFill="1" applyBorder="1" applyAlignment="1">
      <alignment horizontal="center" vertical="center" wrapText="1"/>
    </xf>
    <xf numFmtId="41" fontId="75" fillId="8" borderId="255" xfId="149" applyFont="1" applyFill="1" applyBorder="1" applyAlignment="1">
      <alignment horizontal="center" vertical="center"/>
    </xf>
    <xf numFmtId="0" fontId="75" fillId="8" borderId="248" xfId="750" applyFont="1" applyFill="1" applyBorder="1" applyAlignment="1">
      <alignment horizontal="center" vertical="center" wrapText="1"/>
    </xf>
    <xf numFmtId="0" fontId="75" fillId="8" borderId="255" xfId="750" applyFont="1" applyFill="1" applyBorder="1" applyAlignment="1">
      <alignment horizontal="center" vertical="center"/>
    </xf>
    <xf numFmtId="41" fontId="75" fillId="8" borderId="249" xfId="1518" applyFont="1" applyFill="1" applyBorder="1" applyAlignment="1">
      <alignment horizontal="center" vertical="center" wrapText="1"/>
    </xf>
    <xf numFmtId="41" fontId="75" fillId="8" borderId="250" xfId="1518" applyFont="1" applyFill="1" applyBorder="1" applyAlignment="1">
      <alignment horizontal="center" vertical="center" wrapText="1"/>
    </xf>
    <xf numFmtId="41" fontId="75" fillId="8" borderId="251" xfId="1518" applyFont="1" applyFill="1" applyBorder="1" applyAlignment="1">
      <alignment horizontal="center" vertical="center" wrapText="1"/>
    </xf>
    <xf numFmtId="182" fontId="75" fillId="8" borderId="252" xfId="750" applyNumberFormat="1" applyFont="1" applyFill="1" applyBorder="1" applyAlignment="1">
      <alignment horizontal="center" vertical="center" wrapText="1"/>
    </xf>
    <xf numFmtId="182" fontId="75" fillId="8" borderId="256" xfId="750" applyNumberFormat="1" applyFont="1" applyFill="1" applyBorder="1" applyAlignment="1">
      <alignment horizontal="center" vertical="center" wrapText="1"/>
    </xf>
    <xf numFmtId="0" fontId="75" fillId="8" borderId="253" xfId="750" applyFont="1" applyFill="1" applyBorder="1" applyAlignment="1">
      <alignment horizontal="center" vertical="center" wrapText="1"/>
    </xf>
    <xf numFmtId="0" fontId="75" fillId="8" borderId="257" xfId="750" applyFont="1" applyFill="1" applyBorder="1" applyAlignment="1">
      <alignment horizontal="center" vertical="center" wrapText="1"/>
    </xf>
    <xf numFmtId="0" fontId="145" fillId="15" borderId="12" xfId="0" applyFont="1" applyFill="1" applyBorder="1" applyAlignment="1">
      <alignment horizontal="center" vertical="center" wrapText="1"/>
    </xf>
    <xf numFmtId="0" fontId="145" fillId="15" borderId="1" xfId="0" applyFont="1" applyFill="1" applyBorder="1" applyAlignment="1">
      <alignment horizontal="center" vertical="center" wrapText="1"/>
    </xf>
    <xf numFmtId="0" fontId="148" fillId="15" borderId="13" xfId="0" applyFont="1" applyFill="1" applyBorder="1" applyAlignment="1">
      <alignment horizontal="center" vertical="center" wrapText="1"/>
    </xf>
    <xf numFmtId="0" fontId="148" fillId="15" borderId="8" xfId="0" applyFont="1" applyFill="1" applyBorder="1" applyAlignment="1">
      <alignment horizontal="center" vertical="center" wrapText="1"/>
    </xf>
    <xf numFmtId="0" fontId="148" fillId="15" borderId="14" xfId="0" applyFont="1" applyFill="1" applyBorder="1" applyAlignment="1">
      <alignment horizontal="center" vertical="center" wrapText="1"/>
    </xf>
    <xf numFmtId="0" fontId="148" fillId="15" borderId="15" xfId="0" applyFont="1" applyFill="1" applyBorder="1" applyAlignment="1">
      <alignment horizontal="center" vertical="center" wrapText="1"/>
    </xf>
    <xf numFmtId="3" fontId="146" fillId="0" borderId="17" xfId="182" applyNumberFormat="1" applyFont="1" applyBorder="1" applyAlignment="1">
      <alignment horizontal="center" vertical="center"/>
    </xf>
    <xf numFmtId="0" fontId="146" fillId="0" borderId="17" xfId="182" applyFont="1" applyBorder="1" applyAlignment="1">
      <alignment horizontal="center" vertical="center"/>
    </xf>
    <xf numFmtId="183" fontId="139" fillId="0" borderId="253" xfId="155" applyNumberFormat="1" applyFont="1" applyFill="1" applyBorder="1" applyAlignment="1">
      <alignment horizontal="center" vertical="center"/>
    </xf>
    <xf numFmtId="183" fontId="139" fillId="0" borderId="257" xfId="155" applyNumberFormat="1" applyFont="1" applyFill="1" applyBorder="1" applyAlignment="1">
      <alignment horizontal="center" vertical="center"/>
    </xf>
    <xf numFmtId="183" fontId="139" fillId="0" borderId="331" xfId="155" applyNumberFormat="1" applyFont="1" applyFill="1" applyBorder="1" applyAlignment="1">
      <alignment horizontal="center" vertical="center"/>
    </xf>
    <xf numFmtId="0" fontId="99" fillId="15" borderId="12" xfId="182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/>
    </xf>
    <xf numFmtId="0" fontId="99" fillId="0" borderId="1" xfId="182" applyFont="1" applyFill="1" applyBorder="1" applyAlignment="1">
      <alignment horizontal="center" vertical="center" wrapText="1"/>
    </xf>
    <xf numFmtId="0" fontId="99" fillId="0" borderId="1" xfId="182" applyFont="1" applyFill="1" applyBorder="1" applyAlignment="1">
      <alignment horizontal="center" vertical="center"/>
    </xf>
    <xf numFmtId="0" fontId="99" fillId="0" borderId="145" xfId="182" applyFont="1" applyFill="1" applyBorder="1" applyAlignment="1">
      <alignment horizontal="center" vertical="center"/>
    </xf>
    <xf numFmtId="0" fontId="99" fillId="0" borderId="16" xfId="182" applyFont="1" applyFill="1" applyBorder="1" applyAlignment="1">
      <alignment horizontal="center" vertical="center"/>
    </xf>
    <xf numFmtId="0" fontId="99" fillId="15" borderId="247" xfId="182" applyFont="1" applyFill="1" applyBorder="1" applyAlignment="1">
      <alignment horizontal="center" vertical="center"/>
    </xf>
    <xf numFmtId="0" fontId="99" fillId="15" borderId="248" xfId="182" applyFont="1" applyFill="1" applyBorder="1" applyAlignment="1">
      <alignment horizontal="center" vertical="center"/>
    </xf>
    <xf numFmtId="0" fontId="99" fillId="0" borderId="259" xfId="182" applyFont="1" applyFill="1" applyBorder="1" applyAlignment="1">
      <alignment horizontal="center" vertical="center" wrapText="1"/>
    </xf>
    <xf numFmtId="0" fontId="99" fillId="0" borderId="259" xfId="182" applyFont="1" applyFill="1" applyBorder="1" applyAlignment="1">
      <alignment horizontal="center" vertical="center"/>
    </xf>
    <xf numFmtId="0" fontId="99" fillId="0" borderId="263" xfId="182" applyFont="1" applyFill="1" applyBorder="1" applyAlignment="1">
      <alignment horizontal="center" vertical="center"/>
    </xf>
    <xf numFmtId="0" fontId="99" fillId="15" borderId="284" xfId="182" applyFont="1" applyFill="1" applyBorder="1" applyAlignment="1">
      <alignment horizontal="center" vertical="center"/>
    </xf>
    <xf numFmtId="0" fontId="99" fillId="15" borderId="275" xfId="182" applyFont="1" applyFill="1" applyBorder="1" applyAlignment="1">
      <alignment horizontal="center" vertical="center"/>
    </xf>
    <xf numFmtId="0" fontId="83" fillId="15" borderId="12" xfId="750" applyFont="1" applyFill="1" applyBorder="1" applyAlignment="1">
      <alignment horizontal="center" vertical="center"/>
    </xf>
    <xf numFmtId="0" fontId="83" fillId="15" borderId="13" xfId="750" applyFont="1" applyFill="1" applyBorder="1" applyAlignment="1">
      <alignment horizontal="center" vertical="center"/>
    </xf>
    <xf numFmtId="0" fontId="83" fillId="0" borderId="1" xfId="750" applyFont="1" applyBorder="1" applyAlignment="1">
      <alignment horizontal="center" vertical="center"/>
    </xf>
    <xf numFmtId="0" fontId="83" fillId="0" borderId="8" xfId="750" applyFont="1" applyBorder="1" applyAlignment="1">
      <alignment horizontal="center" vertical="center"/>
    </xf>
    <xf numFmtId="0" fontId="83" fillId="0" borderId="259" xfId="182" applyFont="1" applyFill="1" applyBorder="1" applyAlignment="1">
      <alignment horizontal="center" vertical="center"/>
    </xf>
    <xf numFmtId="0" fontId="83" fillId="0" borderId="263" xfId="182" applyFont="1" applyFill="1" applyBorder="1" applyAlignment="1">
      <alignment horizontal="center" vertical="center"/>
    </xf>
    <xf numFmtId="0" fontId="139" fillId="0" borderId="259" xfId="182" applyFont="1" applyFill="1" applyBorder="1" applyAlignment="1">
      <alignment horizontal="center" vertical="center" wrapText="1"/>
    </xf>
    <xf numFmtId="0" fontId="139" fillId="0" borderId="259" xfId="182" applyFont="1" applyFill="1" applyBorder="1" applyAlignment="1">
      <alignment horizontal="center" vertical="center"/>
    </xf>
    <xf numFmtId="0" fontId="139" fillId="0" borderId="254" xfId="182" applyFont="1" applyFill="1" applyBorder="1" applyAlignment="1">
      <alignment horizontal="center" vertical="center"/>
    </xf>
    <xf numFmtId="0" fontId="139" fillId="15" borderId="247" xfId="182" applyFont="1" applyFill="1" applyBorder="1" applyAlignment="1">
      <alignment horizontal="center" vertical="center"/>
    </xf>
    <xf numFmtId="0" fontId="139" fillId="15" borderId="248" xfId="182" applyFont="1" applyFill="1" applyBorder="1" applyAlignment="1">
      <alignment horizontal="center" vertical="center"/>
    </xf>
    <xf numFmtId="0" fontId="139" fillId="15" borderId="259" xfId="182" applyFont="1" applyFill="1" applyBorder="1" applyAlignment="1">
      <alignment horizontal="center" vertical="center"/>
    </xf>
    <xf numFmtId="0" fontId="139" fillId="15" borderId="260" xfId="182" applyFont="1" applyFill="1" applyBorder="1" applyAlignment="1">
      <alignment horizontal="center" vertical="center"/>
    </xf>
    <xf numFmtId="0" fontId="99" fillId="0" borderId="329" xfId="182" applyFont="1" applyFill="1" applyBorder="1" applyAlignment="1">
      <alignment horizontal="center" vertical="center" wrapText="1"/>
    </xf>
    <xf numFmtId="0" fontId="99" fillId="0" borderId="322" xfId="182" applyFont="1" applyFill="1" applyBorder="1" applyAlignment="1">
      <alignment horizontal="center" vertical="center" wrapText="1"/>
    </xf>
    <xf numFmtId="0" fontId="99" fillId="0" borderId="327" xfId="182" applyFont="1" applyFill="1" applyBorder="1" applyAlignment="1">
      <alignment horizontal="center" vertical="center" wrapText="1"/>
    </xf>
    <xf numFmtId="0" fontId="83" fillId="0" borderId="16" xfId="0" applyFont="1" applyFill="1" applyBorder="1" applyAlignment="1">
      <alignment horizontal="center"/>
    </xf>
    <xf numFmtId="0" fontId="83" fillId="0" borderId="17" xfId="0" applyFont="1" applyFill="1" applyBorder="1" applyAlignment="1">
      <alignment horizontal="center"/>
    </xf>
    <xf numFmtId="0" fontId="99" fillId="15" borderId="259" xfId="182" applyFont="1" applyFill="1" applyBorder="1" applyAlignment="1">
      <alignment horizontal="center" vertical="center"/>
    </xf>
    <xf numFmtId="0" fontId="99" fillId="15" borderId="260" xfId="182" applyFont="1" applyFill="1" applyBorder="1" applyAlignment="1">
      <alignment horizontal="center" vertical="center"/>
    </xf>
    <xf numFmtId="0" fontId="83" fillId="8" borderId="14" xfId="0" applyFont="1" applyFill="1" applyBorder="1" applyAlignment="1">
      <alignment horizontal="center" vertical="center" wrapText="1"/>
    </xf>
    <xf numFmtId="0" fontId="83" fillId="8" borderId="15" xfId="0" applyFont="1" applyFill="1" applyBorder="1" applyAlignment="1">
      <alignment horizontal="center" vertical="center"/>
    </xf>
    <xf numFmtId="0" fontId="83" fillId="0" borderId="1" xfId="182" applyFont="1" applyFill="1" applyBorder="1" applyAlignment="1">
      <alignment horizontal="center" vertical="center"/>
    </xf>
    <xf numFmtId="0" fontId="83" fillId="0" borderId="16" xfId="182" applyFont="1" applyFill="1" applyBorder="1" applyAlignment="1">
      <alignment horizontal="center" vertical="center"/>
    </xf>
    <xf numFmtId="0" fontId="83" fillId="8" borderId="13" xfId="0" applyFont="1" applyFill="1" applyBorder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/>
    </xf>
    <xf numFmtId="0" fontId="99" fillId="0" borderId="330" xfId="182" applyFont="1" applyFill="1" applyBorder="1" applyAlignment="1">
      <alignment horizontal="center" vertical="center" wrapText="1"/>
    </xf>
    <xf numFmtId="0" fontId="99" fillId="0" borderId="194" xfId="182" applyFont="1" applyFill="1" applyBorder="1" applyAlignment="1">
      <alignment horizontal="center" vertical="center" wrapText="1"/>
    </xf>
    <xf numFmtId="0" fontId="99" fillId="0" borderId="195" xfId="182" applyFont="1" applyFill="1" applyBorder="1" applyAlignment="1">
      <alignment horizontal="center" vertical="center" wrapText="1"/>
    </xf>
    <xf numFmtId="0" fontId="83" fillId="8" borderId="12" xfId="0" applyFont="1" applyFill="1" applyBorder="1" applyAlignment="1">
      <alignment horizontal="center" vertical="center" wrapText="1"/>
    </xf>
    <xf numFmtId="0" fontId="83" fillId="8" borderId="1" xfId="0" applyFont="1" applyFill="1" applyBorder="1" applyAlignment="1">
      <alignment horizontal="center" vertical="center" wrapText="1"/>
    </xf>
    <xf numFmtId="0" fontId="84" fillId="0" borderId="177" xfId="750" applyFont="1" applyBorder="1" applyAlignment="1">
      <alignment horizontal="center" vertical="center"/>
    </xf>
    <xf numFmtId="0" fontId="84" fillId="0" borderId="104" xfId="750" applyFont="1" applyBorder="1" applyAlignment="1">
      <alignment horizontal="center" vertical="center"/>
    </xf>
    <xf numFmtId="0" fontId="84" fillId="0" borderId="203" xfId="750" applyFont="1" applyBorder="1" applyAlignment="1">
      <alignment horizontal="center" vertical="center"/>
    </xf>
    <xf numFmtId="0" fontId="99" fillId="0" borderId="333" xfId="182" applyFont="1" applyFill="1" applyBorder="1" applyAlignment="1">
      <alignment horizontal="center" vertical="center" wrapText="1"/>
    </xf>
    <xf numFmtId="0" fontId="99" fillId="0" borderId="104" xfId="182" applyFont="1" applyFill="1" applyBorder="1" applyAlignment="1">
      <alignment horizontal="center" vertical="center" wrapText="1"/>
    </xf>
    <xf numFmtId="0" fontId="99" fillId="0" borderId="334" xfId="182" applyFont="1" applyFill="1" applyBorder="1" applyAlignment="1">
      <alignment horizontal="center" vertical="center" wrapText="1"/>
    </xf>
    <xf numFmtId="0" fontId="99" fillId="15" borderId="12" xfId="182" applyFont="1" applyFill="1" applyBorder="1" applyAlignment="1">
      <alignment horizontal="center" vertical="center" wrapText="1"/>
    </xf>
    <xf numFmtId="0" fontId="99" fillId="15" borderId="1" xfId="182" applyFont="1" applyFill="1" applyBorder="1" applyAlignment="1">
      <alignment horizontal="center" vertical="center" wrapText="1"/>
    </xf>
    <xf numFmtId="41" fontId="99" fillId="0" borderId="8" xfId="182" applyNumberFormat="1" applyFont="1" applyFill="1" applyBorder="1" applyAlignment="1">
      <alignment horizontal="center" vertical="center"/>
    </xf>
    <xf numFmtId="41" fontId="99" fillId="0" borderId="15" xfId="182" applyNumberFormat="1" applyFont="1" applyFill="1" applyBorder="1" applyAlignment="1">
      <alignment horizontal="center" vertical="center"/>
    </xf>
    <xf numFmtId="0" fontId="99" fillId="15" borderId="13" xfId="182" applyFont="1" applyFill="1" applyBorder="1" applyAlignment="1">
      <alignment horizontal="center" vertical="center" wrapText="1"/>
    </xf>
    <xf numFmtId="0" fontId="99" fillId="15" borderId="14" xfId="182" applyFont="1" applyFill="1" applyBorder="1" applyAlignment="1">
      <alignment horizontal="center" vertical="center" wrapText="1"/>
    </xf>
    <xf numFmtId="0" fontId="99" fillId="15" borderId="8" xfId="182" applyFont="1" applyFill="1" applyBorder="1" applyAlignment="1">
      <alignment horizontal="center" vertical="center" wrapText="1"/>
    </xf>
    <xf numFmtId="0" fontId="99" fillId="15" borderId="15" xfId="182" applyFont="1" applyFill="1" applyBorder="1" applyAlignment="1">
      <alignment horizontal="center" vertical="center" wrapText="1"/>
    </xf>
    <xf numFmtId="41" fontId="99" fillId="0" borderId="17" xfId="182" applyNumberFormat="1" applyFont="1" applyBorder="1" applyAlignment="1">
      <alignment horizontal="center" vertical="center"/>
    </xf>
    <xf numFmtId="41" fontId="99" fillId="0" borderId="18" xfId="182" applyNumberFormat="1" applyFont="1" applyBorder="1" applyAlignment="1">
      <alignment horizontal="center" vertical="center"/>
    </xf>
    <xf numFmtId="41" fontId="99" fillId="0" borderId="8" xfId="182" applyNumberFormat="1" applyFont="1" applyBorder="1" applyAlignment="1">
      <alignment horizontal="center" vertical="center"/>
    </xf>
    <xf numFmtId="41" fontId="99" fillId="0" borderId="15" xfId="182" applyNumberFormat="1" applyFont="1" applyBorder="1" applyAlignment="1">
      <alignment horizontal="center" vertical="center"/>
    </xf>
    <xf numFmtId="0" fontId="99" fillId="15" borderId="258" xfId="182" applyFont="1" applyFill="1" applyBorder="1" applyAlignment="1">
      <alignment horizontal="center" vertical="center"/>
    </xf>
    <xf numFmtId="0" fontId="99" fillId="15" borderId="261" xfId="182" applyFont="1" applyFill="1" applyBorder="1" applyAlignment="1">
      <alignment horizontal="center" vertical="center"/>
    </xf>
    <xf numFmtId="0" fontId="84" fillId="0" borderId="1" xfId="750" applyFont="1" applyBorder="1" applyAlignment="1">
      <alignment horizontal="center" vertical="center"/>
    </xf>
    <xf numFmtId="0" fontId="147" fillId="0" borderId="247" xfId="182" applyFont="1" applyFill="1" applyBorder="1" applyAlignment="1">
      <alignment horizontal="center" vertical="center"/>
    </xf>
    <xf numFmtId="0" fontId="147" fillId="0" borderId="259" xfId="182" applyFont="1" applyFill="1" applyBorder="1" applyAlignment="1">
      <alignment horizontal="center" vertical="center"/>
    </xf>
    <xf numFmtId="0" fontId="147" fillId="0" borderId="263" xfId="182" applyFont="1" applyFill="1" applyBorder="1" applyAlignment="1">
      <alignment horizontal="center" vertical="center"/>
    </xf>
    <xf numFmtId="0" fontId="139" fillId="15" borderId="258" xfId="182" applyFont="1" applyFill="1" applyBorder="1" applyAlignment="1">
      <alignment horizontal="center" vertical="center"/>
    </xf>
    <xf numFmtId="0" fontId="139" fillId="15" borderId="261" xfId="182" applyFont="1" applyFill="1" applyBorder="1" applyAlignment="1">
      <alignment horizontal="center" vertical="center"/>
    </xf>
    <xf numFmtId="0" fontId="160" fillId="0" borderId="4" xfId="0" applyFont="1" applyBorder="1" applyAlignment="1">
      <alignment horizontal="center" vertical="center" wrapText="1"/>
    </xf>
    <xf numFmtId="0" fontId="160" fillId="0" borderId="226" xfId="0" applyFont="1" applyBorder="1" applyAlignment="1">
      <alignment horizontal="center" vertical="center" wrapText="1"/>
    </xf>
    <xf numFmtId="0" fontId="160" fillId="0" borderId="26" xfId="0" applyFont="1" applyBorder="1" applyAlignment="1">
      <alignment horizontal="center" vertical="center" wrapText="1"/>
    </xf>
    <xf numFmtId="0" fontId="160" fillId="0" borderId="27" xfId="0" applyFont="1" applyBorder="1" applyAlignment="1">
      <alignment horizontal="center" vertical="center" wrapText="1"/>
    </xf>
    <xf numFmtId="0" fontId="160" fillId="0" borderId="28" xfId="0" applyFont="1" applyBorder="1" applyAlignment="1">
      <alignment horizontal="center" vertical="center" wrapText="1"/>
    </xf>
    <xf numFmtId="0" fontId="162" fillId="54" borderId="4" xfId="0" applyFont="1" applyFill="1" applyBorder="1" applyAlignment="1">
      <alignment horizontal="center" vertical="center" wrapText="1"/>
    </xf>
    <xf numFmtId="183" fontId="146" fillId="0" borderId="262" xfId="155" applyNumberFormat="1" applyFont="1" applyBorder="1" applyAlignment="1">
      <alignment horizontal="center" vertical="center"/>
    </xf>
    <xf numFmtId="183" fontId="146" fillId="0" borderId="257" xfId="155" applyNumberFormat="1" applyFont="1" applyBorder="1" applyAlignment="1">
      <alignment horizontal="center" vertical="center"/>
    </xf>
    <xf numFmtId="183" fontId="146" fillId="0" borderId="268" xfId="155" applyNumberFormat="1" applyFont="1" applyBorder="1" applyAlignment="1">
      <alignment horizontal="center" vertical="center"/>
    </xf>
    <xf numFmtId="183" fontId="146" fillId="0" borderId="262" xfId="182" applyNumberFormat="1" applyFont="1" applyBorder="1" applyAlignment="1">
      <alignment horizontal="center" vertical="center"/>
    </xf>
    <xf numFmtId="183" fontId="146" fillId="0" borderId="257" xfId="182" applyNumberFormat="1" applyFont="1" applyBorder="1" applyAlignment="1">
      <alignment horizontal="center" vertical="center"/>
    </xf>
    <xf numFmtId="183" fontId="146" fillId="0" borderId="268" xfId="182" applyNumberFormat="1" applyFont="1" applyBorder="1" applyAlignment="1">
      <alignment horizontal="center" vertical="center"/>
    </xf>
    <xf numFmtId="0" fontId="99" fillId="0" borderId="231" xfId="182" applyFont="1" applyFill="1" applyBorder="1" applyAlignment="1">
      <alignment horizontal="center" vertical="center" wrapText="1"/>
    </xf>
    <xf numFmtId="0" fontId="99" fillId="0" borderId="232" xfId="182" applyFont="1" applyFill="1" applyBorder="1" applyAlignment="1">
      <alignment horizontal="center" vertical="center" wrapText="1"/>
    </xf>
    <xf numFmtId="0" fontId="0" fillId="0" borderId="139" xfId="0" applyFont="1" applyBorder="1" applyAlignment="1">
      <alignment horizontal="center" vertical="center" wrapText="1"/>
    </xf>
    <xf numFmtId="182" fontId="0" fillId="0" borderId="141" xfId="0" applyNumberFormat="1" applyFont="1" applyBorder="1" applyAlignment="1">
      <alignment horizontal="center" vertical="center" wrapText="1"/>
    </xf>
    <xf numFmtId="0" fontId="141" fillId="5" borderId="69" xfId="0" applyFont="1" applyFill="1" applyBorder="1" applyAlignment="1">
      <alignment horizontal="center" vertical="center"/>
    </xf>
    <xf numFmtId="0" fontId="141" fillId="5" borderId="43" xfId="0" applyFont="1" applyFill="1" applyBorder="1" applyAlignment="1">
      <alignment horizontal="center" vertical="center"/>
    </xf>
    <xf numFmtId="0" fontId="0" fillId="0" borderId="348" xfId="0" applyFont="1" applyBorder="1" applyAlignment="1">
      <alignment horizontal="center" vertical="center" wrapText="1"/>
    </xf>
    <xf numFmtId="0" fontId="0" fillId="0" borderId="231" xfId="0" applyFont="1" applyBorder="1" applyAlignment="1">
      <alignment horizontal="center" vertical="center" wrapText="1"/>
    </xf>
    <xf numFmtId="182" fontId="0" fillId="0" borderId="345" xfId="0" applyNumberFormat="1" applyFont="1" applyBorder="1" applyAlignment="1">
      <alignment horizontal="center" vertical="center" wrapText="1"/>
    </xf>
    <xf numFmtId="182" fontId="0" fillId="0" borderId="230" xfId="0" applyNumberFormat="1" applyFont="1" applyBorder="1" applyAlignment="1">
      <alignment horizontal="center" vertical="center" wrapText="1"/>
    </xf>
    <xf numFmtId="0" fontId="99" fillId="0" borderId="139" xfId="182" applyFont="1" applyFill="1" applyBorder="1" applyAlignment="1">
      <alignment horizontal="center" vertical="center"/>
    </xf>
    <xf numFmtId="0" fontId="99" fillId="0" borderId="139" xfId="182" applyFont="1" applyFill="1" applyBorder="1" applyAlignment="1">
      <alignment horizontal="center" vertical="center" wrapText="1"/>
    </xf>
    <xf numFmtId="0" fontId="99" fillId="0" borderId="175" xfId="182" applyFont="1" applyFill="1" applyBorder="1" applyAlignment="1">
      <alignment horizontal="center" vertical="center"/>
    </xf>
    <xf numFmtId="182" fontId="0" fillId="0" borderId="141" xfId="0" applyNumberFormat="1" applyFont="1" applyBorder="1" applyAlignment="1">
      <alignment horizontal="center" vertical="center"/>
    </xf>
    <xf numFmtId="193" fontId="99" fillId="0" borderId="260" xfId="751" applyNumberFormat="1" applyFont="1" applyFill="1" applyBorder="1" applyAlignment="1">
      <alignment horizontal="center" vertical="center"/>
    </xf>
    <xf numFmtId="193" fontId="99" fillId="0" borderId="278" xfId="751" applyNumberFormat="1" applyFont="1" applyFill="1" applyBorder="1" applyAlignment="1">
      <alignment horizontal="center" vertical="center"/>
    </xf>
    <xf numFmtId="0" fontId="0" fillId="0" borderId="260" xfId="0" applyBorder="1" applyAlignment="1">
      <alignment horizontal="center"/>
    </xf>
    <xf numFmtId="0" fontId="0" fillId="0" borderId="287" xfId="0" applyBorder="1" applyAlignment="1">
      <alignment horizontal="center"/>
    </xf>
    <xf numFmtId="0" fontId="0" fillId="0" borderId="278" xfId="0" applyBorder="1" applyAlignment="1">
      <alignment horizontal="center"/>
    </xf>
    <xf numFmtId="0" fontId="0" fillId="0" borderId="289" xfId="0" applyBorder="1" applyAlignment="1">
      <alignment horizontal="center"/>
    </xf>
    <xf numFmtId="0" fontId="134" fillId="0" borderId="322" xfId="182" applyFont="1" applyFill="1" applyBorder="1" applyAlignment="1">
      <alignment horizontal="center" vertical="center" wrapText="1"/>
    </xf>
    <xf numFmtId="0" fontId="134" fillId="0" borderId="327" xfId="182" applyFont="1" applyFill="1" applyBorder="1" applyAlignment="1">
      <alignment horizontal="center" vertical="center" wrapText="1"/>
    </xf>
    <xf numFmtId="191" fontId="8" fillId="8" borderId="260" xfId="751" applyNumberFormat="1" applyFont="1" applyFill="1" applyBorder="1" applyAlignment="1">
      <alignment horizontal="center" vertical="center"/>
    </xf>
    <xf numFmtId="191" fontId="8" fillId="8" borderId="287" xfId="751" applyNumberFormat="1" applyFont="1" applyFill="1" applyBorder="1" applyAlignment="1">
      <alignment horizontal="center" vertical="center"/>
    </xf>
    <xf numFmtId="191" fontId="8" fillId="8" borderId="278" xfId="751" applyNumberFormat="1" applyFont="1" applyFill="1" applyBorder="1" applyAlignment="1">
      <alignment horizontal="center" vertical="center"/>
    </xf>
    <xf numFmtId="191" fontId="8" fillId="8" borderId="289" xfId="751" applyNumberFormat="1" applyFont="1" applyFill="1" applyBorder="1" applyAlignment="1">
      <alignment horizontal="center" vertical="center"/>
    </xf>
    <xf numFmtId="0" fontId="134" fillId="0" borderId="329" xfId="182" applyFont="1" applyFill="1" applyBorder="1" applyAlignment="1">
      <alignment horizontal="center" vertical="center" wrapText="1"/>
    </xf>
    <xf numFmtId="193" fontId="99" fillId="0" borderId="267" xfId="751" applyNumberFormat="1" applyFont="1" applyFill="1" applyBorder="1" applyAlignment="1">
      <alignment horizontal="center" vertical="center"/>
    </xf>
    <xf numFmtId="183" fontId="132" fillId="0" borderId="267" xfId="155" applyNumberFormat="1" applyFont="1" applyBorder="1" applyAlignment="1">
      <alignment horizontal="center" vertical="center"/>
    </xf>
    <xf numFmtId="183" fontId="132" fillId="0" borderId="324" xfId="155" applyNumberFormat="1" applyFont="1" applyBorder="1" applyAlignment="1">
      <alignment horizontal="center" vertical="center"/>
    </xf>
    <xf numFmtId="183" fontId="132" fillId="0" borderId="260" xfId="155" applyNumberFormat="1" applyFont="1" applyBorder="1" applyAlignment="1">
      <alignment horizontal="center" vertical="center"/>
    </xf>
    <xf numFmtId="183" fontId="132" fillId="0" borderId="287" xfId="155" applyNumberFormat="1" applyFont="1" applyBorder="1" applyAlignment="1">
      <alignment horizontal="center" vertical="center"/>
    </xf>
    <xf numFmtId="0" fontId="134" fillId="15" borderId="14" xfId="182" applyFont="1" applyFill="1" applyBorder="1" applyAlignment="1">
      <alignment horizontal="center" vertical="center"/>
    </xf>
    <xf numFmtId="0" fontId="134" fillId="15" borderId="15" xfId="182" applyFont="1" applyFill="1" applyBorder="1" applyAlignment="1">
      <alignment horizontal="center" vertical="center"/>
    </xf>
    <xf numFmtId="201" fontId="9" fillId="0" borderId="8" xfId="1230" applyNumberFormat="1" applyFont="1" applyFill="1" applyBorder="1" applyAlignment="1">
      <alignment vertical="center"/>
    </xf>
    <xf numFmtId="0" fontId="134" fillId="15" borderId="8" xfId="182" applyFont="1" applyFill="1" applyBorder="1" applyAlignment="1">
      <alignment horizontal="center" vertical="center"/>
    </xf>
    <xf numFmtId="0" fontId="134" fillId="15" borderId="13" xfId="182" applyFont="1" applyFill="1" applyBorder="1" applyAlignment="1">
      <alignment horizontal="center" vertical="center"/>
    </xf>
    <xf numFmtId="41" fontId="132" fillId="0" borderId="8" xfId="155" applyFont="1" applyBorder="1" applyAlignment="1">
      <alignment horizontal="center" vertical="center"/>
    </xf>
    <xf numFmtId="0" fontId="134" fillId="15" borderId="275" xfId="182" applyFont="1" applyFill="1" applyBorder="1" applyAlignment="1">
      <alignment horizontal="center" vertical="center"/>
    </xf>
    <xf numFmtId="0" fontId="134" fillId="15" borderId="285" xfId="182" applyFont="1" applyFill="1" applyBorder="1" applyAlignment="1">
      <alignment horizontal="center" vertical="center"/>
    </xf>
    <xf numFmtId="0" fontId="134" fillId="15" borderId="278" xfId="182" applyFont="1" applyFill="1" applyBorder="1" applyAlignment="1">
      <alignment horizontal="center" vertical="center"/>
    </xf>
    <xf numFmtId="0" fontId="134" fillId="15" borderId="289" xfId="182" applyFont="1" applyFill="1" applyBorder="1" applyAlignment="1">
      <alignment horizontal="center" vertical="center"/>
    </xf>
    <xf numFmtId="184" fontId="132" fillId="0" borderId="8" xfId="155" applyNumberFormat="1" applyFont="1" applyBorder="1" applyAlignment="1">
      <alignment horizontal="center" vertical="center"/>
    </xf>
    <xf numFmtId="180" fontId="132" fillId="0" borderId="17" xfId="182" applyNumberFormat="1" applyFont="1" applyBorder="1" applyAlignment="1">
      <alignment horizontal="center" vertical="center"/>
    </xf>
    <xf numFmtId="180" fontId="132" fillId="0" borderId="18" xfId="182" applyNumberFormat="1" applyFont="1" applyBorder="1" applyAlignment="1">
      <alignment horizontal="center" vertical="center"/>
    </xf>
    <xf numFmtId="220" fontId="134" fillId="15" borderId="13" xfId="182" applyNumberFormat="1" applyFont="1" applyFill="1" applyBorder="1" applyAlignment="1">
      <alignment horizontal="center" vertical="center"/>
    </xf>
    <xf numFmtId="220" fontId="134" fillId="15" borderId="14" xfId="182" applyNumberFormat="1" applyFont="1" applyFill="1" applyBorder="1" applyAlignment="1">
      <alignment horizontal="center" vertical="center"/>
    </xf>
    <xf numFmtId="0" fontId="134" fillId="15" borderId="12" xfId="182" applyFont="1" applyFill="1" applyBorder="1" applyAlignment="1">
      <alignment horizontal="center" vertical="center"/>
    </xf>
    <xf numFmtId="41" fontId="132" fillId="0" borderId="0" xfId="155" applyFont="1" applyBorder="1" applyAlignment="1">
      <alignment horizontal="center" vertical="center"/>
    </xf>
    <xf numFmtId="0" fontId="136" fillId="0" borderId="17" xfId="182" applyFont="1" applyBorder="1" applyAlignment="1">
      <alignment horizontal="center" vertical="center"/>
    </xf>
    <xf numFmtId="0" fontId="124" fillId="0" borderId="15" xfId="182" applyFont="1" applyBorder="1" applyAlignment="1">
      <alignment horizontal="center" vertical="center"/>
    </xf>
    <xf numFmtId="0" fontId="132" fillId="0" borderId="8" xfId="182" applyFont="1" applyBorder="1" applyAlignment="1">
      <alignment horizontal="center" vertical="center"/>
    </xf>
    <xf numFmtId="183" fontId="132" fillId="0" borderId="0" xfId="155" applyNumberFormat="1" applyFont="1" applyBorder="1" applyAlignment="1">
      <alignment horizontal="center" vertical="center"/>
    </xf>
    <xf numFmtId="177" fontId="132" fillId="0" borderId="15" xfId="182" applyNumberFormat="1" applyFont="1" applyBorder="1" applyAlignment="1">
      <alignment horizontal="center" vertical="center"/>
    </xf>
    <xf numFmtId="177" fontId="132" fillId="0" borderId="18" xfId="182" applyNumberFormat="1" applyFont="1" applyBorder="1" applyAlignment="1">
      <alignment horizontal="center" vertical="center"/>
    </xf>
    <xf numFmtId="201" fontId="138" fillId="0" borderId="17" xfId="149" applyNumberFormat="1" applyFont="1" applyFill="1" applyBorder="1" applyAlignment="1">
      <alignment vertical="center"/>
    </xf>
    <xf numFmtId="0" fontId="134" fillId="15" borderId="13" xfId="182" applyFont="1" applyFill="1" applyBorder="1" applyAlignment="1">
      <alignment horizontal="center" vertical="center" wrapText="1"/>
    </xf>
    <xf numFmtId="0" fontId="132" fillId="0" borderId="8" xfId="182" applyFont="1" applyBorder="1" applyAlignment="1">
      <alignment horizontal="center" vertical="center" wrapText="1"/>
    </xf>
    <xf numFmtId="184" fontId="132" fillId="0" borderId="17" xfId="155" applyNumberFormat="1" applyFont="1" applyBorder="1" applyAlignment="1">
      <alignment horizontal="center" vertical="center"/>
    </xf>
    <xf numFmtId="0" fontId="134" fillId="15" borderId="284" xfId="182" applyFont="1" applyFill="1" applyBorder="1" applyAlignment="1">
      <alignment horizontal="center" vertical="center"/>
    </xf>
    <xf numFmtId="0" fontId="134" fillId="15" borderId="288" xfId="182" applyFont="1" applyFill="1" applyBorder="1" applyAlignment="1">
      <alignment horizontal="center" vertical="center"/>
    </xf>
    <xf numFmtId="0" fontId="81" fillId="0" borderId="260" xfId="182" applyFont="1" applyFill="1" applyBorder="1" applyAlignment="1">
      <alignment horizontal="center" vertical="center"/>
    </xf>
    <xf numFmtId="0" fontId="134" fillId="0" borderId="323" xfId="182" applyFont="1" applyFill="1" applyBorder="1" applyAlignment="1">
      <alignment horizontal="center" vertical="center" wrapText="1"/>
    </xf>
    <xf numFmtId="0" fontId="134" fillId="0" borderId="16" xfId="182" applyFont="1" applyFill="1" applyBorder="1" applyAlignment="1">
      <alignment horizontal="center" vertical="center"/>
    </xf>
    <xf numFmtId="0" fontId="134" fillId="0" borderId="17" xfId="182" applyFont="1" applyFill="1" applyBorder="1" applyAlignment="1">
      <alignment horizontal="center" vertical="center"/>
    </xf>
    <xf numFmtId="0" fontId="132" fillId="0" borderId="1" xfId="182" applyFont="1" applyFill="1" applyBorder="1" applyAlignment="1">
      <alignment horizontal="center" vertical="center"/>
    </xf>
    <xf numFmtId="0" fontId="132" fillId="0" borderId="8" xfId="182" applyFont="1" applyFill="1" applyBorder="1" applyAlignment="1">
      <alignment horizontal="center" vertical="center"/>
    </xf>
    <xf numFmtId="0" fontId="132" fillId="0" borderId="1" xfId="182" applyFont="1" applyFill="1" applyBorder="1" applyAlignment="1">
      <alignment horizontal="center" vertical="center" wrapText="1"/>
    </xf>
    <xf numFmtId="0" fontId="132" fillId="0" borderId="8" xfId="182" applyFont="1" applyFill="1" applyBorder="1" applyAlignment="1">
      <alignment horizontal="center" vertical="center" wrapText="1"/>
    </xf>
    <xf numFmtId="0" fontId="134" fillId="15" borderId="1" xfId="182" applyFont="1" applyFill="1" applyBorder="1" applyAlignment="1">
      <alignment horizontal="center" vertical="center"/>
    </xf>
    <xf numFmtId="0" fontId="136" fillId="0" borderId="16" xfId="182" applyFont="1" applyFill="1" applyBorder="1" applyAlignment="1">
      <alignment horizontal="center" vertical="center"/>
    </xf>
    <xf numFmtId="0" fontId="136" fillId="0" borderId="17" xfId="182" applyFont="1" applyFill="1" applyBorder="1" applyAlignment="1">
      <alignment horizontal="center" vertical="center"/>
    </xf>
    <xf numFmtId="41" fontId="132" fillId="0" borderId="17" xfId="155" applyFont="1" applyBorder="1" applyAlignment="1">
      <alignment horizontal="center" vertical="center"/>
    </xf>
    <xf numFmtId="0" fontId="81" fillId="0" borderId="260" xfId="182" applyFont="1" applyFill="1" applyBorder="1" applyAlignment="1">
      <alignment horizontal="center" vertical="center" wrapText="1"/>
    </xf>
    <xf numFmtId="0" fontId="81" fillId="0" borderId="267" xfId="182" applyFont="1" applyFill="1" applyBorder="1" applyAlignment="1">
      <alignment horizontal="center" vertical="center"/>
    </xf>
    <xf numFmtId="0" fontId="134" fillId="0" borderId="1" xfId="182" applyFont="1" applyFill="1" applyBorder="1" applyAlignment="1">
      <alignment horizontal="center" vertical="center" wrapText="1"/>
    </xf>
    <xf numFmtId="0" fontId="134" fillId="0" borderId="16" xfId="182" applyFont="1" applyFill="1" applyBorder="1" applyAlignment="1">
      <alignment horizontal="center" vertical="center" wrapText="1"/>
    </xf>
    <xf numFmtId="193" fontId="99" fillId="0" borderId="8" xfId="751" applyNumberFormat="1" applyFont="1" applyFill="1" applyBorder="1" applyAlignment="1">
      <alignment horizontal="center" vertical="center"/>
    </xf>
    <xf numFmtId="193" fontId="99" fillId="0" borderId="17" xfId="751" applyNumberFormat="1" applyFont="1" applyFill="1" applyBorder="1" applyAlignment="1">
      <alignment horizontal="center" vertical="center"/>
    </xf>
    <xf numFmtId="0" fontId="0" fillId="15" borderId="12" xfId="0" applyFill="1" applyBorder="1" applyAlignment="1">
      <alignment horizontal="center"/>
    </xf>
    <xf numFmtId="0" fontId="0" fillId="15" borderId="13" xfId="0" applyFill="1" applyBorder="1" applyAlignment="1">
      <alignment horizontal="center"/>
    </xf>
    <xf numFmtId="0" fontId="0" fillId="15" borderId="14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67" xfId="0" applyBorder="1" applyAlignment="1">
      <alignment horizontal="center"/>
    </xf>
    <xf numFmtId="0" fontId="0" fillId="0" borderId="324" xfId="0" applyBorder="1" applyAlignment="1">
      <alignment horizontal="center"/>
    </xf>
    <xf numFmtId="0" fontId="76" fillId="0" borderId="340" xfId="0" applyFont="1" applyBorder="1" applyAlignment="1">
      <alignment horizontal="center" vertical="center" wrapText="1" shrinkToFit="1"/>
    </xf>
    <xf numFmtId="0" fontId="76" fillId="0" borderId="326" xfId="0" applyFont="1" applyBorder="1" applyAlignment="1">
      <alignment horizontal="center" vertical="center" shrinkToFit="1"/>
    </xf>
    <xf numFmtId="0" fontId="76" fillId="0" borderId="324" xfId="0" applyFont="1" applyBorder="1" applyAlignment="1">
      <alignment horizontal="center" vertical="center" shrinkToFit="1"/>
    </xf>
    <xf numFmtId="0" fontId="76" fillId="15" borderId="285" xfId="0" applyFont="1" applyFill="1" applyBorder="1" applyAlignment="1">
      <alignment horizontal="center" vertical="center"/>
    </xf>
    <xf numFmtId="0" fontId="76" fillId="15" borderId="287" xfId="0" applyFont="1" applyFill="1" applyBorder="1" applyAlignment="1">
      <alignment horizontal="center" vertical="center"/>
    </xf>
    <xf numFmtId="0" fontId="76" fillId="15" borderId="14" xfId="0" applyFont="1" applyFill="1" applyBorder="1" applyAlignment="1">
      <alignment horizontal="center" vertical="center"/>
    </xf>
    <xf numFmtId="0" fontId="76" fillId="15" borderId="15" xfId="0" applyFont="1" applyFill="1" applyBorder="1" applyAlignment="1">
      <alignment horizontal="center" vertical="center"/>
    </xf>
    <xf numFmtId="0" fontId="134" fillId="0" borderId="284" xfId="182" applyFont="1" applyFill="1" applyBorder="1" applyAlignment="1">
      <alignment horizontal="center" vertical="center" wrapText="1"/>
    </xf>
    <xf numFmtId="0" fontId="134" fillId="0" borderId="286" xfId="182" applyFont="1" applyFill="1" applyBorder="1" applyAlignment="1">
      <alignment horizontal="center" vertical="center" wrapText="1"/>
    </xf>
    <xf numFmtId="0" fontId="134" fillId="0" borderId="288" xfId="182" applyFont="1" applyFill="1" applyBorder="1" applyAlignment="1">
      <alignment horizontal="center" vertical="center" wrapText="1"/>
    </xf>
    <xf numFmtId="193" fontId="81" fillId="0" borderId="260" xfId="751" applyNumberFormat="1" applyFont="1" applyFill="1" applyBorder="1" applyAlignment="1">
      <alignment horizontal="center" vertical="center" wrapText="1"/>
    </xf>
    <xf numFmtId="193" fontId="81" fillId="0" borderId="260" xfId="751" applyNumberFormat="1" applyFont="1" applyFill="1" applyBorder="1" applyAlignment="1">
      <alignment horizontal="center" vertical="center"/>
    </xf>
    <xf numFmtId="0" fontId="134" fillId="15" borderId="286" xfId="182" applyFont="1" applyFill="1" applyBorder="1" applyAlignment="1">
      <alignment horizontal="center" vertical="center"/>
    </xf>
    <xf numFmtId="0" fontId="134" fillId="15" borderId="260" xfId="182" applyFont="1" applyFill="1" applyBorder="1" applyAlignment="1">
      <alignment horizontal="center" vertical="center"/>
    </xf>
    <xf numFmtId="0" fontId="76" fillId="0" borderId="260" xfId="0" applyFont="1" applyBorder="1" applyAlignment="1">
      <alignment horizontal="center" vertical="center"/>
    </xf>
    <xf numFmtId="193" fontId="81" fillId="0" borderId="275" xfId="751" applyNumberFormat="1" applyFont="1" applyFill="1" applyBorder="1" applyAlignment="1">
      <alignment horizontal="center" vertical="center" wrapText="1"/>
    </xf>
    <xf numFmtId="0" fontId="76" fillId="15" borderId="13" xfId="0" applyFont="1" applyFill="1" applyBorder="1" applyAlignment="1">
      <alignment horizontal="center" vertical="center" wrapText="1"/>
    </xf>
    <xf numFmtId="0" fontId="76" fillId="15" borderId="8" xfId="0" applyFont="1" applyFill="1" applyBorder="1" applyAlignment="1">
      <alignment horizontal="center" vertical="center"/>
    </xf>
    <xf numFmtId="0" fontId="76" fillId="50" borderId="1" xfId="750" applyFont="1" applyFill="1" applyBorder="1" applyAlignment="1">
      <alignment horizontal="center" vertical="center"/>
    </xf>
    <xf numFmtId="0" fontId="76" fillId="50" borderId="16" xfId="750" applyFont="1" applyFill="1" applyBorder="1" applyAlignment="1">
      <alignment horizontal="center" vertical="center"/>
    </xf>
    <xf numFmtId="0" fontId="76" fillId="15" borderId="12" xfId="0" applyFont="1" applyFill="1" applyBorder="1" applyAlignment="1">
      <alignment horizontal="center" vertical="center" wrapText="1"/>
    </xf>
    <xf numFmtId="0" fontId="76" fillId="15" borderId="1" xfId="0" applyFont="1" applyFill="1" applyBorder="1" applyAlignment="1">
      <alignment horizontal="center" vertical="center" wrapText="1"/>
    </xf>
    <xf numFmtId="0" fontId="76" fillId="15" borderId="8" xfId="0" applyFont="1" applyFill="1" applyBorder="1" applyAlignment="1">
      <alignment horizontal="center" vertical="center" wrapText="1"/>
    </xf>
    <xf numFmtId="0" fontId="76" fillId="8" borderId="13" xfId="0" applyFont="1" applyFill="1" applyBorder="1" applyAlignment="1">
      <alignment horizontal="center" vertical="center" wrapText="1"/>
    </xf>
    <xf numFmtId="0" fontId="76" fillId="8" borderId="8" xfId="0" applyFont="1" applyFill="1" applyBorder="1" applyAlignment="1">
      <alignment horizontal="center" vertical="center"/>
    </xf>
    <xf numFmtId="0" fontId="76" fillId="8" borderId="12" xfId="0" applyFont="1" applyFill="1" applyBorder="1" applyAlignment="1">
      <alignment horizontal="center" vertical="center" wrapText="1"/>
    </xf>
    <xf numFmtId="0" fontId="76" fillId="8" borderId="1" xfId="0" applyFont="1" applyFill="1" applyBorder="1" applyAlignment="1">
      <alignment horizontal="center" vertical="center" wrapText="1"/>
    </xf>
    <xf numFmtId="0" fontId="76" fillId="8" borderId="8" xfId="0" applyFont="1" applyFill="1" applyBorder="1" applyAlignment="1">
      <alignment horizontal="center" vertical="center" wrapText="1"/>
    </xf>
    <xf numFmtId="193" fontId="81" fillId="0" borderId="278" xfId="751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179" fontId="8" fillId="53" borderId="17" xfId="149" applyNumberFormat="1" applyFont="1" applyFill="1" applyBorder="1" applyAlignment="1">
      <alignment horizontal="center" vertical="center" wrapText="1"/>
    </xf>
    <xf numFmtId="41" fontId="8" fillId="0" borderId="17" xfId="0" applyNumberFormat="1" applyFont="1" applyFill="1" applyBorder="1" applyAlignment="1">
      <alignment horizontal="center" vertical="center" wrapText="1"/>
    </xf>
    <xf numFmtId="41" fontId="8" fillId="0" borderId="18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179" fontId="8" fillId="53" borderId="8" xfId="149" applyNumberFormat="1" applyFont="1" applyFill="1" applyBorder="1" applyAlignment="1">
      <alignment horizontal="center" vertical="center" wrapText="1"/>
    </xf>
    <xf numFmtId="41" fontId="8" fillId="0" borderId="8" xfId="0" applyNumberFormat="1" applyFont="1" applyFill="1" applyBorder="1" applyAlignment="1">
      <alignment horizontal="center" vertical="center" wrapText="1"/>
    </xf>
    <xf numFmtId="41" fontId="8" fillId="0" borderId="15" xfId="0" applyNumberFormat="1" applyFont="1" applyFill="1" applyBorder="1" applyAlignment="1">
      <alignment horizontal="center" vertical="center" wrapText="1"/>
    </xf>
    <xf numFmtId="0" fontId="167" fillId="0" borderId="16" xfId="221" applyFont="1" applyFill="1" applyBorder="1" applyAlignment="1">
      <alignment horizontal="center" vertical="center"/>
    </xf>
    <xf numFmtId="0" fontId="167" fillId="0" borderId="17" xfId="221" applyFont="1" applyFill="1" applyBorder="1" applyAlignment="1">
      <alignment horizontal="center" vertical="center"/>
    </xf>
    <xf numFmtId="41" fontId="167" fillId="57" borderId="17" xfId="221" applyNumberFormat="1" applyFont="1" applyFill="1" applyBorder="1" applyAlignment="1">
      <alignment horizontal="center" vertical="center"/>
    </xf>
    <xf numFmtId="41" fontId="167" fillId="0" borderId="17" xfId="221" applyNumberFormat="1" applyFont="1" applyFill="1" applyBorder="1" applyAlignment="1">
      <alignment horizontal="center" vertical="center" shrinkToFit="1"/>
    </xf>
    <xf numFmtId="41" fontId="167" fillId="0" borderId="17" xfId="221" applyNumberFormat="1" applyFont="1" applyFill="1" applyBorder="1" applyAlignment="1">
      <alignment horizontal="center" vertical="center"/>
    </xf>
    <xf numFmtId="41" fontId="167" fillId="0" borderId="18" xfId="221" applyNumberFormat="1" applyFont="1" applyFill="1" applyBorder="1" applyAlignment="1">
      <alignment horizontal="center" vertical="center"/>
    </xf>
    <xf numFmtId="0" fontId="174" fillId="59" borderId="4" xfId="0" applyFont="1" applyFill="1" applyBorder="1" applyAlignment="1">
      <alignment horizontal="center" vertical="center" wrapText="1"/>
    </xf>
    <xf numFmtId="0" fontId="174" fillId="60" borderId="4" xfId="0" applyFont="1" applyFill="1" applyBorder="1" applyAlignment="1">
      <alignment horizontal="center" vertical="center" wrapText="1"/>
    </xf>
    <xf numFmtId="0" fontId="174" fillId="60" borderId="26" xfId="0" applyFont="1" applyFill="1" applyBorder="1" applyAlignment="1">
      <alignment horizontal="center" vertical="center" wrapText="1"/>
    </xf>
    <xf numFmtId="0" fontId="174" fillId="60" borderId="27" xfId="0" applyFont="1" applyFill="1" applyBorder="1" applyAlignment="1">
      <alignment horizontal="center" vertical="center" wrapText="1"/>
    </xf>
    <xf numFmtId="0" fontId="174" fillId="60" borderId="28" xfId="0" applyFont="1" applyFill="1" applyBorder="1" applyAlignment="1">
      <alignment horizontal="center" vertical="center" wrapText="1"/>
    </xf>
    <xf numFmtId="178" fontId="167" fillId="57" borderId="260" xfId="221" applyNumberFormat="1" applyFont="1" applyFill="1" applyBorder="1" applyAlignment="1">
      <alignment horizontal="center" vertical="center"/>
    </xf>
    <xf numFmtId="41" fontId="167" fillId="0" borderId="260" xfId="221" applyNumberFormat="1" applyFont="1" applyFill="1" applyBorder="1" applyAlignment="1">
      <alignment horizontal="center" vertical="center" shrinkToFit="1"/>
    </xf>
    <xf numFmtId="41" fontId="167" fillId="0" borderId="260" xfId="221" applyNumberFormat="1" applyFont="1" applyFill="1" applyBorder="1" applyAlignment="1">
      <alignment horizontal="center" vertical="center"/>
    </xf>
    <xf numFmtId="41" fontId="167" fillId="0" borderId="261" xfId="221" applyNumberFormat="1" applyFont="1" applyFill="1" applyBorder="1" applyAlignment="1">
      <alignment horizontal="center" vertical="center"/>
    </xf>
    <xf numFmtId="178" fontId="167" fillId="57" borderId="8" xfId="221" applyNumberFormat="1" applyFont="1" applyFill="1" applyBorder="1" applyAlignment="1">
      <alignment horizontal="center" vertical="center"/>
    </xf>
    <xf numFmtId="41" fontId="167" fillId="0" borderId="8" xfId="221" applyNumberFormat="1" applyFont="1" applyFill="1" applyBorder="1" applyAlignment="1">
      <alignment horizontal="center" vertical="center" shrinkToFit="1"/>
    </xf>
    <xf numFmtId="41" fontId="167" fillId="0" borderId="8" xfId="221" applyNumberFormat="1" applyFont="1" applyFill="1" applyBorder="1" applyAlignment="1">
      <alignment horizontal="center" vertical="center"/>
    </xf>
    <xf numFmtId="41" fontId="167" fillId="0" borderId="15" xfId="221" applyNumberFormat="1" applyFont="1" applyFill="1" applyBorder="1" applyAlignment="1">
      <alignment horizontal="center" vertical="center"/>
    </xf>
    <xf numFmtId="41" fontId="167" fillId="57" borderId="278" xfId="221" applyNumberFormat="1" applyFont="1" applyFill="1" applyBorder="1" applyAlignment="1">
      <alignment horizontal="center" vertical="center"/>
    </xf>
    <xf numFmtId="41" fontId="167" fillId="0" borderId="278" xfId="221" applyNumberFormat="1" applyFont="1" applyFill="1" applyBorder="1" applyAlignment="1">
      <alignment horizontal="center" vertical="center" shrinkToFit="1"/>
    </xf>
    <xf numFmtId="41" fontId="167" fillId="0" borderId="278" xfId="221" applyNumberFormat="1" applyFont="1" applyFill="1" applyBorder="1" applyAlignment="1">
      <alignment horizontal="center" vertical="center"/>
    </xf>
    <xf numFmtId="41" fontId="167" fillId="0" borderId="279" xfId="221" applyNumberFormat="1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79" fontId="8" fillId="53" borderId="13" xfId="149" applyNumberFormat="1" applyFont="1" applyFill="1" applyBorder="1" applyAlignment="1">
      <alignment horizontal="center" vertical="center" wrapText="1"/>
    </xf>
    <xf numFmtId="9" fontId="8" fillId="53" borderId="102" xfId="149" applyNumberFormat="1" applyFont="1" applyFill="1" applyBorder="1" applyAlignment="1">
      <alignment horizontal="center" vertical="center" wrapText="1"/>
    </xf>
    <xf numFmtId="9" fontId="8" fillId="53" borderId="57" xfId="149" applyNumberFormat="1" applyFont="1" applyFill="1" applyBorder="1" applyAlignment="1">
      <alignment horizontal="center" vertical="center" wrapText="1"/>
    </xf>
    <xf numFmtId="9" fontId="8" fillId="53" borderId="51" xfId="149" applyNumberFormat="1" applyFont="1" applyFill="1" applyBorder="1" applyAlignment="1">
      <alignment horizontal="center" vertical="center" wrapText="1"/>
    </xf>
    <xf numFmtId="9" fontId="8" fillId="53" borderId="97" xfId="149" applyNumberFormat="1" applyFont="1" applyFill="1" applyBorder="1" applyAlignment="1">
      <alignment horizontal="center" vertical="center" wrapText="1"/>
    </xf>
    <xf numFmtId="9" fontId="8" fillId="53" borderId="0" xfId="149" applyNumberFormat="1" applyFont="1" applyFill="1" applyBorder="1" applyAlignment="1">
      <alignment horizontal="center" vertical="center" wrapText="1"/>
    </xf>
    <xf numFmtId="9" fontId="8" fillId="53" borderId="98" xfId="149" applyNumberFormat="1" applyFont="1" applyFill="1" applyBorder="1" applyAlignment="1">
      <alignment horizontal="center" vertical="center" wrapText="1"/>
    </xf>
    <xf numFmtId="9" fontId="8" fillId="53" borderId="103" xfId="149" applyNumberFormat="1" applyFont="1" applyFill="1" applyBorder="1" applyAlignment="1">
      <alignment horizontal="center" vertical="center" wrapText="1"/>
    </xf>
    <xf numFmtId="9" fontId="8" fillId="53" borderId="10" xfId="149" applyNumberFormat="1" applyFont="1" applyFill="1" applyBorder="1" applyAlignment="1">
      <alignment horizontal="center" vertical="center" wrapText="1"/>
    </xf>
    <xf numFmtId="9" fontId="8" fillId="53" borderId="53" xfId="149" applyNumberFormat="1" applyFont="1" applyFill="1" applyBorder="1" applyAlignment="1">
      <alignment horizontal="center" vertical="center" wrapText="1"/>
    </xf>
    <xf numFmtId="209" fontId="8" fillId="53" borderId="102" xfId="149" applyNumberFormat="1" applyFont="1" applyFill="1" applyBorder="1" applyAlignment="1">
      <alignment horizontal="center" vertical="center" wrapText="1"/>
    </xf>
    <xf numFmtId="209" fontId="8" fillId="53" borderId="57" xfId="149" applyNumberFormat="1" applyFont="1" applyFill="1" applyBorder="1" applyAlignment="1">
      <alignment horizontal="center" vertical="center" wrapText="1"/>
    </xf>
    <xf numFmtId="209" fontId="8" fillId="53" borderId="51" xfId="149" applyNumberFormat="1" applyFont="1" applyFill="1" applyBorder="1" applyAlignment="1">
      <alignment horizontal="center" vertical="center" wrapText="1"/>
    </xf>
    <xf numFmtId="209" fontId="8" fillId="53" borderId="97" xfId="149" applyNumberFormat="1" applyFont="1" applyFill="1" applyBorder="1" applyAlignment="1">
      <alignment horizontal="center" vertical="center" wrapText="1"/>
    </xf>
    <xf numFmtId="209" fontId="8" fillId="53" borderId="0" xfId="149" applyNumberFormat="1" applyFont="1" applyFill="1" applyBorder="1" applyAlignment="1">
      <alignment horizontal="center" vertical="center" wrapText="1"/>
    </xf>
    <xf numFmtId="209" fontId="8" fillId="53" borderId="98" xfId="149" applyNumberFormat="1" applyFont="1" applyFill="1" applyBorder="1" applyAlignment="1">
      <alignment horizontal="center" vertical="center" wrapText="1"/>
    </xf>
    <xf numFmtId="209" fontId="8" fillId="53" borderId="103" xfId="149" applyNumberFormat="1" applyFont="1" applyFill="1" applyBorder="1" applyAlignment="1">
      <alignment horizontal="center" vertical="center" wrapText="1"/>
    </xf>
    <xf numFmtId="209" fontId="8" fillId="53" borderId="10" xfId="149" applyNumberFormat="1" applyFont="1" applyFill="1" applyBorder="1" applyAlignment="1">
      <alignment horizontal="center" vertical="center" wrapText="1"/>
    </xf>
    <xf numFmtId="209" fontId="8" fillId="53" borderId="53" xfId="149" applyNumberFormat="1" applyFont="1" applyFill="1" applyBorder="1" applyAlignment="1">
      <alignment horizontal="center" vertical="center" wrapText="1"/>
    </xf>
    <xf numFmtId="41" fontId="8" fillId="0" borderId="13" xfId="0" applyNumberFormat="1" applyFont="1" applyFill="1" applyBorder="1" applyAlignment="1">
      <alignment horizontal="center" vertical="center" wrapText="1"/>
    </xf>
    <xf numFmtId="41" fontId="8" fillId="0" borderId="14" xfId="0" applyNumberFormat="1" applyFont="1" applyFill="1" applyBorder="1" applyAlignment="1">
      <alignment horizontal="center" vertical="center" wrapText="1"/>
    </xf>
    <xf numFmtId="0" fontId="8" fillId="0" borderId="100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101" xfId="0" applyFont="1" applyFill="1" applyBorder="1" applyAlignment="1">
      <alignment horizontal="center" vertical="center" shrinkToFit="1"/>
    </xf>
    <xf numFmtId="0" fontId="8" fillId="0" borderId="3" xfId="0" applyFont="1" applyFill="1" applyBorder="1" applyAlignment="1">
      <alignment horizontal="center" vertical="center" shrinkToFit="1"/>
    </xf>
    <xf numFmtId="0" fontId="8" fillId="0" borderId="54" xfId="0" applyFont="1" applyFill="1" applyBorder="1" applyAlignment="1">
      <alignment horizontal="center" vertical="center" shrinkToFit="1"/>
    </xf>
    <xf numFmtId="178" fontId="167" fillId="57" borderId="196" xfId="221" applyNumberFormat="1" applyFont="1" applyFill="1" applyBorder="1" applyAlignment="1">
      <alignment horizontal="center" vertical="center"/>
    </xf>
    <xf numFmtId="41" fontId="167" fillId="0" borderId="196" xfId="221" applyNumberFormat="1" applyFont="1" applyFill="1" applyBorder="1" applyAlignment="1">
      <alignment horizontal="center" vertical="center" shrinkToFit="1"/>
    </xf>
    <xf numFmtId="41" fontId="167" fillId="0" borderId="196" xfId="221" applyNumberFormat="1" applyFont="1" applyFill="1" applyBorder="1" applyAlignment="1">
      <alignment horizontal="center" vertical="center"/>
    </xf>
    <xf numFmtId="41" fontId="167" fillId="0" borderId="45" xfId="221" applyNumberFormat="1" applyFont="1" applyFill="1" applyBorder="1" applyAlignment="1">
      <alignment horizontal="center" vertical="center"/>
    </xf>
    <xf numFmtId="178" fontId="167" fillId="57" borderId="275" xfId="221" applyNumberFormat="1" applyFont="1" applyFill="1" applyBorder="1" applyAlignment="1">
      <alignment horizontal="center" vertical="center"/>
    </xf>
    <xf numFmtId="41" fontId="167" fillId="0" borderId="275" xfId="221" applyNumberFormat="1" applyFont="1" applyFill="1" applyBorder="1" applyAlignment="1">
      <alignment horizontal="center" vertical="center" shrinkToFit="1"/>
    </xf>
    <xf numFmtId="41" fontId="167" fillId="0" borderId="275" xfId="221" applyNumberFormat="1" applyFont="1" applyFill="1" applyBorder="1" applyAlignment="1">
      <alignment horizontal="center" vertical="center"/>
    </xf>
    <xf numFmtId="41" fontId="167" fillId="0" borderId="276" xfId="221" applyNumberFormat="1" applyFont="1" applyFill="1" applyBorder="1" applyAlignment="1">
      <alignment horizontal="center" vertical="center"/>
    </xf>
    <xf numFmtId="41" fontId="167" fillId="57" borderId="178" xfId="221" applyNumberFormat="1" applyFont="1" applyFill="1" applyBorder="1" applyAlignment="1">
      <alignment horizontal="center" vertical="center"/>
    </xf>
    <xf numFmtId="41" fontId="167" fillId="0" borderId="178" xfId="221" applyNumberFormat="1" applyFont="1" applyFill="1" applyBorder="1" applyAlignment="1">
      <alignment horizontal="center" vertical="center" shrinkToFit="1"/>
    </xf>
    <xf numFmtId="41" fontId="167" fillId="0" borderId="178" xfId="221" applyNumberFormat="1" applyFont="1" applyFill="1" applyBorder="1" applyAlignment="1">
      <alignment horizontal="center" vertical="center"/>
    </xf>
    <xf numFmtId="41" fontId="167" fillId="0" borderId="179" xfId="221" applyNumberFormat="1" applyFont="1" applyFill="1" applyBorder="1" applyAlignment="1">
      <alignment horizontal="center" vertical="center"/>
    </xf>
    <xf numFmtId="178" fontId="167" fillId="57" borderId="290" xfId="221" applyNumberFormat="1" applyFont="1" applyFill="1" applyBorder="1" applyAlignment="1">
      <alignment horizontal="center" vertical="center"/>
    </xf>
    <xf numFmtId="41" fontId="167" fillId="0" borderId="290" xfId="221" applyNumberFormat="1" applyFont="1" applyFill="1" applyBorder="1" applyAlignment="1">
      <alignment horizontal="center" vertical="center" shrinkToFit="1"/>
    </xf>
    <xf numFmtId="41" fontId="167" fillId="0" borderId="13" xfId="221" applyNumberFormat="1" applyFont="1" applyFill="1" applyBorder="1" applyAlignment="1">
      <alignment horizontal="center" vertical="center"/>
    </xf>
    <xf numFmtId="41" fontId="167" fillId="0" borderId="14" xfId="221" applyNumberFormat="1" applyFont="1" applyFill="1" applyBorder="1" applyAlignment="1">
      <alignment horizontal="center" vertical="center"/>
    </xf>
    <xf numFmtId="0" fontId="167" fillId="0" borderId="243" xfId="221" applyFont="1" applyBorder="1" applyAlignment="1">
      <alignment horizontal="center" vertical="center"/>
    </xf>
    <xf numFmtId="0" fontId="167" fillId="0" borderId="244" xfId="221" applyFont="1" applyBorder="1" applyAlignment="1">
      <alignment horizontal="center" vertical="center"/>
    </xf>
    <xf numFmtId="0" fontId="167" fillId="0" borderId="193" xfId="221" applyFont="1" applyFill="1" applyBorder="1" applyAlignment="1">
      <alignment horizontal="center" vertical="center" wrapText="1"/>
    </xf>
    <xf numFmtId="0" fontId="167" fillId="0" borderId="269" xfId="221" applyFont="1" applyFill="1" applyBorder="1" applyAlignment="1">
      <alignment horizontal="center" vertical="center" wrapText="1"/>
    </xf>
    <xf numFmtId="0" fontId="167" fillId="0" borderId="292" xfId="221" applyFont="1" applyFill="1" applyBorder="1" applyAlignment="1">
      <alignment horizontal="center" vertical="center" wrapText="1"/>
    </xf>
    <xf numFmtId="0" fontId="167" fillId="0" borderId="162" xfId="221" applyFont="1" applyFill="1" applyBorder="1" applyAlignment="1">
      <alignment horizontal="center" vertical="center" wrapText="1"/>
    </xf>
    <xf numFmtId="0" fontId="167" fillId="56" borderId="13" xfId="221" applyFont="1" applyFill="1" applyBorder="1" applyAlignment="1">
      <alignment horizontal="center" vertical="center" wrapText="1"/>
    </xf>
    <xf numFmtId="0" fontId="167" fillId="56" borderId="17" xfId="221" applyFont="1" applyFill="1" applyBorder="1" applyAlignment="1">
      <alignment horizontal="center" vertical="center" wrapText="1"/>
    </xf>
    <xf numFmtId="0" fontId="167" fillId="56" borderId="13" xfId="221" applyFont="1" applyFill="1" applyBorder="1" applyAlignment="1">
      <alignment horizontal="center" vertical="center"/>
    </xf>
    <xf numFmtId="0" fontId="167" fillId="56" borderId="14" xfId="221" applyFont="1" applyFill="1" applyBorder="1" applyAlignment="1">
      <alignment horizontal="center" vertical="center"/>
    </xf>
    <xf numFmtId="0" fontId="167" fillId="56" borderId="17" xfId="221" applyFont="1" applyFill="1" applyBorder="1" applyAlignment="1">
      <alignment horizontal="center" vertical="center"/>
    </xf>
    <xf numFmtId="0" fontId="167" fillId="56" borderId="18" xfId="221" applyFont="1" applyFill="1" applyBorder="1" applyAlignment="1">
      <alignment horizontal="center" vertical="center"/>
    </xf>
    <xf numFmtId="0" fontId="167" fillId="0" borderId="13" xfId="221" applyFont="1" applyFill="1" applyBorder="1" applyAlignment="1">
      <alignment horizontal="center" vertical="center"/>
    </xf>
    <xf numFmtId="178" fontId="167" fillId="57" borderId="13" xfId="221" applyNumberFormat="1" applyFont="1" applyFill="1" applyBorder="1" applyAlignment="1">
      <alignment horizontal="center" vertical="center"/>
    </xf>
    <xf numFmtId="41" fontId="167" fillId="0" borderId="13" xfId="221" applyNumberFormat="1" applyFont="1" applyFill="1" applyBorder="1" applyAlignment="1">
      <alignment horizontal="center" vertical="center" shrinkToFit="1"/>
    </xf>
    <xf numFmtId="0" fontId="167" fillId="0" borderId="193" xfId="221" applyFont="1" applyBorder="1" applyAlignment="1">
      <alignment horizontal="center" vertical="center" wrapText="1"/>
    </xf>
    <xf numFmtId="0" fontId="167" fillId="0" borderId="269" xfId="221" applyFont="1" applyBorder="1" applyAlignment="1">
      <alignment horizontal="center" vertical="center" wrapText="1"/>
    </xf>
    <xf numFmtId="0" fontId="167" fillId="0" borderId="292" xfId="221" applyFont="1" applyBorder="1" applyAlignment="1">
      <alignment horizontal="center" vertical="center" wrapText="1"/>
    </xf>
    <xf numFmtId="0" fontId="167" fillId="0" borderId="162" xfId="221" applyFont="1" applyBorder="1" applyAlignment="1">
      <alignment horizontal="center" vertical="center" wrapText="1"/>
    </xf>
    <xf numFmtId="0" fontId="167" fillId="56" borderId="12" xfId="221" applyFont="1" applyFill="1" applyBorder="1" applyAlignment="1">
      <alignment horizontal="center" vertical="center"/>
    </xf>
    <xf numFmtId="0" fontId="167" fillId="56" borderId="16" xfId="221" applyFont="1" applyFill="1" applyBorder="1" applyAlignment="1">
      <alignment horizontal="center" vertical="center"/>
    </xf>
    <xf numFmtId="0" fontId="167" fillId="0" borderId="8" xfId="221" applyFont="1" applyFill="1" applyBorder="1" applyAlignment="1">
      <alignment horizontal="center" vertical="center"/>
    </xf>
    <xf numFmtId="0" fontId="167" fillId="0" borderId="13" xfId="221" applyFont="1" applyBorder="1" applyAlignment="1">
      <alignment horizontal="center" vertical="center"/>
    </xf>
    <xf numFmtId="0" fontId="167" fillId="0" borderId="8" xfId="221" applyFont="1" applyBorder="1" applyAlignment="1">
      <alignment horizontal="center" vertical="center"/>
    </xf>
    <xf numFmtId="0" fontId="170" fillId="0" borderId="275" xfId="0" applyFont="1" applyBorder="1" applyAlignment="1">
      <alignment horizontal="center" vertical="center" wrapText="1"/>
    </xf>
    <xf numFmtId="0" fontId="170" fillId="0" borderId="260" xfId="0" applyFont="1" applyBorder="1" applyAlignment="1">
      <alignment horizontal="center" vertical="center" wrapText="1"/>
    </xf>
    <xf numFmtId="0" fontId="167" fillId="0" borderId="277" xfId="221" applyFont="1" applyFill="1" applyBorder="1" applyAlignment="1">
      <alignment horizontal="center" vertical="center"/>
    </xf>
    <xf numFmtId="0" fontId="167" fillId="0" borderId="278" xfId="221" applyFont="1" applyFill="1" applyBorder="1" applyAlignment="1">
      <alignment horizontal="center" vertical="center"/>
    </xf>
    <xf numFmtId="0" fontId="170" fillId="0" borderId="196" xfId="0" applyFont="1" applyBorder="1" applyAlignment="1">
      <alignment horizontal="center" vertical="center" wrapText="1"/>
    </xf>
    <xf numFmtId="0" fontId="170" fillId="0" borderId="8" xfId="0" applyFont="1" applyBorder="1" applyAlignment="1">
      <alignment horizontal="center" vertical="center" wrapText="1"/>
    </xf>
    <xf numFmtId="0" fontId="167" fillId="0" borderId="177" xfId="221" applyFont="1" applyFill="1" applyBorder="1" applyAlignment="1">
      <alignment horizontal="center" vertical="center"/>
    </xf>
    <xf numFmtId="0" fontId="167" fillId="0" borderId="178" xfId="221" applyFont="1" applyFill="1" applyBorder="1" applyAlignment="1">
      <alignment horizontal="center" vertical="center"/>
    </xf>
    <xf numFmtId="0" fontId="167" fillId="0" borderId="194" xfId="221" applyFont="1" applyBorder="1" applyAlignment="1">
      <alignment horizontal="center" vertical="center" wrapText="1"/>
    </xf>
    <xf numFmtId="0" fontId="167" fillId="0" borderId="98" xfId="221" applyFont="1" applyBorder="1" applyAlignment="1">
      <alignment horizontal="center" vertical="center" wrapText="1"/>
    </xf>
    <xf numFmtId="0" fontId="167" fillId="0" borderId="293" xfId="221" applyFont="1" applyBorder="1" applyAlignment="1">
      <alignment horizontal="center" vertical="center" wrapText="1"/>
    </xf>
    <xf numFmtId="0" fontId="167" fillId="0" borderId="294" xfId="221" applyFont="1" applyBorder="1" applyAlignment="1">
      <alignment horizontal="center" vertical="center" wrapText="1"/>
    </xf>
    <xf numFmtId="0" fontId="167" fillId="0" borderId="295" xfId="221" applyFont="1" applyBorder="1" applyAlignment="1">
      <alignment horizontal="center" vertical="center" wrapText="1"/>
    </xf>
    <xf numFmtId="0" fontId="167" fillId="0" borderId="296" xfId="221" applyFont="1" applyBorder="1" applyAlignment="1">
      <alignment horizontal="center" vertical="center" wrapText="1"/>
    </xf>
    <xf numFmtId="0" fontId="167" fillId="0" borderId="297" xfId="221" applyFont="1" applyBorder="1" applyAlignment="1">
      <alignment horizontal="center" vertical="center" wrapText="1"/>
    </xf>
    <xf numFmtId="0" fontId="167" fillId="0" borderId="298" xfId="221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/>
    </xf>
    <xf numFmtId="0" fontId="76" fillId="0" borderId="18" xfId="0" applyFont="1" applyBorder="1" applyAlignment="1">
      <alignment horizontal="center" vertical="center"/>
    </xf>
    <xf numFmtId="193" fontId="76" fillId="49" borderId="1" xfId="751" applyNumberFormat="1" applyFont="1" applyFill="1" applyBorder="1" applyAlignment="1">
      <alignment horizontal="center" vertical="center" wrapText="1"/>
    </xf>
    <xf numFmtId="193" fontId="76" fillId="49" borderId="8" xfId="751" applyNumberFormat="1" applyFont="1" applyFill="1" applyBorder="1" applyAlignment="1">
      <alignment horizontal="center" vertical="center"/>
    </xf>
    <xf numFmtId="193" fontId="76" fillId="15" borderId="12" xfId="751" applyNumberFormat="1" applyFont="1" applyFill="1" applyBorder="1" applyAlignment="1">
      <alignment horizontal="center" vertical="center"/>
    </xf>
    <xf numFmtId="193" fontId="76" fillId="15" borderId="13" xfId="751" applyNumberFormat="1" applyFont="1" applyFill="1" applyBorder="1" applyAlignment="1">
      <alignment horizontal="center" vertical="center"/>
    </xf>
    <xf numFmtId="193" fontId="76" fillId="49" borderId="8" xfId="751" applyNumberFormat="1" applyFont="1" applyFill="1" applyBorder="1" applyAlignment="1">
      <alignment horizontal="center" vertical="center" wrapText="1"/>
    </xf>
    <xf numFmtId="193" fontId="76" fillId="49" borderId="17" xfId="751" applyNumberFormat="1" applyFont="1" applyFill="1" applyBorder="1" applyAlignment="1">
      <alignment horizontal="center" vertical="center" wrapText="1"/>
    </xf>
    <xf numFmtId="193" fontId="76" fillId="49" borderId="42" xfId="751" applyNumberFormat="1" applyFont="1" applyFill="1" applyBorder="1" applyAlignment="1">
      <alignment horizontal="center" vertical="center" wrapText="1"/>
    </xf>
    <xf numFmtId="193" fontId="76" fillId="49" borderId="104" xfId="751" applyNumberFormat="1" applyFont="1" applyFill="1" applyBorder="1" applyAlignment="1">
      <alignment horizontal="center" vertical="center" wrapText="1"/>
    </xf>
    <xf numFmtId="193" fontId="76" fillId="49" borderId="46" xfId="751" applyNumberFormat="1" applyFont="1" applyFill="1" applyBorder="1" applyAlignment="1">
      <alignment horizontal="center" vertical="center" wrapText="1"/>
    </xf>
    <xf numFmtId="193" fontId="76" fillId="49" borderId="105" xfId="751" applyNumberFormat="1" applyFont="1" applyFill="1" applyBorder="1" applyAlignment="1">
      <alignment horizontal="center" vertical="center" wrapText="1"/>
    </xf>
    <xf numFmtId="0" fontId="176" fillId="68" borderId="308" xfId="0" applyFont="1" applyFill="1" applyBorder="1" applyAlignment="1">
      <alignment horizontal="center" vertical="center" wrapText="1"/>
    </xf>
    <xf numFmtId="0" fontId="176" fillId="68" borderId="309" xfId="0" applyFont="1" applyFill="1" applyBorder="1" applyAlignment="1">
      <alignment horizontal="center" vertical="center" wrapText="1"/>
    </xf>
    <xf numFmtId="0" fontId="73" fillId="15" borderId="12" xfId="1350" applyFont="1" applyFill="1" applyBorder="1" applyAlignment="1">
      <alignment horizontal="center" vertical="center"/>
    </xf>
    <xf numFmtId="0" fontId="73" fillId="15" borderId="305" xfId="1350" applyFont="1" applyFill="1" applyBorder="1" applyAlignment="1">
      <alignment horizontal="center" vertical="center"/>
    </xf>
    <xf numFmtId="0" fontId="73" fillId="15" borderId="13" xfId="1350" applyFont="1" applyFill="1" applyBorder="1" applyAlignment="1">
      <alignment horizontal="center" vertical="center" wrapText="1"/>
    </xf>
    <xf numFmtId="0" fontId="73" fillId="15" borderId="306" xfId="1350" applyFont="1" applyFill="1" applyBorder="1" applyAlignment="1">
      <alignment horizontal="center" vertical="center"/>
    </xf>
    <xf numFmtId="0" fontId="73" fillId="15" borderId="13" xfId="1350" applyFont="1" applyFill="1" applyBorder="1" applyAlignment="1">
      <alignment horizontal="center" vertical="center"/>
    </xf>
    <xf numFmtId="0" fontId="73" fillId="15" borderId="14" xfId="1350" applyFont="1" applyFill="1" applyBorder="1" applyAlignment="1">
      <alignment horizontal="center" vertical="center"/>
    </xf>
    <xf numFmtId="0" fontId="73" fillId="15" borderId="307" xfId="1350" applyFont="1" applyFill="1" applyBorder="1" applyAlignment="1">
      <alignment horizontal="center" vertical="center"/>
    </xf>
    <xf numFmtId="0" fontId="134" fillId="48" borderId="95" xfId="485" applyFont="1" applyFill="1" applyBorder="1" applyAlignment="1">
      <alignment horizontal="center" vertical="center"/>
    </xf>
    <xf numFmtId="0" fontId="134" fillId="48" borderId="336" xfId="485" applyFont="1" applyFill="1" applyBorder="1" applyAlignment="1">
      <alignment horizontal="center" vertical="center"/>
    </xf>
    <xf numFmtId="0" fontId="41" fillId="48" borderId="290" xfId="485" applyFont="1" applyFill="1" applyBorder="1" applyAlignment="1">
      <alignment horizontal="center" vertical="center" wrapText="1"/>
    </xf>
    <xf numFmtId="0" fontId="41" fillId="48" borderId="24" xfId="485" applyFont="1" applyFill="1" applyBorder="1" applyAlignment="1">
      <alignment horizontal="center" vertical="center" wrapText="1"/>
    </xf>
    <xf numFmtId="0" fontId="41" fillId="48" borderId="270" xfId="485" applyFont="1" applyFill="1" applyBorder="1" applyAlignment="1">
      <alignment horizontal="center" vertical="center" wrapText="1"/>
    </xf>
    <xf numFmtId="0" fontId="41" fillId="48" borderId="25" xfId="485" applyFont="1" applyFill="1" applyBorder="1" applyAlignment="1">
      <alignment horizontal="center" vertical="center" wrapText="1"/>
    </xf>
    <xf numFmtId="0" fontId="41" fillId="48" borderId="13" xfId="485" quotePrefix="1" applyFont="1" applyFill="1" applyBorder="1" applyAlignment="1">
      <alignment horizontal="center" vertical="center" wrapText="1"/>
    </xf>
    <xf numFmtId="3" fontId="41" fillId="48" borderId="338" xfId="485" applyNumberFormat="1" applyFont="1" applyFill="1" applyBorder="1" applyAlignment="1">
      <alignment horizontal="center" vertical="center" wrapText="1"/>
    </xf>
    <xf numFmtId="3" fontId="41" fillId="48" borderId="298" xfId="485" applyNumberFormat="1" applyFont="1" applyFill="1" applyBorder="1" applyAlignment="1">
      <alignment horizontal="center" vertical="center" wrapText="1"/>
    </xf>
    <xf numFmtId="3" fontId="41" fillId="48" borderId="339" xfId="485" applyNumberFormat="1" applyFont="1" applyFill="1" applyBorder="1" applyAlignment="1">
      <alignment horizontal="center" vertical="center" wrapText="1"/>
    </xf>
    <xf numFmtId="3" fontId="41" fillId="48" borderId="335" xfId="485" applyNumberFormat="1" applyFont="1" applyFill="1" applyBorder="1" applyAlignment="1">
      <alignment horizontal="center" vertical="center" wrapText="1"/>
    </xf>
    <xf numFmtId="0" fontId="134" fillId="48" borderId="329" xfId="485" applyFont="1" applyFill="1" applyBorder="1" applyAlignment="1">
      <alignment horizontal="center" vertical="center" wrapText="1"/>
    </xf>
    <xf numFmtId="0" fontId="134" fillId="48" borderId="322" xfId="485" applyFont="1" applyFill="1" applyBorder="1" applyAlignment="1">
      <alignment horizontal="center" vertical="center"/>
    </xf>
    <xf numFmtId="0" fontId="41" fillId="48" borderId="12" xfId="485" applyFont="1" applyFill="1" applyBorder="1" applyAlignment="1">
      <alignment horizontal="center" vertical="center" wrapText="1"/>
    </xf>
    <xf numFmtId="0" fontId="41" fillId="48" borderId="13" xfId="485" applyFont="1" applyFill="1" applyBorder="1" applyAlignment="1">
      <alignment horizontal="center" vertical="center" wrapText="1"/>
    </xf>
    <xf numFmtId="0" fontId="41" fillId="48" borderId="232" xfId="485" applyFont="1" applyFill="1" applyBorder="1" applyAlignment="1">
      <alignment horizontal="center" vertical="center" wrapText="1"/>
    </xf>
    <xf numFmtId="0" fontId="41" fillId="48" borderId="233" xfId="485" applyFont="1" applyFill="1" applyBorder="1" applyAlignment="1">
      <alignment horizontal="center" vertical="center" wrapText="1"/>
    </xf>
    <xf numFmtId="0" fontId="41" fillId="48" borderId="301" xfId="485" applyFont="1" applyFill="1" applyBorder="1" applyAlignment="1">
      <alignment horizontal="center" vertical="center" wrapText="1"/>
    </xf>
    <xf numFmtId="0" fontId="41" fillId="48" borderId="302" xfId="485" applyFont="1" applyFill="1" applyBorder="1" applyAlignment="1">
      <alignment horizontal="center" vertical="center" wrapText="1"/>
    </xf>
    <xf numFmtId="0" fontId="41" fillId="48" borderId="303" xfId="485" applyFont="1" applyFill="1" applyBorder="1" applyAlignment="1">
      <alignment horizontal="center" vertical="center" wrapText="1"/>
    </xf>
    <xf numFmtId="0" fontId="132" fillId="48" borderId="266" xfId="485" applyFont="1" applyFill="1" applyBorder="1" applyAlignment="1">
      <alignment horizontal="center" vertical="center" wrapText="1"/>
    </xf>
    <xf numFmtId="0" fontId="132" fillId="48" borderId="259" xfId="485" applyFont="1" applyFill="1" applyBorder="1" applyAlignment="1">
      <alignment horizontal="center" vertical="center" wrapText="1"/>
    </xf>
    <xf numFmtId="0" fontId="132" fillId="48" borderId="259" xfId="485" applyFont="1" applyFill="1" applyBorder="1" applyAlignment="1">
      <alignment horizontal="center" vertical="center"/>
    </xf>
    <xf numFmtId="0" fontId="132" fillId="48" borderId="263" xfId="485" applyFont="1" applyFill="1" applyBorder="1" applyAlignment="1">
      <alignment horizontal="center" vertical="center"/>
    </xf>
    <xf numFmtId="0" fontId="41" fillId="48" borderId="267" xfId="485" applyFont="1" applyFill="1" applyBorder="1" applyAlignment="1">
      <alignment horizontal="center" vertical="center" wrapText="1"/>
    </xf>
    <xf numFmtId="3" fontId="41" fillId="48" borderId="260" xfId="485" applyNumberFormat="1" applyFont="1" applyFill="1" applyBorder="1" applyAlignment="1">
      <alignment horizontal="center" vertical="center" wrapText="1"/>
    </xf>
    <xf numFmtId="3" fontId="41" fillId="48" borderId="264" xfId="485" applyNumberFormat="1" applyFont="1" applyFill="1" applyBorder="1" applyAlignment="1">
      <alignment horizontal="center" vertical="center" wrapText="1"/>
    </xf>
    <xf numFmtId="0" fontId="41" fillId="48" borderId="280" xfId="485" applyFont="1" applyFill="1" applyBorder="1" applyAlignment="1">
      <alignment horizontal="center" vertical="center" wrapText="1"/>
    </xf>
    <xf numFmtId="0" fontId="41" fillId="48" borderId="281" xfId="485" applyFont="1" applyFill="1" applyBorder="1" applyAlignment="1">
      <alignment horizontal="center" vertical="center" wrapText="1"/>
    </xf>
    <xf numFmtId="0" fontId="41" fillId="48" borderId="282" xfId="485" applyFont="1" applyFill="1" applyBorder="1" applyAlignment="1">
      <alignment horizontal="center" vertical="center" wrapText="1"/>
    </xf>
    <xf numFmtId="0" fontId="132" fillId="48" borderId="247" xfId="485" applyFont="1" applyFill="1" applyBorder="1" applyAlignment="1">
      <alignment horizontal="center" vertical="center" wrapText="1"/>
    </xf>
    <xf numFmtId="0" fontId="41" fillId="48" borderId="248" xfId="485" applyFont="1" applyFill="1" applyBorder="1" applyAlignment="1">
      <alignment horizontal="center" vertical="center" wrapText="1"/>
    </xf>
    <xf numFmtId="41" fontId="41" fillId="53" borderId="207" xfId="485" applyNumberFormat="1" applyFont="1" applyFill="1" applyBorder="1" applyAlignment="1">
      <alignment horizontal="center" vertical="center" wrapText="1"/>
    </xf>
    <xf numFmtId="41" fontId="41" fillId="53" borderId="208" xfId="485" applyNumberFormat="1" applyFont="1" applyFill="1" applyBorder="1" applyAlignment="1">
      <alignment horizontal="center" vertical="center" wrapText="1"/>
    </xf>
    <xf numFmtId="41" fontId="0" fillId="0" borderId="191" xfId="149" applyFont="1" applyBorder="1" applyAlignment="1">
      <alignment vertical="center" wrapText="1"/>
    </xf>
    <xf numFmtId="0" fontId="41" fillId="48" borderId="106" xfId="485" applyFont="1" applyFill="1" applyBorder="1" applyAlignment="1">
      <alignment horizontal="center" vertical="center" wrapText="1"/>
    </xf>
    <xf numFmtId="0" fontId="41" fillId="48" borderId="107" xfId="485" applyFont="1" applyFill="1" applyBorder="1" applyAlignment="1">
      <alignment horizontal="center" vertical="center" wrapText="1"/>
    </xf>
    <xf numFmtId="0" fontId="41" fillId="48" borderId="108" xfId="485" applyFont="1" applyFill="1" applyBorder="1" applyAlignment="1">
      <alignment horizontal="center" vertical="center" wrapText="1"/>
    </xf>
    <xf numFmtId="0" fontId="41" fillId="48" borderId="109" xfId="485" applyFont="1" applyFill="1" applyBorder="1" applyAlignment="1">
      <alignment horizontal="center" vertical="center" wrapText="1"/>
    </xf>
    <xf numFmtId="0" fontId="128" fillId="48" borderId="149" xfId="485" applyFont="1" applyFill="1" applyBorder="1" applyAlignment="1">
      <alignment horizontal="center" vertical="center" wrapText="1"/>
    </xf>
    <xf numFmtId="0" fontId="128" fillId="48" borderId="204" xfId="485" applyFont="1" applyFill="1" applyBorder="1" applyAlignment="1">
      <alignment horizontal="center" vertical="center" wrapText="1"/>
    </xf>
    <xf numFmtId="0" fontId="128" fillId="48" borderId="151" xfId="485" applyFont="1" applyFill="1" applyBorder="1" applyAlignment="1">
      <alignment horizontal="center" vertical="center" wrapText="1"/>
    </xf>
    <xf numFmtId="0" fontId="128" fillId="48" borderId="155" xfId="485" applyFont="1" applyFill="1" applyBorder="1" applyAlignment="1">
      <alignment horizontal="center" vertical="center" wrapText="1"/>
    </xf>
    <xf numFmtId="0" fontId="41" fillId="48" borderId="147" xfId="485" applyFont="1" applyFill="1" applyBorder="1" applyAlignment="1">
      <alignment horizontal="center" vertical="center" wrapText="1"/>
    </xf>
    <xf numFmtId="41" fontId="41" fillId="53" borderId="147" xfId="485" applyNumberFormat="1" applyFont="1" applyFill="1" applyBorder="1" applyAlignment="1">
      <alignment horizontal="center" vertical="center" wrapText="1"/>
    </xf>
    <xf numFmtId="183" fontId="41" fillId="53" borderId="148" xfId="485" applyNumberFormat="1" applyFont="1" applyFill="1" applyBorder="1" applyAlignment="1">
      <alignment horizontal="center" vertical="center" wrapText="1"/>
    </xf>
    <xf numFmtId="41" fontId="41" fillId="53" borderId="148" xfId="485" applyNumberFormat="1" applyFont="1" applyFill="1" applyBorder="1" applyAlignment="1">
      <alignment horizontal="center" vertical="center" wrapText="1"/>
    </xf>
    <xf numFmtId="41" fontId="128" fillId="0" borderId="156" xfId="149" applyFont="1" applyBorder="1" applyAlignment="1">
      <alignment horizontal="center" vertical="center"/>
    </xf>
    <xf numFmtId="0" fontId="128" fillId="48" borderId="182" xfId="485" applyFont="1" applyFill="1" applyBorder="1" applyAlignment="1">
      <alignment horizontal="center" vertical="center" wrapText="1"/>
    </xf>
    <xf numFmtId="0" fontId="128" fillId="48" borderId="183" xfId="485" applyFont="1" applyFill="1" applyBorder="1" applyAlignment="1">
      <alignment horizontal="center" vertical="center" wrapText="1"/>
    </xf>
    <xf numFmtId="0" fontId="128" fillId="48" borderId="205" xfId="485" applyFont="1" applyFill="1" applyBorder="1" applyAlignment="1">
      <alignment horizontal="center" vertical="center" wrapText="1"/>
    </xf>
    <xf numFmtId="41" fontId="41" fillId="53" borderId="4" xfId="485" applyNumberFormat="1" applyFont="1" applyFill="1" applyBorder="1" applyAlignment="1">
      <alignment horizontal="center" vertical="center" wrapText="1"/>
    </xf>
    <xf numFmtId="41" fontId="41" fillId="53" borderId="186" xfId="485" applyNumberFormat="1" applyFont="1" applyFill="1" applyBorder="1" applyAlignment="1">
      <alignment horizontal="center" vertical="center" wrapText="1"/>
    </xf>
    <xf numFmtId="41" fontId="41" fillId="53" borderId="187" xfId="485" applyNumberFormat="1" applyFont="1" applyFill="1" applyBorder="1" applyAlignment="1">
      <alignment horizontal="center" vertical="center" wrapText="1"/>
    </xf>
    <xf numFmtId="0" fontId="132" fillId="48" borderId="26" xfId="485" applyFont="1" applyFill="1" applyBorder="1" applyAlignment="1">
      <alignment horizontal="center" vertical="center" wrapText="1"/>
    </xf>
    <xf numFmtId="0" fontId="132" fillId="48" borderId="27" xfId="485" applyFont="1" applyFill="1" applyBorder="1" applyAlignment="1">
      <alignment horizontal="center" vertical="center" wrapText="1"/>
    </xf>
    <xf numFmtId="0" fontId="132" fillId="48" borderId="28" xfId="485" applyFont="1" applyFill="1" applyBorder="1" applyAlignment="1">
      <alignment horizontal="center" vertical="center" wrapText="1"/>
    </xf>
    <xf numFmtId="0" fontId="41" fillId="48" borderId="167" xfId="485" applyFont="1" applyFill="1" applyBorder="1" applyAlignment="1">
      <alignment horizontal="center" vertical="center" wrapText="1"/>
    </xf>
    <xf numFmtId="0" fontId="41" fillId="48" borderId="168" xfId="485" applyFont="1" applyFill="1" applyBorder="1" applyAlignment="1">
      <alignment horizontal="center" vertical="center" wrapText="1"/>
    </xf>
    <xf numFmtId="0" fontId="41" fillId="48" borderId="169" xfId="485" applyFont="1" applyFill="1" applyBorder="1" applyAlignment="1">
      <alignment horizontal="center" vertical="center" wrapText="1"/>
    </xf>
    <xf numFmtId="0" fontId="41" fillId="48" borderId="170" xfId="485" applyFont="1" applyFill="1" applyBorder="1" applyAlignment="1">
      <alignment horizontal="center" vertical="center" wrapText="1"/>
    </xf>
    <xf numFmtId="0" fontId="41" fillId="48" borderId="4" xfId="485" applyFont="1" applyFill="1" applyBorder="1" applyAlignment="1">
      <alignment horizontal="center" vertical="center" wrapText="1"/>
    </xf>
    <xf numFmtId="0" fontId="41" fillId="48" borderId="33" xfId="485" applyFont="1" applyFill="1" applyBorder="1" applyAlignment="1">
      <alignment horizontal="center" vertical="center" wrapText="1"/>
    </xf>
    <xf numFmtId="0" fontId="41" fillId="48" borderId="35" xfId="485" applyFont="1" applyFill="1" applyBorder="1" applyAlignment="1">
      <alignment horizontal="center" vertical="center" wrapText="1"/>
    </xf>
    <xf numFmtId="0" fontId="132" fillId="48" borderId="149" xfId="485" applyFont="1" applyFill="1" applyBorder="1" applyAlignment="1">
      <alignment horizontal="center" vertical="center" wrapText="1"/>
    </xf>
    <xf numFmtId="0" fontId="132" fillId="48" borderId="151" xfId="485" applyFont="1" applyFill="1" applyBorder="1" applyAlignment="1">
      <alignment horizontal="center" vertical="center" wrapText="1"/>
    </xf>
    <xf numFmtId="0" fontId="132" fillId="48" borderId="155" xfId="485" applyFont="1" applyFill="1" applyBorder="1" applyAlignment="1">
      <alignment horizontal="center" vertical="center" wrapText="1"/>
    </xf>
    <xf numFmtId="0" fontId="41" fillId="48" borderId="112" xfId="485" applyFont="1" applyFill="1" applyBorder="1" applyAlignment="1">
      <alignment horizontal="center" vertical="center" wrapText="1"/>
    </xf>
    <xf numFmtId="0" fontId="41" fillId="48" borderId="113" xfId="485" applyFont="1" applyFill="1" applyBorder="1" applyAlignment="1">
      <alignment horizontal="center" vertical="center" wrapText="1"/>
    </xf>
    <xf numFmtId="41" fontId="41" fillId="53" borderId="112" xfId="485" applyNumberFormat="1" applyFont="1" applyFill="1" applyBorder="1" applyAlignment="1">
      <alignment horizontal="center" vertical="center" wrapText="1"/>
    </xf>
    <xf numFmtId="41" fontId="41" fillId="53" borderId="113" xfId="485" applyNumberFormat="1" applyFont="1" applyFill="1" applyBorder="1" applyAlignment="1">
      <alignment horizontal="center" vertical="center" wrapText="1"/>
    </xf>
    <xf numFmtId="0" fontId="132" fillId="48" borderId="148" xfId="485" applyFont="1" applyFill="1" applyBorder="1" applyAlignment="1">
      <alignment horizontal="center" vertical="center" wrapText="1"/>
    </xf>
    <xf numFmtId="41" fontId="41" fillId="53" borderId="152" xfId="485" applyNumberFormat="1" applyFont="1" applyFill="1" applyBorder="1" applyAlignment="1">
      <alignment horizontal="center" vertical="center" wrapText="1"/>
    </xf>
    <xf numFmtId="41" fontId="41" fillId="53" borderId="153" xfId="485" applyNumberFormat="1" applyFont="1" applyFill="1" applyBorder="1" applyAlignment="1">
      <alignment horizontal="center" vertical="center" wrapText="1"/>
    </xf>
    <xf numFmtId="0" fontId="132" fillId="48" borderId="165" xfId="485" applyFont="1" applyFill="1" applyBorder="1" applyAlignment="1">
      <alignment horizontal="center" vertical="center" wrapText="1"/>
    </xf>
    <xf numFmtId="0" fontId="132" fillId="48" borderId="166" xfId="485" applyFont="1" applyFill="1" applyBorder="1" applyAlignment="1">
      <alignment horizontal="center" vertical="center" wrapText="1"/>
    </xf>
    <xf numFmtId="41" fontId="41" fillId="53" borderId="157" xfId="485" applyNumberFormat="1" applyFont="1" applyFill="1" applyBorder="1" applyAlignment="1">
      <alignment horizontal="center" vertical="center" wrapText="1"/>
    </xf>
    <xf numFmtId="41" fontId="41" fillId="53" borderId="158" xfId="485" applyNumberFormat="1" applyFont="1" applyFill="1" applyBorder="1" applyAlignment="1">
      <alignment horizontal="center" vertical="center" wrapText="1"/>
    </xf>
    <xf numFmtId="0" fontId="132" fillId="48" borderId="111" xfId="485" applyFont="1" applyFill="1" applyBorder="1" applyAlignment="1">
      <alignment horizontal="center" vertical="center" wrapText="1"/>
    </xf>
    <xf numFmtId="0" fontId="132" fillId="48" borderId="123" xfId="485" applyFont="1" applyFill="1" applyBorder="1" applyAlignment="1">
      <alignment horizontal="center" vertical="center"/>
    </xf>
    <xf numFmtId="0" fontId="41" fillId="48" borderId="116" xfId="485" applyFont="1" applyFill="1" applyBorder="1" applyAlignment="1">
      <alignment horizontal="center" vertical="center" wrapText="1"/>
    </xf>
    <xf numFmtId="0" fontId="41" fillId="48" borderId="117" xfId="485" applyFont="1" applyFill="1" applyBorder="1" applyAlignment="1">
      <alignment horizontal="center" vertical="center" wrapText="1"/>
    </xf>
    <xf numFmtId="41" fontId="41" fillId="53" borderId="116" xfId="485" applyNumberFormat="1" applyFont="1" applyFill="1" applyBorder="1" applyAlignment="1">
      <alignment horizontal="center" vertical="center" wrapText="1"/>
    </xf>
    <xf numFmtId="41" fontId="41" fillId="53" borderId="117" xfId="485" applyNumberFormat="1" applyFont="1" applyFill="1" applyBorder="1" applyAlignment="1">
      <alignment horizontal="center" vertical="center" wrapText="1"/>
    </xf>
    <xf numFmtId="3" fontId="41" fillId="48" borderId="119" xfId="485" applyNumberFormat="1" applyFont="1" applyFill="1" applyBorder="1" applyAlignment="1">
      <alignment horizontal="center" vertical="center" wrapText="1"/>
    </xf>
    <xf numFmtId="3" fontId="41" fillId="48" borderId="120" xfId="485" applyNumberFormat="1" applyFont="1" applyFill="1" applyBorder="1" applyAlignment="1">
      <alignment horizontal="center" vertical="center" wrapText="1"/>
    </xf>
    <xf numFmtId="41" fontId="41" fillId="53" borderId="119" xfId="485" applyNumberFormat="1" applyFont="1" applyFill="1" applyBorder="1" applyAlignment="1">
      <alignment horizontal="center" vertical="center" wrapText="1"/>
    </xf>
    <xf numFmtId="41" fontId="41" fillId="53" borderId="120" xfId="485" applyNumberFormat="1" applyFont="1" applyFill="1" applyBorder="1" applyAlignment="1">
      <alignment horizontal="center" vertical="center" wrapText="1"/>
    </xf>
    <xf numFmtId="0" fontId="132" fillId="0" borderId="122" xfId="485" applyFont="1" applyBorder="1" applyAlignment="1">
      <alignment horizontal="left" vertical="center" shrinkToFit="1"/>
    </xf>
    <xf numFmtId="0" fontId="132" fillId="48" borderId="33" xfId="485" applyFont="1" applyFill="1" applyBorder="1" applyAlignment="1">
      <alignment horizontal="center" vertical="center" wrapText="1"/>
    </xf>
    <xf numFmtId="0" fontId="132" fillId="48" borderId="35" xfId="485" applyFont="1" applyFill="1" applyBorder="1" applyAlignment="1">
      <alignment horizontal="center" vertical="center" wrapText="1"/>
    </xf>
    <xf numFmtId="0" fontId="132" fillId="48" borderId="107" xfId="485" applyFont="1" applyFill="1" applyBorder="1" applyAlignment="1">
      <alignment horizontal="center" vertical="center" wrapText="1"/>
    </xf>
    <xf numFmtId="0" fontId="41" fillId="48" borderId="109" xfId="485" quotePrefix="1" applyFont="1" applyFill="1" applyBorder="1" applyAlignment="1">
      <alignment horizontal="center" vertical="center" wrapText="1"/>
    </xf>
    <xf numFmtId="0" fontId="41" fillId="48" borderId="107" xfId="485" quotePrefix="1" applyFont="1" applyFill="1" applyBorder="1" applyAlignment="1">
      <alignment horizontal="center" vertical="center" wrapText="1"/>
    </xf>
    <xf numFmtId="0" fontId="132" fillId="48" borderId="182" xfId="485" applyFont="1" applyFill="1" applyBorder="1" applyAlignment="1">
      <alignment horizontal="center" vertical="center" wrapText="1"/>
    </xf>
    <xf numFmtId="0" fontId="132" fillId="48" borderId="183" xfId="485" applyFont="1" applyFill="1" applyBorder="1" applyAlignment="1">
      <alignment horizontal="center" vertical="center" wrapText="1"/>
    </xf>
    <xf numFmtId="0" fontId="132" fillId="48" borderId="167" xfId="485" applyFont="1" applyFill="1" applyBorder="1" applyAlignment="1">
      <alignment horizontal="center" vertical="center" wrapText="1"/>
    </xf>
    <xf numFmtId="0" fontId="132" fillId="48" borderId="133" xfId="485" applyFont="1" applyFill="1" applyBorder="1" applyAlignment="1">
      <alignment horizontal="center" vertical="center" wrapText="1"/>
    </xf>
    <xf numFmtId="0" fontId="132" fillId="48" borderId="181" xfId="485" applyFont="1" applyFill="1" applyBorder="1" applyAlignment="1">
      <alignment horizontal="center" vertical="center" wrapText="1"/>
    </xf>
    <xf numFmtId="41" fontId="41" fillId="53" borderId="109" xfId="485" applyNumberFormat="1" applyFont="1" applyFill="1" applyBorder="1" applyAlignment="1">
      <alignment vertical="center" wrapText="1"/>
    </xf>
    <xf numFmtId="41" fontId="41" fillId="53" borderId="107" xfId="485" applyNumberFormat="1" applyFont="1" applyFill="1" applyBorder="1" applyAlignment="1">
      <alignment vertical="center" wrapText="1"/>
    </xf>
    <xf numFmtId="41" fontId="41" fillId="53" borderId="118" xfId="485" applyNumberFormat="1" applyFont="1" applyFill="1" applyBorder="1" applyAlignment="1">
      <alignment horizontal="center" vertical="center" wrapText="1"/>
    </xf>
    <xf numFmtId="41" fontId="41" fillId="53" borderId="114" xfId="485" applyNumberFormat="1" applyFont="1" applyFill="1" applyBorder="1" applyAlignment="1">
      <alignment horizontal="center" vertical="center" wrapText="1"/>
    </xf>
    <xf numFmtId="245" fontId="41" fillId="53" borderId="118" xfId="485" applyNumberFormat="1" applyFont="1" applyFill="1" applyBorder="1" applyAlignment="1">
      <alignment horizontal="center" vertical="center" wrapText="1"/>
    </xf>
    <xf numFmtId="245" fontId="41" fillId="53" borderId="114" xfId="485" applyNumberFormat="1" applyFont="1" applyFill="1" applyBorder="1" applyAlignment="1">
      <alignment horizontal="center" vertical="center" wrapText="1"/>
    </xf>
    <xf numFmtId="41" fontId="41" fillId="53" borderId="134" xfId="485" applyNumberFormat="1" applyFont="1" applyFill="1" applyBorder="1" applyAlignment="1">
      <alignment horizontal="center" vertical="center" wrapText="1"/>
    </xf>
    <xf numFmtId="41" fontId="41" fillId="53" borderId="135" xfId="485" applyNumberFormat="1" applyFont="1" applyFill="1" applyBorder="1" applyAlignment="1">
      <alignment horizontal="center" vertical="center" wrapText="1"/>
    </xf>
    <xf numFmtId="41" fontId="41" fillId="53" borderId="136" xfId="485" applyNumberFormat="1" applyFont="1" applyFill="1" applyBorder="1" applyAlignment="1">
      <alignment horizontal="center" vertical="center" wrapText="1"/>
    </xf>
    <xf numFmtId="41" fontId="41" fillId="53" borderId="137" xfId="485" applyNumberFormat="1" applyFont="1" applyFill="1" applyBorder="1" applyAlignment="1">
      <alignment horizontal="center" vertical="center" wrapText="1"/>
    </xf>
    <xf numFmtId="183" fontId="41" fillId="53" borderId="119" xfId="485" applyNumberFormat="1" applyFont="1" applyFill="1" applyBorder="1" applyAlignment="1">
      <alignment horizontal="center" vertical="center" wrapText="1"/>
    </xf>
    <xf numFmtId="183" fontId="41" fillId="53" borderId="120" xfId="485" applyNumberFormat="1" applyFont="1" applyFill="1" applyBorder="1" applyAlignment="1">
      <alignment horizontal="center" vertical="center" wrapText="1"/>
    </xf>
    <xf numFmtId="0" fontId="132" fillId="48" borderId="118" xfId="485" applyFont="1" applyFill="1" applyBorder="1" applyAlignment="1">
      <alignment horizontal="center" vertical="center" wrapText="1"/>
    </xf>
    <xf numFmtId="0" fontId="132" fillId="48" borderId="132" xfId="485" applyFont="1" applyFill="1" applyBorder="1" applyAlignment="1">
      <alignment horizontal="center" vertical="center" wrapText="1"/>
    </xf>
    <xf numFmtId="0" fontId="132" fillId="48" borderId="184" xfId="485" applyFont="1" applyFill="1" applyBorder="1" applyAlignment="1">
      <alignment horizontal="center" vertical="center" wrapText="1"/>
    </xf>
    <xf numFmtId="41" fontId="41" fillId="53" borderId="121" xfId="485" applyNumberFormat="1" applyFont="1" applyFill="1" applyBorder="1" applyAlignment="1">
      <alignment horizontal="center" vertical="center" wrapText="1"/>
    </xf>
    <xf numFmtId="41" fontId="41" fillId="53" borderId="115" xfId="485" applyNumberFormat="1" applyFont="1" applyFill="1" applyBorder="1" applyAlignment="1">
      <alignment horizontal="center" vertical="center" wrapText="1"/>
    </xf>
    <xf numFmtId="0" fontId="132" fillId="48" borderId="114" xfId="485" applyFont="1" applyFill="1" applyBorder="1" applyAlignment="1">
      <alignment horizontal="center" vertical="center" wrapText="1"/>
    </xf>
    <xf numFmtId="0" fontId="0" fillId="0" borderId="191" xfId="0" applyBorder="1" applyAlignment="1">
      <alignment vertical="center" wrapText="1"/>
    </xf>
    <xf numFmtId="0" fontId="69" fillId="0" borderId="191" xfId="485" applyBorder="1" applyAlignment="1">
      <alignment horizontal="center" vertical="center"/>
    </xf>
    <xf numFmtId="0" fontId="0" fillId="0" borderId="193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0" fillId="0" borderId="195" xfId="0" applyBorder="1" applyAlignment="1">
      <alignment horizontal="center" vertical="center" wrapText="1"/>
    </xf>
    <xf numFmtId="183" fontId="41" fillId="53" borderId="112" xfId="485" applyNumberFormat="1" applyFont="1" applyFill="1" applyBorder="1" applyAlignment="1">
      <alignment horizontal="center" vertical="center" wrapText="1"/>
    </xf>
    <xf numFmtId="183" fontId="41" fillId="53" borderId="113" xfId="485" applyNumberFormat="1" applyFont="1" applyFill="1" applyBorder="1" applyAlignment="1">
      <alignment horizontal="center" vertical="center" wrapText="1"/>
    </xf>
    <xf numFmtId="183" fontId="41" fillId="53" borderId="186" xfId="485" applyNumberFormat="1" applyFont="1" applyFill="1" applyBorder="1" applyAlignment="1">
      <alignment horizontal="center" vertical="center" wrapText="1"/>
    </xf>
    <xf numFmtId="183" fontId="41" fillId="53" borderId="187" xfId="485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49" fontId="20" fillId="0" borderId="235" xfId="0" applyNumberFormat="1" applyFont="1" applyBorder="1" applyAlignment="1">
      <alignment horizontal="center" vertical="center" wrapText="1"/>
    </xf>
    <xf numFmtId="49" fontId="20" fillId="0" borderId="239" xfId="0" applyNumberFormat="1" applyFont="1" applyBorder="1" applyAlignment="1">
      <alignment horizontal="center" vertical="center" wrapText="1"/>
    </xf>
    <xf numFmtId="49" fontId="20" fillId="0" borderId="240" xfId="0" applyNumberFormat="1" applyFont="1" applyBorder="1" applyAlignment="1">
      <alignment horizontal="center" vertical="center" wrapText="1"/>
    </xf>
    <xf numFmtId="49" fontId="20" fillId="0" borderId="192" xfId="0" applyNumberFormat="1" applyFont="1" applyBorder="1" applyAlignment="1">
      <alignment horizontal="center" vertical="center" wrapText="1"/>
    </xf>
    <xf numFmtId="0" fontId="20" fillId="0" borderId="240" xfId="0" applyFont="1" applyFill="1" applyBorder="1" applyAlignment="1">
      <alignment horizontal="center" vertical="center"/>
    </xf>
    <xf numFmtId="0" fontId="20" fillId="0" borderId="227" xfId="0" applyFont="1" applyFill="1" applyBorder="1" applyAlignment="1">
      <alignment horizontal="center" vertical="center"/>
    </xf>
    <xf numFmtId="0" fontId="20" fillId="0" borderId="192" xfId="0" applyFont="1" applyFill="1" applyBorder="1" applyAlignment="1">
      <alignment horizontal="center" vertical="center"/>
    </xf>
    <xf numFmtId="0" fontId="20" fillId="53" borderId="226" xfId="770" applyFont="1" applyFill="1" applyBorder="1" applyAlignment="1">
      <alignment horizontal="center" vertical="center"/>
    </xf>
    <xf numFmtId="0" fontId="20" fillId="53" borderId="240" xfId="770" applyFont="1" applyFill="1" applyBorder="1" applyAlignment="1">
      <alignment horizontal="center" vertical="center"/>
    </xf>
    <xf numFmtId="0" fontId="20" fillId="53" borderId="227" xfId="770" applyFont="1" applyFill="1" applyBorder="1" applyAlignment="1">
      <alignment horizontal="center" vertical="center"/>
    </xf>
    <xf numFmtId="0" fontId="205" fillId="0" borderId="69" xfId="1742" applyFont="1" applyFill="1" applyBorder="1" applyAlignment="1" applyProtection="1">
      <alignment horizontal="center" vertical="center"/>
    </xf>
    <xf numFmtId="0" fontId="205" fillId="0" borderId="44" xfId="1742" applyFont="1" applyFill="1" applyBorder="1" applyAlignment="1" applyProtection="1">
      <alignment horizontal="center" vertical="center"/>
    </xf>
    <xf numFmtId="0" fontId="205" fillId="0" borderId="203" xfId="1742" applyFont="1" applyFill="1" applyBorder="1" applyAlignment="1" applyProtection="1">
      <alignment horizontal="center" vertical="center"/>
    </xf>
    <xf numFmtId="0" fontId="205" fillId="0" borderId="45" xfId="1742" applyFont="1" applyFill="1" applyBorder="1" applyAlignment="1" applyProtection="1">
      <alignment horizontal="center" vertical="center"/>
    </xf>
    <xf numFmtId="0" fontId="204" fillId="0" borderId="231" xfId="1743" applyFont="1" applyFill="1" applyBorder="1" applyAlignment="1">
      <alignment horizontal="center" vertical="center" wrapText="1"/>
    </xf>
    <xf numFmtId="0" fontId="204" fillId="0" borderId="231" xfId="1743" applyFont="1" applyFill="1" applyBorder="1" applyAlignment="1">
      <alignment horizontal="center" vertical="center"/>
    </xf>
    <xf numFmtId="0" fontId="204" fillId="0" borderId="230" xfId="1743" applyFont="1" applyFill="1" applyBorder="1" applyAlignment="1">
      <alignment horizontal="center" vertical="center" wrapText="1"/>
    </xf>
    <xf numFmtId="0" fontId="204" fillId="0" borderId="230" xfId="1743" applyFont="1" applyFill="1" applyBorder="1" applyAlignment="1">
      <alignment horizontal="center" vertical="center"/>
    </xf>
    <xf numFmtId="0" fontId="204" fillId="0" borderId="232" xfId="1743" applyFont="1" applyFill="1" applyBorder="1" applyAlignment="1">
      <alignment horizontal="center" vertical="center"/>
    </xf>
    <xf numFmtId="0" fontId="204" fillId="0" borderId="234" xfId="1743" applyFont="1" applyFill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210" fillId="0" borderId="291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 wrapText="1"/>
    </xf>
    <xf numFmtId="0" fontId="194" fillId="0" borderId="226" xfId="1740" applyFont="1" applyBorder="1" applyAlignment="1">
      <alignment horizontal="center" vertical="center"/>
    </xf>
    <xf numFmtId="0" fontId="196" fillId="0" borderId="226" xfId="1740" applyFont="1" applyFill="1" applyBorder="1" applyAlignment="1">
      <alignment horizontal="center" vertical="center"/>
    </xf>
    <xf numFmtId="0" fontId="192" fillId="0" borderId="0" xfId="1521" applyFont="1" applyAlignment="1">
      <alignment horizontal="center" vertical="center"/>
    </xf>
    <xf numFmtId="179" fontId="6" fillId="14" borderId="240" xfId="1521" applyNumberFormat="1" applyFill="1" applyBorder="1" applyAlignment="1">
      <alignment horizontal="center" vertical="center"/>
    </xf>
    <xf numFmtId="179" fontId="6" fillId="14" borderId="227" xfId="1521" applyNumberFormat="1" applyFill="1" applyBorder="1" applyAlignment="1">
      <alignment horizontal="center" vertical="center"/>
    </xf>
    <xf numFmtId="179" fontId="6" fillId="14" borderId="192" xfId="1521" applyNumberFormat="1" applyFill="1" applyBorder="1" applyAlignment="1">
      <alignment horizontal="center" vertical="center"/>
    </xf>
    <xf numFmtId="0" fontId="69" fillId="0" borderId="259" xfId="1800" applyFont="1" applyFill="1" applyBorder="1" applyAlignment="1">
      <alignment horizontal="center" vertical="center"/>
    </xf>
    <xf numFmtId="0" fontId="69" fillId="0" borderId="260" xfId="1800" applyFont="1" applyFill="1" applyBorder="1" applyAlignment="1">
      <alignment horizontal="center" vertical="center"/>
    </xf>
    <xf numFmtId="0" fontId="69" fillId="0" borderId="263" xfId="1800" applyFont="1" applyFill="1" applyBorder="1" applyAlignment="1">
      <alignment horizontal="center" vertical="center"/>
    </xf>
    <xf numFmtId="0" fontId="69" fillId="0" borderId="264" xfId="1800" applyFont="1" applyFill="1" applyBorder="1" applyAlignment="1">
      <alignment horizontal="center" vertical="center"/>
    </xf>
    <xf numFmtId="0" fontId="76" fillId="55" borderId="142" xfId="750" applyFont="1" applyFill="1" applyBorder="1" applyAlignment="1">
      <alignment horizontal="center" vertical="center"/>
    </xf>
    <xf numFmtId="0" fontId="76" fillId="55" borderId="143" xfId="750" applyFont="1" applyFill="1" applyBorder="1" applyAlignment="1">
      <alignment horizontal="center" vertical="center"/>
    </xf>
    <xf numFmtId="0" fontId="76" fillId="55" borderId="139" xfId="750" applyFont="1" applyFill="1" applyBorder="1" applyAlignment="1">
      <alignment horizontal="center" vertical="center"/>
    </xf>
    <xf numFmtId="0" fontId="76" fillId="55" borderId="140" xfId="750" applyFont="1" applyFill="1" applyBorder="1" applyAlignment="1">
      <alignment horizontal="center" vertical="center"/>
    </xf>
    <xf numFmtId="0" fontId="76" fillId="15" borderId="12" xfId="750" applyFont="1" applyFill="1" applyBorder="1" applyAlignment="1">
      <alignment horizontal="center" vertical="center"/>
    </xf>
    <xf numFmtId="0" fontId="76" fillId="15" borderId="13" xfId="750" applyFont="1" applyFill="1" applyBorder="1" applyAlignment="1">
      <alignment horizontal="center" vertical="center"/>
    </xf>
    <xf numFmtId="0" fontId="81" fillId="15" borderId="49" xfId="182" applyFont="1" applyFill="1" applyBorder="1" applyAlignment="1">
      <alignment horizontal="center" vertical="center"/>
    </xf>
    <xf numFmtId="0" fontId="81" fillId="15" borderId="50" xfId="182" applyFont="1" applyFill="1" applyBorder="1" applyAlignment="1">
      <alignment horizontal="center" vertical="center"/>
    </xf>
    <xf numFmtId="0" fontId="81" fillId="15" borderId="47" xfId="182" applyFont="1" applyFill="1" applyBorder="1" applyAlignment="1">
      <alignment horizontal="center" vertical="center"/>
    </xf>
    <xf numFmtId="0" fontId="81" fillId="15" borderId="48" xfId="182" applyFont="1" applyFill="1" applyBorder="1" applyAlignment="1">
      <alignment horizontal="center" vertical="center"/>
    </xf>
    <xf numFmtId="0" fontId="81" fillId="15" borderId="51" xfId="182" applyFont="1" applyFill="1" applyBorder="1" applyAlignment="1">
      <alignment horizontal="center" vertical="center"/>
    </xf>
    <xf numFmtId="0" fontId="81" fillId="15" borderId="52" xfId="182" applyFont="1" applyFill="1" applyBorder="1" applyAlignment="1">
      <alignment horizontal="center" vertical="center"/>
    </xf>
    <xf numFmtId="0" fontId="81" fillId="15" borderId="53" xfId="182" applyFont="1" applyFill="1" applyBorder="1" applyAlignment="1">
      <alignment horizontal="center" vertical="center"/>
    </xf>
    <xf numFmtId="0" fontId="81" fillId="16" borderId="12" xfId="182" applyFont="1" applyFill="1" applyBorder="1" applyAlignment="1">
      <alignment horizontal="center" vertical="center"/>
    </xf>
    <xf numFmtId="0" fontId="81" fillId="16" borderId="1" xfId="182" applyFont="1" applyFill="1" applyBorder="1" applyAlignment="1">
      <alignment horizontal="center" vertical="center"/>
    </xf>
    <xf numFmtId="0" fontId="81" fillId="16" borderId="16" xfId="182" applyFont="1" applyFill="1" applyBorder="1" applyAlignment="1">
      <alignment horizontal="center" vertical="center"/>
    </xf>
    <xf numFmtId="0" fontId="81" fillId="16" borderId="46" xfId="182" applyFont="1" applyFill="1" applyBorder="1" applyAlignment="1">
      <alignment horizontal="center" vertical="center"/>
    </xf>
    <xf numFmtId="0" fontId="81" fillId="16" borderId="42" xfId="182" applyFont="1" applyFill="1" applyBorder="1" applyAlignment="1">
      <alignment horizontal="center" vertical="center"/>
    </xf>
    <xf numFmtId="0" fontId="81" fillId="15" borderId="23" xfId="182" applyFont="1" applyFill="1" applyBorder="1" applyAlignment="1">
      <alignment horizontal="center" vertical="center"/>
    </xf>
    <xf numFmtId="0" fontId="81" fillId="15" borderId="25" xfId="182" applyFont="1" applyFill="1" applyBorder="1" applyAlignment="1">
      <alignment horizontal="center" vertical="center"/>
    </xf>
    <xf numFmtId="0" fontId="98" fillId="16" borderId="21" xfId="182" applyFont="1" applyFill="1" applyBorder="1" applyAlignment="1">
      <alignment horizontal="center" vertical="center"/>
    </xf>
    <xf numFmtId="0" fontId="98" fillId="16" borderId="54" xfId="182" applyFont="1" applyFill="1" applyBorder="1" applyAlignment="1">
      <alignment horizontal="center" vertical="center"/>
    </xf>
    <xf numFmtId="0" fontId="81" fillId="16" borderId="247" xfId="182" applyFont="1" applyFill="1" applyBorder="1" applyAlignment="1">
      <alignment horizontal="center" vertical="center"/>
    </xf>
    <xf numFmtId="0" fontId="81" fillId="16" borderId="259" xfId="182" applyFont="1" applyFill="1" applyBorder="1" applyAlignment="1">
      <alignment horizontal="center" vertical="center"/>
    </xf>
    <xf numFmtId="0" fontId="81" fillId="16" borderId="277" xfId="182" applyFont="1" applyFill="1" applyBorder="1" applyAlignment="1">
      <alignment horizontal="center" vertical="center"/>
    </xf>
    <xf numFmtId="0" fontId="98" fillId="16" borderId="195" xfId="182" applyFont="1" applyFill="1" applyBorder="1" applyAlignment="1">
      <alignment horizontal="center" vertical="center"/>
    </xf>
    <xf numFmtId="0" fontId="98" fillId="16" borderId="271" xfId="182" applyFont="1" applyFill="1" applyBorder="1" applyAlignment="1">
      <alignment horizontal="center" vertical="center"/>
    </xf>
    <xf numFmtId="0" fontId="98" fillId="16" borderId="240" xfId="182" applyFont="1" applyFill="1" applyBorder="1" applyAlignment="1">
      <alignment horizontal="center" vertical="center"/>
    </xf>
    <xf numFmtId="0" fontId="98" fillId="16" borderId="273" xfId="182" applyFont="1" applyFill="1" applyBorder="1" applyAlignment="1">
      <alignment horizontal="center" vertical="center"/>
    </xf>
    <xf numFmtId="0" fontId="81" fillId="15" borderId="193" xfId="182" applyFont="1" applyFill="1" applyBorder="1" applyAlignment="1">
      <alignment horizontal="center" vertical="center"/>
    </xf>
    <xf numFmtId="0" fontId="81" fillId="15" borderId="269" xfId="182" applyFont="1" applyFill="1" applyBorder="1" applyAlignment="1">
      <alignment horizontal="center" vertical="center"/>
    </xf>
    <xf numFmtId="0" fontId="81" fillId="15" borderId="195" xfId="182" applyFont="1" applyFill="1" applyBorder="1" applyAlignment="1">
      <alignment horizontal="center" vertical="center"/>
    </xf>
    <xf numFmtId="0" fontId="81" fillId="15" borderId="271" xfId="182" applyFont="1" applyFill="1" applyBorder="1" applyAlignment="1">
      <alignment horizontal="center" vertical="center"/>
    </xf>
    <xf numFmtId="0" fontId="81" fillId="15" borderId="270" xfId="182" applyFont="1" applyFill="1" applyBorder="1" applyAlignment="1">
      <alignment horizontal="center" vertical="center"/>
    </xf>
    <xf numFmtId="0" fontId="81" fillId="15" borderId="202" xfId="182" applyFont="1" applyFill="1" applyBorder="1" applyAlignment="1">
      <alignment horizontal="center" vertical="center"/>
    </xf>
    <xf numFmtId="0" fontId="81" fillId="16" borderId="203" xfId="182" applyFont="1" applyFill="1" applyBorder="1" applyAlignment="1">
      <alignment horizontal="center" vertical="center"/>
    </xf>
    <xf numFmtId="0" fontId="81" fillId="16" borderId="231" xfId="182" applyFont="1" applyFill="1" applyBorder="1" applyAlignment="1">
      <alignment horizontal="center" vertical="center"/>
    </xf>
    <xf numFmtId="0" fontId="81" fillId="16" borderId="177" xfId="182" applyFont="1" applyFill="1" applyBorder="1" applyAlignment="1">
      <alignment horizontal="center" vertical="center"/>
    </xf>
    <xf numFmtId="0" fontId="81" fillId="16" borderId="232" xfId="182" applyFont="1" applyFill="1" applyBorder="1" applyAlignment="1">
      <alignment horizontal="center" vertical="center"/>
    </xf>
    <xf numFmtId="230" fontId="91" fillId="0" borderId="0" xfId="762" applyNumberFormat="1" applyFont="1" applyAlignment="1">
      <alignment horizontal="left" vertical="center"/>
    </xf>
    <xf numFmtId="0" fontId="85" fillId="0" borderId="0" xfId="214" applyFont="1" applyAlignment="1">
      <alignment horizontal="left" vertical="center"/>
    </xf>
    <xf numFmtId="0" fontId="2" fillId="0" borderId="226" xfId="1519" applyBorder="1" applyAlignment="1">
      <alignment horizontal="center" vertical="center"/>
    </xf>
    <xf numFmtId="0" fontId="2" fillId="16" borderId="226" xfId="1519" applyFill="1" applyBorder="1" applyAlignment="1">
      <alignment horizontal="center" vertical="center"/>
    </xf>
    <xf numFmtId="0" fontId="2" fillId="16" borderId="240" xfId="1519" applyFill="1" applyBorder="1" applyAlignment="1">
      <alignment horizontal="center" vertical="center"/>
    </xf>
    <xf numFmtId="0" fontId="2" fillId="16" borderId="227" xfId="1519" applyFill="1" applyBorder="1" applyAlignment="1">
      <alignment horizontal="center" vertical="center"/>
    </xf>
    <xf numFmtId="0" fontId="2" fillId="16" borderId="192" xfId="1519" applyFill="1" applyBorder="1" applyAlignment="1">
      <alignment horizontal="center" vertical="center"/>
    </xf>
    <xf numFmtId="0" fontId="2" fillId="16" borderId="226" xfId="1519" applyFill="1" applyBorder="1" applyAlignment="1">
      <alignment horizontal="center" vertical="center" wrapText="1"/>
    </xf>
    <xf numFmtId="0" fontId="2" fillId="0" borderId="242" xfId="1519" applyBorder="1" applyAlignment="1">
      <alignment horizontal="center" vertical="center"/>
    </xf>
    <xf numFmtId="0" fontId="2" fillId="0" borderId="27" xfId="1519" applyBorder="1" applyAlignment="1">
      <alignment horizontal="center" vertical="center"/>
    </xf>
    <xf numFmtId="0" fontId="2" fillId="0" borderId="274" xfId="1519" applyBorder="1" applyAlignment="1">
      <alignment horizontal="center" vertical="center"/>
    </xf>
    <xf numFmtId="0" fontId="8" fillId="0" borderId="81" xfId="1345" applyFont="1" applyBorder="1" applyAlignment="1">
      <alignment horizontal="center"/>
    </xf>
    <xf numFmtId="0" fontId="8" fillId="0" borderId="8" xfId="1345" applyFont="1" applyBorder="1" applyAlignment="1">
      <alignment horizontal="center"/>
    </xf>
    <xf numFmtId="0" fontId="8" fillId="0" borderId="76" xfId="1345" applyFont="1" applyBorder="1" applyAlignment="1">
      <alignment horizontal="center"/>
    </xf>
    <xf numFmtId="0" fontId="8" fillId="0" borderId="77" xfId="1345" applyFont="1" applyBorder="1" applyAlignment="1">
      <alignment horizontal="center"/>
    </xf>
    <xf numFmtId="0" fontId="8" fillId="0" borderId="79" xfId="1345" applyFont="1" applyBorder="1" applyAlignment="1">
      <alignment horizontal="center"/>
    </xf>
    <xf numFmtId="0" fontId="8" fillId="0" borderId="9" xfId="1345" applyFont="1" applyBorder="1" applyAlignment="1">
      <alignment horizontal="center"/>
    </xf>
    <xf numFmtId="0" fontId="8" fillId="0" borderId="83" xfId="1345" applyFont="1" applyBorder="1" applyAlignment="1">
      <alignment horizontal="center"/>
    </xf>
    <xf numFmtId="0" fontId="8" fillId="0" borderId="84" xfId="1345" applyFont="1" applyBorder="1" applyAlignment="1">
      <alignment horizontal="center"/>
    </xf>
    <xf numFmtId="0" fontId="8" fillId="0" borderId="89" xfId="1345" applyFont="1" applyBorder="1" applyAlignment="1">
      <alignment horizontal="center" vertical="center"/>
    </xf>
    <xf numFmtId="0" fontId="8" fillId="0" borderId="81" xfId="1345" applyFont="1" applyBorder="1" applyAlignment="1">
      <alignment horizontal="center" vertical="center"/>
    </xf>
    <xf numFmtId="0" fontId="8" fillId="0" borderId="83" xfId="1345" applyFont="1" applyBorder="1" applyAlignment="1">
      <alignment horizontal="center" vertical="center"/>
    </xf>
    <xf numFmtId="0" fontId="8" fillId="0" borderId="93" xfId="1345" applyFont="1" applyBorder="1" applyAlignment="1">
      <alignment horizontal="center"/>
    </xf>
    <xf numFmtId="0" fontId="8" fillId="0" borderId="94" xfId="1345" applyFont="1" applyBorder="1" applyAlignment="1">
      <alignment horizontal="center"/>
    </xf>
    <xf numFmtId="0" fontId="8" fillId="0" borderId="95" xfId="1345" applyFont="1" applyBorder="1" applyAlignment="1">
      <alignment horizontal="center"/>
    </xf>
    <xf numFmtId="0" fontId="8" fillId="0" borderId="2" xfId="1345" applyFont="1" applyBorder="1" applyAlignment="1">
      <alignment horizontal="center"/>
    </xf>
  </cellXfs>
  <cellStyles count="1802">
    <cellStyle name="??&amp;O?&amp;H?_x0008__x000f__x0007_?_x0007__x0001__x0001_" xfId="1744"/>
    <cellStyle name="??&amp;O?&amp;H?_x0008_??_x0007__x0001__x0001_" xfId="1"/>
    <cellStyle name="??&amp;쏗?뷐9_x0008__x0011__x0007_?_x0007__x0001__x0001_" xfId="2"/>
    <cellStyle name="´þ" xfId="775"/>
    <cellStyle name="´þ·¯" xfId="776"/>
    <cellStyle name="°ia¤¼o " xfId="777"/>
    <cellStyle name="°íá¤¼ò¼ýá¡" xfId="778"/>
    <cellStyle name="°ia¤aa " xfId="779"/>
    <cellStyle name="°ia¤aa·a1" xfId="780"/>
    <cellStyle name="°íá¤ãâ·â1" xfId="781"/>
    <cellStyle name="°íá¤ãâ·â2" xfId="782"/>
    <cellStyle name="2)" xfId="3"/>
    <cellStyle name="2) 2" xfId="1376"/>
    <cellStyle name="2) 2 2" xfId="1466"/>
    <cellStyle name="2) 2 3" xfId="1480"/>
    <cellStyle name="2) 2 4" xfId="1493"/>
    <cellStyle name="2) 2 5" xfId="1504"/>
    <cellStyle name="2) 2 6" xfId="1509"/>
    <cellStyle name="2) 3" xfId="1353"/>
    <cellStyle name="2) 3 2" xfId="1459"/>
    <cellStyle name="2) 3 3" xfId="1414"/>
    <cellStyle name="2) 3 4" xfId="1444"/>
    <cellStyle name="2) 3 5" xfId="1448"/>
    <cellStyle name="2) 3 6" xfId="1433"/>
    <cellStyle name="2) 4" xfId="1415"/>
    <cellStyle name="2) 5" xfId="1438"/>
    <cellStyle name="2) 6" xfId="1445"/>
    <cellStyle name="2) 7" xfId="1437"/>
    <cellStyle name="2) 8" xfId="1428"/>
    <cellStyle name="20% - 강조색1 2" xfId="783"/>
    <cellStyle name="20% - 강조색1 2 2" xfId="1296"/>
    <cellStyle name="20% - 강조색2 2" xfId="784"/>
    <cellStyle name="20% - 강조색2 2 2" xfId="1297"/>
    <cellStyle name="20% - 강조색3 2" xfId="785"/>
    <cellStyle name="20% - 강조색3 2 2" xfId="1298"/>
    <cellStyle name="20% - 강조색4 2" xfId="786"/>
    <cellStyle name="20% - 강조색4 2 2" xfId="1299"/>
    <cellStyle name="20% - 강조색5 2" xfId="787"/>
    <cellStyle name="20% - 강조색5 2 2" xfId="1300"/>
    <cellStyle name="20% - 강조색6 2" xfId="788"/>
    <cellStyle name="20% - 강조색6 2 2" xfId="1301"/>
    <cellStyle name="³?a" xfId="789"/>
    <cellStyle name="³¯â¥" xfId="790"/>
    <cellStyle name="40% - 강조색1 2" xfId="791"/>
    <cellStyle name="40% - 강조색1 2 2" xfId="1302"/>
    <cellStyle name="40% - 강조색2 2" xfId="792"/>
    <cellStyle name="40% - 강조색2 2 2" xfId="1303"/>
    <cellStyle name="40% - 강조색3 2" xfId="793"/>
    <cellStyle name="40% - 강조색3 2 2" xfId="1304"/>
    <cellStyle name="40% - 강조색4 2" xfId="794"/>
    <cellStyle name="40% - 강조색4 2 2" xfId="1305"/>
    <cellStyle name="40% - 강조색5 2" xfId="795"/>
    <cellStyle name="40% - 강조색5 2 2" xfId="1306"/>
    <cellStyle name="40% - 강조색6 2" xfId="796"/>
    <cellStyle name="40% - 강조색6 2 2" xfId="1307"/>
    <cellStyle name="60% - 강조색1 2" xfId="797"/>
    <cellStyle name="60% - 강조색1 2 2" xfId="1308"/>
    <cellStyle name="60% - 강조색2 2" xfId="798"/>
    <cellStyle name="60% - 강조색2 2 2" xfId="1309"/>
    <cellStyle name="60% - 강조색3 2" xfId="799"/>
    <cellStyle name="60% - 강조색3 2 2" xfId="1310"/>
    <cellStyle name="60% - 강조색4 2" xfId="800"/>
    <cellStyle name="60% - 강조색4 2 2" xfId="1311"/>
    <cellStyle name="60% - 강조색5 2" xfId="801"/>
    <cellStyle name="60% - 강조색5 2 2" xfId="1312"/>
    <cellStyle name="60% - 강조색6 2" xfId="802"/>
    <cellStyle name="60% - 강조색6 2 2" xfId="1313"/>
    <cellStyle name="A¨­￠￢￠O [0]_INQUIRY ￠?￥i¨u¡AAⓒ￢Aⓒª " xfId="1745"/>
    <cellStyle name="A¨­￠￢￠O_INQUIRY ￠?￥i¨u¡AAⓒ￢Aⓒª " xfId="1746"/>
    <cellStyle name="AeE­ [0]_±a¼uAe½A " xfId="1747"/>
    <cellStyle name="ÅëÈ­ [0]_¼ÕÀÍ¿¹»ê" xfId="4"/>
    <cellStyle name="AeE­ [0]_¼OAI¿¹≫e" xfId="5"/>
    <cellStyle name="ÅëÈ­ [0]_ÀÎ°Çºñ,¿ÜÁÖºñ" xfId="6"/>
    <cellStyle name="AeE­ [0]_AI°Cºn,μμ±Þºn" xfId="7"/>
    <cellStyle name="ÅëÈ­ [0]_INQUIRY ¿µ¾÷ÃßÁø " xfId="1748"/>
    <cellStyle name="AeE­ [0]_INQUIRY ¿μ¾÷AßAø " xfId="1749"/>
    <cellStyle name="ÅëÈ­ [0]_laroux" xfId="8"/>
    <cellStyle name="AeE­ [0]_laroux_1" xfId="9"/>
    <cellStyle name="ÅëÈ­ [0]_laroux_1" xfId="10"/>
    <cellStyle name="AeE­ [0]_laroux_1_06.농림수산업" xfId="1522"/>
    <cellStyle name="ÅëÈ­ [0]_laroux_1_06.농림수산업" xfId="1523"/>
    <cellStyle name="AeE­ [0]_laroux_1_10.주택건설" xfId="1524"/>
    <cellStyle name="ÅëÈ­ [0]_laroux_1_10.주택건설" xfId="1525"/>
    <cellStyle name="AeE­ [0]_laroux_1_10.주택건설1" xfId="1526"/>
    <cellStyle name="ÅëÈ­ [0]_laroux_1_10.주택건설1" xfId="1527"/>
    <cellStyle name="AeE­ [0]_laroux_1_16.공공행정및 사법1" xfId="1528"/>
    <cellStyle name="ÅëÈ­ [0]_laroux_1_16.공공행정및 사법1" xfId="1529"/>
    <cellStyle name="AeE­ [0]_laroux_1_2. 행정구역" xfId="1530"/>
    <cellStyle name="ÅëÈ­ [0]_laroux_1_2. 행정구역" xfId="1531"/>
    <cellStyle name="AeE­ [0]_laroux_1_2.읍,면.동별 세대 및 인구" xfId="1532"/>
    <cellStyle name="ÅëÈ­ [0]_laroux_1_2.읍,면.동별 세대 및 인구" xfId="1533"/>
    <cellStyle name="AeE­ [0]_laroux_1_43-06농림" xfId="1534"/>
    <cellStyle name="ÅëÈ­ [0]_laroux_1_43-06농림" xfId="1535"/>
    <cellStyle name="AeE­ [0]_laroux_1_43-10주택" xfId="803"/>
    <cellStyle name="ÅëÈ­ [0]_laroux_1_43-10주택" xfId="804"/>
    <cellStyle name="AeE­ [0]_laroux_1_용인보완" xfId="1536"/>
    <cellStyle name="ÅëÈ­ [0]_laroux_1_용인보완" xfId="1537"/>
    <cellStyle name="AeE­ [0]_laroux_1_행정과" xfId="1538"/>
    <cellStyle name="ÅëÈ­ [0]_laroux_1_행정과" xfId="1539"/>
    <cellStyle name="AeE­ [0]_laroux_2" xfId="11"/>
    <cellStyle name="ÅëÈ­ [0]_laroux_2" xfId="12"/>
    <cellStyle name="AeE­ [0]_laroux_2_06.농림수산업" xfId="1540"/>
    <cellStyle name="ÅëÈ­ [0]_laroux_2_06.농림수산업" xfId="1541"/>
    <cellStyle name="AeE­ [0]_laroux_2_10.주택건설" xfId="1542"/>
    <cellStyle name="ÅëÈ­ [0]_laroux_2_10.주택건설" xfId="1543"/>
    <cellStyle name="AeE­ [0]_laroux_2_10.주택건설1" xfId="1544"/>
    <cellStyle name="ÅëÈ­ [0]_laroux_2_10.주택건설1" xfId="1545"/>
    <cellStyle name="AeE­ [0]_laroux_2_16.공공행정및 사법1" xfId="1546"/>
    <cellStyle name="ÅëÈ­ [0]_laroux_2_16.공공행정및 사법1" xfId="1547"/>
    <cellStyle name="AeE­ [0]_laroux_2_2. 행정구역" xfId="1548"/>
    <cellStyle name="ÅëÈ­ [0]_laroux_2_2. 행정구역" xfId="1549"/>
    <cellStyle name="AeE­ [0]_laroux_2_2.읍,면.동별 세대 및 인구" xfId="1550"/>
    <cellStyle name="ÅëÈ­ [0]_laroux_2_2.읍,면.동별 세대 및 인구" xfId="1551"/>
    <cellStyle name="AeE­ [0]_laroux_2_41-06농림16" xfId="13"/>
    <cellStyle name="ÅëÈ­ [0]_laroux_2_41-06농림16" xfId="14"/>
    <cellStyle name="AeE­ [0]_laroux_2_41-06농림16_06.농림수산업" xfId="1552"/>
    <cellStyle name="ÅëÈ­ [0]_laroux_2_41-06농림16_06.농림수산업" xfId="1553"/>
    <cellStyle name="AeE­ [0]_laroux_2_41-06농림16_10.주택건설" xfId="1554"/>
    <cellStyle name="ÅëÈ­ [0]_laroux_2_41-06농림16_10.주택건설" xfId="1555"/>
    <cellStyle name="AeE­ [0]_laroux_2_41-06농림16_10.주택건설1" xfId="1556"/>
    <cellStyle name="ÅëÈ­ [0]_laroux_2_41-06농림16_10.주택건설1" xfId="1557"/>
    <cellStyle name="AeE­ [0]_laroux_2_41-06농림16_16.공공행정및 사법1" xfId="1558"/>
    <cellStyle name="ÅëÈ­ [0]_laroux_2_41-06농림16_16.공공행정및 사법1" xfId="1559"/>
    <cellStyle name="AeE­ [0]_laroux_2_41-06농림16_2. 행정구역" xfId="1560"/>
    <cellStyle name="ÅëÈ­ [0]_laroux_2_41-06농림16_2. 행정구역" xfId="1561"/>
    <cellStyle name="AeE­ [0]_laroux_2_41-06농림16_2.읍,면.동별 세대 및 인구" xfId="1562"/>
    <cellStyle name="ÅëÈ­ [0]_laroux_2_41-06농림16_2.읍,면.동별 세대 및 인구" xfId="1563"/>
    <cellStyle name="AeE­ [0]_laroux_2_41-06농림16_43-06농림" xfId="1564"/>
    <cellStyle name="ÅëÈ­ [0]_laroux_2_41-06농림16_43-06농림" xfId="1565"/>
    <cellStyle name="AeE­ [0]_laroux_2_41-06농림16_43-10주택" xfId="805"/>
    <cellStyle name="ÅëÈ­ [0]_laroux_2_41-06농림16_43-10주택" xfId="806"/>
    <cellStyle name="AeE­ [0]_laroux_2_41-06농림16_용인보완" xfId="1566"/>
    <cellStyle name="ÅëÈ­ [0]_laroux_2_41-06농림16_용인보완" xfId="1567"/>
    <cellStyle name="AeE­ [0]_laroux_2_41-06농림16_행정과" xfId="1568"/>
    <cellStyle name="ÅëÈ­ [0]_laroux_2_41-06농림16_행정과" xfId="1569"/>
    <cellStyle name="AeE­ [0]_laroux_2_41-06농림41" xfId="15"/>
    <cellStyle name="ÅëÈ­ [0]_laroux_2_41-06농림41" xfId="16"/>
    <cellStyle name="AeE­ [0]_laroux_2_43-06농림" xfId="1570"/>
    <cellStyle name="ÅëÈ­ [0]_laroux_2_43-06농림" xfId="1571"/>
    <cellStyle name="AeE­ [0]_laroux_2_43-10주택" xfId="807"/>
    <cellStyle name="ÅëÈ­ [0]_laroux_2_43-10주택" xfId="808"/>
    <cellStyle name="AeE­ [0]_laroux_2_용인보완" xfId="1572"/>
    <cellStyle name="ÅëÈ­ [0]_laroux_2_용인보완" xfId="1573"/>
    <cellStyle name="AeE­ [0]_laroux_2_행정과" xfId="1574"/>
    <cellStyle name="ÅëÈ­ [0]_laroux_2_행정과" xfId="1575"/>
    <cellStyle name="AeE­ [0]_Sheet1" xfId="17"/>
    <cellStyle name="ÅëÈ­ [0]_Sheet1" xfId="18"/>
    <cellStyle name="AeE­ [0]_Sheet1_06.농림수산업" xfId="1576"/>
    <cellStyle name="ÅëÈ­ [0]_Sheet1_06.농림수산업" xfId="1577"/>
    <cellStyle name="AeE­ [0]_Sheet1_10.주택건설" xfId="1578"/>
    <cellStyle name="ÅëÈ­ [0]_Sheet1_10.주택건설" xfId="1579"/>
    <cellStyle name="AeE­ [0]_Sheet1_10.주택건설1" xfId="1580"/>
    <cellStyle name="ÅëÈ­ [0]_Sheet1_10.주택건설1" xfId="1581"/>
    <cellStyle name="AeE­ [0]_Sheet1_16.공공행정및 사법1" xfId="1582"/>
    <cellStyle name="ÅëÈ­ [0]_Sheet1_16.공공행정및 사법1" xfId="1583"/>
    <cellStyle name="AeE­ [0]_Sheet1_2. 행정구역" xfId="1584"/>
    <cellStyle name="ÅëÈ­ [0]_Sheet1_2. 행정구역" xfId="1585"/>
    <cellStyle name="AeE­ [0]_Sheet1_2.읍,면.동별 세대 및 인구" xfId="1586"/>
    <cellStyle name="ÅëÈ­ [0]_Sheet1_2.읍,면.동별 세대 및 인구" xfId="1587"/>
    <cellStyle name="AeE­ [0]_Sheet1_43-06농림" xfId="1588"/>
    <cellStyle name="ÅëÈ­ [0]_Sheet1_43-06농림" xfId="1589"/>
    <cellStyle name="AeE­ [0]_Sheet1_43-10주택" xfId="809"/>
    <cellStyle name="ÅëÈ­ [0]_Sheet1_43-10주택" xfId="810"/>
    <cellStyle name="AeE­ [0]_Sheet1_용인보완" xfId="1590"/>
    <cellStyle name="ÅëÈ­ [0]_Sheet1_용인보완" xfId="1591"/>
    <cellStyle name="AeE­ [0]_Sheet1_행정과" xfId="1592"/>
    <cellStyle name="ÅëÈ­ [0]_Sheet1_행정과" xfId="1593"/>
    <cellStyle name="AeE­_±a¼uAe½A " xfId="1750"/>
    <cellStyle name="ÅëÈ­_¼ÕÀÍ¿¹»ê" xfId="19"/>
    <cellStyle name="AeE­_¼OAI¿¹≫e" xfId="20"/>
    <cellStyle name="ÅëÈ­_ÀÎ°Çºñ,¿ÜÁÖºñ" xfId="21"/>
    <cellStyle name="AeE­_AI°Cºn,μμ±Þºn" xfId="22"/>
    <cellStyle name="ÅëÈ­_INQUIRY ¿µ¾÷ÃßÁø " xfId="1751"/>
    <cellStyle name="AeE­_INQUIRY ¿μ¾÷AßAø " xfId="1752"/>
    <cellStyle name="ÅëÈ­_laroux" xfId="23"/>
    <cellStyle name="AeE­_laroux_1" xfId="24"/>
    <cellStyle name="ÅëÈ­_laroux_1" xfId="25"/>
    <cellStyle name="AeE­_laroux_1_06.농림수산업" xfId="1594"/>
    <cellStyle name="ÅëÈ­_laroux_1_06.농림수산업" xfId="1595"/>
    <cellStyle name="AeE­_laroux_1_10.주택건설" xfId="1596"/>
    <cellStyle name="ÅëÈ­_laroux_1_10.주택건설" xfId="1597"/>
    <cellStyle name="AeE­_laroux_1_10.주택건설1" xfId="1598"/>
    <cellStyle name="ÅëÈ­_laroux_1_10.주택건설1" xfId="1599"/>
    <cellStyle name="AeE­_laroux_1_16.공공행정및 사법1" xfId="1600"/>
    <cellStyle name="ÅëÈ­_laroux_1_16.공공행정및 사법1" xfId="1601"/>
    <cellStyle name="AeE­_laroux_1_2. 행정구역" xfId="1602"/>
    <cellStyle name="ÅëÈ­_laroux_1_2. 행정구역" xfId="1603"/>
    <cellStyle name="AeE­_laroux_1_2.읍,면.동별 세대 및 인구" xfId="1604"/>
    <cellStyle name="ÅëÈ­_laroux_1_2.읍,면.동별 세대 및 인구" xfId="1605"/>
    <cellStyle name="AeE­_laroux_1_43-06농림" xfId="1606"/>
    <cellStyle name="ÅëÈ­_laroux_1_43-06농림" xfId="1607"/>
    <cellStyle name="AeE­_laroux_1_43-10주택" xfId="811"/>
    <cellStyle name="ÅëÈ­_laroux_1_43-10주택" xfId="812"/>
    <cellStyle name="AeE­_laroux_1_용인보완" xfId="1608"/>
    <cellStyle name="ÅëÈ­_laroux_1_용인보완" xfId="1609"/>
    <cellStyle name="AeE­_laroux_1_행정과" xfId="1610"/>
    <cellStyle name="ÅëÈ­_laroux_1_행정과" xfId="1611"/>
    <cellStyle name="AeE­_laroux_2" xfId="26"/>
    <cellStyle name="ÅëÈ­_laroux_2" xfId="27"/>
    <cellStyle name="AeE­_laroux_2_06.농림수산업" xfId="1612"/>
    <cellStyle name="ÅëÈ­_laroux_2_06.농림수산업" xfId="1613"/>
    <cellStyle name="AeE­_laroux_2_10.주택건설" xfId="1614"/>
    <cellStyle name="ÅëÈ­_laroux_2_10.주택건설" xfId="1615"/>
    <cellStyle name="AeE­_laroux_2_10.주택건설1" xfId="1616"/>
    <cellStyle name="ÅëÈ­_laroux_2_10.주택건설1" xfId="1617"/>
    <cellStyle name="AeE­_laroux_2_16.공공행정및 사법1" xfId="1618"/>
    <cellStyle name="ÅëÈ­_laroux_2_16.공공행정및 사법1" xfId="1619"/>
    <cellStyle name="AeE­_laroux_2_2. 행정구역" xfId="1620"/>
    <cellStyle name="ÅëÈ­_laroux_2_2. 행정구역" xfId="1621"/>
    <cellStyle name="AeE­_laroux_2_2.읍,면.동별 세대 및 인구" xfId="1622"/>
    <cellStyle name="ÅëÈ­_laroux_2_2.읍,면.동별 세대 및 인구" xfId="1623"/>
    <cellStyle name="AeE­_laroux_2_41-06농림16" xfId="28"/>
    <cellStyle name="ÅëÈ­_laroux_2_41-06농림16" xfId="29"/>
    <cellStyle name="AeE­_laroux_2_41-06농림16_06.농림수산업" xfId="1624"/>
    <cellStyle name="ÅëÈ­_laroux_2_41-06농림16_06.농림수산업" xfId="1625"/>
    <cellStyle name="AeE­_laroux_2_41-06농림16_10.주택건설" xfId="1626"/>
    <cellStyle name="ÅëÈ­_laroux_2_41-06농림16_10.주택건설" xfId="1627"/>
    <cellStyle name="AeE­_laroux_2_41-06농림16_10.주택건설1" xfId="1628"/>
    <cellStyle name="ÅëÈ­_laroux_2_41-06농림16_10.주택건설1" xfId="1629"/>
    <cellStyle name="AeE­_laroux_2_41-06농림16_16.공공행정및 사법1" xfId="1630"/>
    <cellStyle name="ÅëÈ­_laroux_2_41-06농림16_16.공공행정및 사법1" xfId="1631"/>
    <cellStyle name="AeE­_laroux_2_41-06농림16_2. 행정구역" xfId="1632"/>
    <cellStyle name="ÅëÈ­_laroux_2_41-06농림16_2. 행정구역" xfId="1633"/>
    <cellStyle name="AeE­_laroux_2_41-06농림16_2.읍,면.동별 세대 및 인구" xfId="1634"/>
    <cellStyle name="ÅëÈ­_laroux_2_41-06농림16_2.읍,면.동별 세대 및 인구" xfId="1635"/>
    <cellStyle name="AeE­_laroux_2_41-06농림16_43-06농림" xfId="1636"/>
    <cellStyle name="ÅëÈ­_laroux_2_41-06농림16_43-06농림" xfId="1637"/>
    <cellStyle name="AeE­_laroux_2_41-06농림16_43-10주택" xfId="813"/>
    <cellStyle name="ÅëÈ­_laroux_2_41-06농림16_43-10주택" xfId="814"/>
    <cellStyle name="AeE­_laroux_2_41-06농림16_용인보완" xfId="1638"/>
    <cellStyle name="ÅëÈ­_laroux_2_41-06농림16_용인보완" xfId="1639"/>
    <cellStyle name="AeE­_laroux_2_41-06농림16_행정과" xfId="1640"/>
    <cellStyle name="ÅëÈ­_laroux_2_41-06농림16_행정과" xfId="1641"/>
    <cellStyle name="AeE­_laroux_2_41-06농림41" xfId="30"/>
    <cellStyle name="ÅëÈ­_laroux_2_41-06농림41" xfId="31"/>
    <cellStyle name="AeE­_laroux_2_43-06농림" xfId="1642"/>
    <cellStyle name="ÅëÈ­_laroux_2_43-06농림" xfId="1643"/>
    <cellStyle name="AeE­_laroux_2_43-10주택" xfId="815"/>
    <cellStyle name="ÅëÈ­_laroux_2_43-10주택" xfId="816"/>
    <cellStyle name="AeE­_laroux_2_용인보완" xfId="1644"/>
    <cellStyle name="ÅëÈ­_laroux_2_용인보완" xfId="1645"/>
    <cellStyle name="AeE­_laroux_2_행정과" xfId="1646"/>
    <cellStyle name="ÅëÈ­_laroux_2_행정과" xfId="1647"/>
    <cellStyle name="AeE­_Sheet1" xfId="32"/>
    <cellStyle name="ÅëÈ­_Sheet1" xfId="33"/>
    <cellStyle name="AeE­_Sheet1_06.농림수산업" xfId="1648"/>
    <cellStyle name="ÅëÈ­_Sheet1_06.농림수산업" xfId="1649"/>
    <cellStyle name="AeE­_Sheet1_10.주택건설" xfId="1650"/>
    <cellStyle name="ÅëÈ­_Sheet1_10.주택건설" xfId="1651"/>
    <cellStyle name="AeE­_Sheet1_10.주택건설1" xfId="1652"/>
    <cellStyle name="ÅëÈ­_Sheet1_10.주택건설1" xfId="1653"/>
    <cellStyle name="AeE­_Sheet1_16.공공행정및 사법1" xfId="1654"/>
    <cellStyle name="ÅëÈ­_Sheet1_16.공공행정및 사법1" xfId="1655"/>
    <cellStyle name="AeE­_Sheet1_2. 행정구역" xfId="1656"/>
    <cellStyle name="ÅëÈ­_Sheet1_2. 행정구역" xfId="1657"/>
    <cellStyle name="AeE­_Sheet1_2.읍,면.동별 세대 및 인구" xfId="1658"/>
    <cellStyle name="ÅëÈ­_Sheet1_2.읍,면.동별 세대 및 인구" xfId="1659"/>
    <cellStyle name="AeE­_Sheet1_41-06농림16" xfId="34"/>
    <cellStyle name="ÅëÈ­_Sheet1_41-06농림16" xfId="35"/>
    <cellStyle name="AeE­_Sheet1_41-06농림16_06.농림수산업" xfId="1660"/>
    <cellStyle name="ÅëÈ­_Sheet1_41-06농림16_06.농림수산업" xfId="1661"/>
    <cellStyle name="AeE­_Sheet1_41-06농림16_10.주택건설" xfId="1662"/>
    <cellStyle name="ÅëÈ­_Sheet1_41-06농림16_10.주택건설" xfId="1663"/>
    <cellStyle name="AeE­_Sheet1_41-06농림16_10.주택건설1" xfId="1664"/>
    <cellStyle name="ÅëÈ­_Sheet1_41-06농림16_10.주택건설1" xfId="1665"/>
    <cellStyle name="AeE­_Sheet1_41-06농림16_16.공공행정및 사법1" xfId="1666"/>
    <cellStyle name="ÅëÈ­_Sheet1_41-06농림16_16.공공행정및 사법1" xfId="1667"/>
    <cellStyle name="AeE­_Sheet1_41-06농림16_2. 행정구역" xfId="1668"/>
    <cellStyle name="ÅëÈ­_Sheet1_41-06농림16_2. 행정구역" xfId="1669"/>
    <cellStyle name="AeE­_Sheet1_41-06농림16_2.읍,면.동별 세대 및 인구" xfId="1670"/>
    <cellStyle name="ÅëÈ­_Sheet1_41-06농림16_2.읍,면.동별 세대 및 인구" xfId="1671"/>
    <cellStyle name="AeE­_Sheet1_41-06농림16_43-06농림" xfId="1672"/>
    <cellStyle name="ÅëÈ­_Sheet1_41-06농림16_43-06농림" xfId="1673"/>
    <cellStyle name="AeE­_Sheet1_41-06농림16_43-10주택" xfId="817"/>
    <cellStyle name="ÅëÈ­_Sheet1_41-06농림16_43-10주택" xfId="818"/>
    <cellStyle name="AeE­_Sheet1_41-06농림16_용인보완" xfId="1674"/>
    <cellStyle name="ÅëÈ­_Sheet1_41-06농림16_용인보완" xfId="1675"/>
    <cellStyle name="AeE­_Sheet1_41-06농림16_행정과" xfId="1676"/>
    <cellStyle name="ÅëÈ­_Sheet1_41-06농림16_행정과" xfId="1677"/>
    <cellStyle name="AeE­_Sheet1_41-06농림41" xfId="36"/>
    <cellStyle name="ÅëÈ­_Sheet1_41-06농림41" xfId="37"/>
    <cellStyle name="AeE­_Sheet1_43-06농림" xfId="1678"/>
    <cellStyle name="ÅëÈ­_Sheet1_43-06농림" xfId="1679"/>
    <cellStyle name="AeE­_Sheet1_43-10주택" xfId="819"/>
    <cellStyle name="ÅëÈ­_Sheet1_43-10주택" xfId="820"/>
    <cellStyle name="AeE­_Sheet1_용인보완" xfId="1680"/>
    <cellStyle name="ÅëÈ­_Sheet1_용인보완" xfId="1681"/>
    <cellStyle name="AeE­_Sheet1_행정과" xfId="1682"/>
    <cellStyle name="ÅëÈ­_Sheet1_행정과" xfId="1683"/>
    <cellStyle name="AeE¡ⓒ [0]_INQUIRY ￠?￥i¨u¡AAⓒ￢Aⓒª " xfId="1753"/>
    <cellStyle name="AeE¡ⓒ_INQUIRY ￠?￥i¨u¡AAⓒ￢Aⓒª " xfId="1754"/>
    <cellStyle name="Æu¼ " xfId="821"/>
    <cellStyle name="Æû¼¾æ®" xfId="822"/>
    <cellStyle name="ALIGNMENT" xfId="38"/>
    <cellStyle name="AÞ¸¶ [0]_±a¼uAe½A " xfId="1755"/>
    <cellStyle name="ÄÞ¸¶ [0]_¼ÕÀÍ¿¹»ê" xfId="39"/>
    <cellStyle name="AÞ¸¶ [0]_¼OAI¿¹≫e" xfId="40"/>
    <cellStyle name="ÄÞ¸¶ [0]_ÀÎ°Çºñ,¿ÜÁÖºñ" xfId="41"/>
    <cellStyle name="AÞ¸¶ [0]_AI°Cºn,μμ±Þºn" xfId="42"/>
    <cellStyle name="ÄÞ¸¶ [0]_INQUIRY ¿µ¾÷ÃßÁø " xfId="1756"/>
    <cellStyle name="AÞ¸¶ [0]_INQUIRY ¿μ¾÷AßAø " xfId="1757"/>
    <cellStyle name="ÄÞ¸¶ [0]_laroux" xfId="43"/>
    <cellStyle name="AÞ¸¶ [0]_laroux_1" xfId="44"/>
    <cellStyle name="ÄÞ¸¶ [0]_laroux_1" xfId="45"/>
    <cellStyle name="AÞ¸¶ [0]_Sheet1" xfId="46"/>
    <cellStyle name="ÄÞ¸¶ [0]_Sheet1" xfId="47"/>
    <cellStyle name="AÞ¸¶ [0]_Sheet1_06.농림수산업" xfId="1684"/>
    <cellStyle name="ÄÞ¸¶ [0]_Sheet1_06.농림수산업" xfId="1685"/>
    <cellStyle name="AÞ¸¶ [0]_Sheet1_10.주택건설" xfId="1686"/>
    <cellStyle name="ÄÞ¸¶ [0]_Sheet1_10.주택건설" xfId="1687"/>
    <cellStyle name="AÞ¸¶ [0]_Sheet1_10.주택건설1" xfId="1688"/>
    <cellStyle name="ÄÞ¸¶ [0]_Sheet1_10.주택건설1" xfId="1689"/>
    <cellStyle name="AÞ¸¶ [0]_Sheet1_16.공공행정및 사법1" xfId="1690"/>
    <cellStyle name="ÄÞ¸¶ [0]_Sheet1_16.공공행정및 사법1" xfId="1691"/>
    <cellStyle name="AÞ¸¶ [0]_Sheet1_2. 행정구역" xfId="1692"/>
    <cellStyle name="ÄÞ¸¶ [0]_Sheet1_2. 행정구역" xfId="1693"/>
    <cellStyle name="AÞ¸¶ [0]_Sheet1_2.읍,면.동별 세대 및 인구" xfId="1694"/>
    <cellStyle name="ÄÞ¸¶ [0]_Sheet1_2.읍,면.동별 세대 및 인구" xfId="1695"/>
    <cellStyle name="AÞ¸¶ [0]_Sheet1_43-06농림" xfId="1696"/>
    <cellStyle name="ÄÞ¸¶ [0]_Sheet1_43-06농림" xfId="1697"/>
    <cellStyle name="AÞ¸¶ [0]_Sheet1_43-10주택" xfId="823"/>
    <cellStyle name="ÄÞ¸¶ [0]_Sheet1_43-10주택" xfId="824"/>
    <cellStyle name="AÞ¸¶ [0]_Sheet1_용인보완" xfId="1698"/>
    <cellStyle name="ÄÞ¸¶ [0]_Sheet1_용인보완" xfId="1699"/>
    <cellStyle name="AÞ¸¶ [0]_Sheet1_행정과" xfId="1700"/>
    <cellStyle name="ÄÞ¸¶ [0]_Sheet1_행정과" xfId="1701"/>
    <cellStyle name="AÞ¸¶_±a¼uAe½A " xfId="1758"/>
    <cellStyle name="ÄÞ¸¶_¼ÕÀÍ¿¹»ê" xfId="48"/>
    <cellStyle name="AÞ¸¶_¼OAI¿¹≫e" xfId="49"/>
    <cellStyle name="ÄÞ¸¶_ÀÎ°Çºñ,¿ÜÁÖºñ" xfId="50"/>
    <cellStyle name="AÞ¸¶_AI°Cºn,μμ±Þºn" xfId="51"/>
    <cellStyle name="ÄÞ¸¶_INQUIRY ¿µ¾÷ÃßÁø " xfId="1759"/>
    <cellStyle name="AÞ¸¶_INQUIRY ¿μ¾÷AßAø " xfId="1760"/>
    <cellStyle name="ÄÞ¸¶_laroux" xfId="52"/>
    <cellStyle name="AÞ¸¶_laroux_1" xfId="53"/>
    <cellStyle name="ÄÞ¸¶_laroux_1" xfId="54"/>
    <cellStyle name="AÞ¸¶_Sheet1" xfId="55"/>
    <cellStyle name="ÄÞ¸¶_Sheet1" xfId="56"/>
    <cellStyle name="AÞ¸¶_Sheet1_06.농림수산업" xfId="1702"/>
    <cellStyle name="ÄÞ¸¶_Sheet1_06.농림수산업" xfId="1703"/>
    <cellStyle name="AÞ¸¶_Sheet1_10.주택건설" xfId="1704"/>
    <cellStyle name="ÄÞ¸¶_Sheet1_10.주택건설" xfId="1705"/>
    <cellStyle name="AÞ¸¶_Sheet1_10.주택건설1" xfId="1706"/>
    <cellStyle name="ÄÞ¸¶_Sheet1_10.주택건설1" xfId="1707"/>
    <cellStyle name="AÞ¸¶_Sheet1_16.공공행정및 사법1" xfId="1708"/>
    <cellStyle name="ÄÞ¸¶_Sheet1_16.공공행정및 사법1" xfId="1709"/>
    <cellStyle name="AÞ¸¶_Sheet1_2. 행정구역" xfId="1710"/>
    <cellStyle name="ÄÞ¸¶_Sheet1_2. 행정구역" xfId="1711"/>
    <cellStyle name="AÞ¸¶_Sheet1_2.읍,면.동별 세대 및 인구" xfId="1712"/>
    <cellStyle name="ÄÞ¸¶_Sheet1_2.읍,면.동별 세대 및 인구" xfId="1713"/>
    <cellStyle name="AÞ¸¶_Sheet1_41-06농림16" xfId="57"/>
    <cellStyle name="ÄÞ¸¶_Sheet1_41-06농림16" xfId="58"/>
    <cellStyle name="AÞ¸¶_Sheet1_41-06농림16_06.농림수산업" xfId="1714"/>
    <cellStyle name="ÄÞ¸¶_Sheet1_41-06농림16_06.농림수산업" xfId="1715"/>
    <cellStyle name="AÞ¸¶_Sheet1_41-06농림16_10.주택건설" xfId="1716"/>
    <cellStyle name="ÄÞ¸¶_Sheet1_41-06농림16_10.주택건설" xfId="1717"/>
    <cellStyle name="AÞ¸¶_Sheet1_41-06농림16_10.주택건설1" xfId="1718"/>
    <cellStyle name="ÄÞ¸¶_Sheet1_41-06농림16_10.주택건설1" xfId="1719"/>
    <cellStyle name="AÞ¸¶_Sheet1_41-06농림16_16.공공행정및 사법1" xfId="1720"/>
    <cellStyle name="ÄÞ¸¶_Sheet1_41-06농림16_16.공공행정및 사법1" xfId="1721"/>
    <cellStyle name="AÞ¸¶_Sheet1_41-06농림16_2. 행정구역" xfId="1722"/>
    <cellStyle name="ÄÞ¸¶_Sheet1_41-06농림16_2. 행정구역" xfId="1723"/>
    <cellStyle name="AÞ¸¶_Sheet1_41-06농림16_2.읍,면.동별 세대 및 인구" xfId="1724"/>
    <cellStyle name="ÄÞ¸¶_Sheet1_41-06농림16_2.읍,면.동별 세대 및 인구" xfId="1725"/>
    <cellStyle name="AÞ¸¶_Sheet1_41-06농림16_43-06농림" xfId="1726"/>
    <cellStyle name="ÄÞ¸¶_Sheet1_41-06농림16_43-06농림" xfId="1727"/>
    <cellStyle name="AÞ¸¶_Sheet1_41-06농림16_43-10주택" xfId="825"/>
    <cellStyle name="ÄÞ¸¶_Sheet1_41-06농림16_43-10주택" xfId="826"/>
    <cellStyle name="AÞ¸¶_Sheet1_41-06농림16_용인보완" xfId="1728"/>
    <cellStyle name="ÄÞ¸¶_Sheet1_41-06농림16_용인보완" xfId="1729"/>
    <cellStyle name="AÞ¸¶_Sheet1_41-06농림16_행정과" xfId="1730"/>
    <cellStyle name="ÄÞ¸¶_Sheet1_41-06농림16_행정과" xfId="1731"/>
    <cellStyle name="AÞ¸¶_Sheet1_41-06농림41" xfId="59"/>
    <cellStyle name="ÄÞ¸¶_Sheet1_41-06농림41" xfId="60"/>
    <cellStyle name="AÞ¸¶_Sheet1_43-06농림" xfId="1732"/>
    <cellStyle name="ÄÞ¸¶_Sheet1_43-06농림" xfId="1733"/>
    <cellStyle name="AÞ¸¶_Sheet1_43-10주택" xfId="827"/>
    <cellStyle name="ÄÞ¸¶_Sheet1_43-10주택" xfId="828"/>
    <cellStyle name="AÞ¸¶_Sheet1_용인보완" xfId="1734"/>
    <cellStyle name="ÄÞ¸¶_Sheet1_용인보완" xfId="1735"/>
    <cellStyle name="AÞ¸¶_Sheet1_행정과" xfId="1736"/>
    <cellStyle name="ÄÞ¸¶_Sheet1_행정과" xfId="1737"/>
    <cellStyle name="Àú¸®¼ö" xfId="829"/>
    <cellStyle name="Àú¸®¼ö0" xfId="830"/>
    <cellStyle name="Au¸r " xfId="831"/>
    <cellStyle name="Au¸r¼" xfId="832"/>
    <cellStyle name="_x0002_b" xfId="1761"/>
    <cellStyle name="C_TITLE" xfId="1762"/>
    <cellStyle name="C¡IA¨ª_¡ic¨u¡A¨￢I¨￢¡Æ AN¡Æe " xfId="1763"/>
    <cellStyle name="C￥AØ_¿μ¾÷CoE² " xfId="61"/>
    <cellStyle name="Ç¥ÁØ_»ç¾÷ºÎº° ÃÑ°è " xfId="1764"/>
    <cellStyle name="C￥AØ_≫c¾÷ºIº° AN°e " xfId="1765"/>
    <cellStyle name="Ç¥ÁØ_¼ÕÀÍ¿¹»ê" xfId="62"/>
    <cellStyle name="C￥AØ_¼OAI¿¹≫e" xfId="63"/>
    <cellStyle name="Ç¥ÁØ_ÀÎ°Çºñ,¿ÜÁÖºñ" xfId="64"/>
    <cellStyle name="C￥AØ_AI°Cºn,μμ±Þºn" xfId="65"/>
    <cellStyle name="Ç¥ÁØ_laroux" xfId="66"/>
    <cellStyle name="C￥AØ_laroux_1" xfId="67"/>
    <cellStyle name="Ç¥ÁØ_laroux_1" xfId="68"/>
    <cellStyle name="C￥AØ_laroux_1_Sheet1" xfId="69"/>
    <cellStyle name="Ç¥ÁØ_laroux_1_Sheet1" xfId="70"/>
    <cellStyle name="C￥AØ_laroux_2" xfId="71"/>
    <cellStyle name="Ç¥ÁØ_laroux_2" xfId="72"/>
    <cellStyle name="C￥AØ_laroux_2_Sheet1" xfId="73"/>
    <cellStyle name="Ç¥ÁØ_laroux_2_Sheet1" xfId="74"/>
    <cellStyle name="C￥AØ_laroux_3" xfId="75"/>
    <cellStyle name="Ç¥ÁØ_laroux_3" xfId="76"/>
    <cellStyle name="C￥AØ_laroux_4" xfId="77"/>
    <cellStyle name="Ç¥ÁØ_laroux_4" xfId="78"/>
    <cellStyle name="C￥AØ_laroux_Sheet1" xfId="79"/>
    <cellStyle name="Ç¥ÁØ_laroux_Sheet1" xfId="80"/>
    <cellStyle name="C￥AØ_page 2 " xfId="1766"/>
    <cellStyle name="Ç¥ÁØ_page 2 " xfId="1767"/>
    <cellStyle name="C￥AØ_page 2 _중앙연구소+용역인원사번_03.02.21" xfId="1768"/>
    <cellStyle name="Ç¥ÁØ_page 2 _중앙연구소+용역인원사번_03.02.21" xfId="1769"/>
    <cellStyle name="C￥AØ_page 2 _중앙연구소+용역인원사번_03.02.21_NEGS" xfId="1770"/>
    <cellStyle name="Ç¥ÁØ_page 2 _중앙연구소+용역인원사번_03.02.21_NEGS" xfId="1771"/>
    <cellStyle name="C￥AØ_PERSONAL" xfId="1772"/>
    <cellStyle name="Ç¥ÁØ_Sheet1" xfId="81"/>
    <cellStyle name="category" xfId="82"/>
    <cellStyle name="Çõ»ê" xfId="833"/>
    <cellStyle name="Co≫" xfId="834"/>
    <cellStyle name="Comma" xfId="1773"/>
    <cellStyle name="Comma [0]_ SG&amp;A Bridge " xfId="83"/>
    <cellStyle name="comma zerodec" xfId="84"/>
    <cellStyle name="comma zerodec 2" xfId="835"/>
    <cellStyle name="Comma_ SG&amp;A Bridge " xfId="85"/>
    <cellStyle name="Comma0" xfId="86"/>
    <cellStyle name="Currency" xfId="1774"/>
    <cellStyle name="Currency [0]_ SG&amp;A Bridge " xfId="87"/>
    <cellStyle name="Currency_ SG&amp;A Bridge " xfId="88"/>
    <cellStyle name="Currency0" xfId="89"/>
    <cellStyle name="Currency1" xfId="90"/>
    <cellStyle name="Currency1 2" xfId="836"/>
    <cellStyle name="Date" xfId="91"/>
    <cellStyle name="Date 2" xfId="92"/>
    <cellStyle name="Date 2 2" xfId="1354"/>
    <cellStyle name="Dezimal [0]_laroux" xfId="93"/>
    <cellStyle name="Dezimal_laroux" xfId="94"/>
    <cellStyle name="Dollar (zero dec)" xfId="95"/>
    <cellStyle name="Dollar (zero dec) 2" xfId="837"/>
    <cellStyle name="EA" xfId="96"/>
    <cellStyle name="E­æo±" xfId="838"/>
    <cellStyle name="E­æo±a" xfId="839"/>
    <cellStyle name="È­æó±âè£" xfId="840"/>
    <cellStyle name="È­æó±âè£0" xfId="841"/>
    <cellStyle name="Euro" xfId="1775"/>
    <cellStyle name="F2" xfId="1776"/>
    <cellStyle name="F3" xfId="1777"/>
    <cellStyle name="F4" xfId="1778"/>
    <cellStyle name="F5" xfId="1779"/>
    <cellStyle name="F6" xfId="1780"/>
    <cellStyle name="F7" xfId="1781"/>
    <cellStyle name="F8" xfId="1782"/>
    <cellStyle name="Fixed" xfId="97"/>
    <cellStyle name="Fixed 2" xfId="98"/>
    <cellStyle name="Fixed 2 2" xfId="1355"/>
    <cellStyle name="Grey" xfId="99"/>
    <cellStyle name="HEADER" xfId="100"/>
    <cellStyle name="Header 2" xfId="842"/>
    <cellStyle name="Header1" xfId="101"/>
    <cellStyle name="Header2" xfId="102"/>
    <cellStyle name="Header2 2" xfId="1348"/>
    <cellStyle name="Header2 2 2" xfId="1371"/>
    <cellStyle name="Header2 2 2 2" xfId="1384"/>
    <cellStyle name="Header2 2 2 2 2" xfId="1473"/>
    <cellStyle name="Header2 2 2 2 3" xfId="1487"/>
    <cellStyle name="Header2 2 2 2 4" xfId="1500"/>
    <cellStyle name="Header2 2 2 2 5" xfId="1516"/>
    <cellStyle name="Header2 2 2 3" xfId="1464"/>
    <cellStyle name="Header2 2 2 4" xfId="1477"/>
    <cellStyle name="Header2 2 2 5" xfId="1491"/>
    <cellStyle name="Header2 2 2 6" xfId="1453"/>
    <cellStyle name="Header2 2 3" xfId="1378"/>
    <cellStyle name="Header2 2 3 2" xfId="1468"/>
    <cellStyle name="Header2 2 3 3" xfId="1482"/>
    <cellStyle name="Header2 2 3 4" xfId="1495"/>
    <cellStyle name="Header2 2 3 5" xfId="1511"/>
    <cellStyle name="Header2 2 4" xfId="1456"/>
    <cellStyle name="Header2 2 5" xfId="1443"/>
    <cellStyle name="Header2 2 6" xfId="1449"/>
    <cellStyle name="Header2 2 7" xfId="1418"/>
    <cellStyle name="Header2 3" xfId="1370"/>
    <cellStyle name="Header2 3 2" xfId="1383"/>
    <cellStyle name="Header2 3 2 2" xfId="1472"/>
    <cellStyle name="Header2 3 2 3" xfId="1486"/>
    <cellStyle name="Header2 3 2 4" xfId="1499"/>
    <cellStyle name="Header2 3 2 5" xfId="1515"/>
    <cellStyle name="Header2 3 3" xfId="1463"/>
    <cellStyle name="Header2 3 4" xfId="1476"/>
    <cellStyle name="Header2 3 5" xfId="1490"/>
    <cellStyle name="Header2 3 6" xfId="1450"/>
    <cellStyle name="Header2 4" xfId="1377"/>
    <cellStyle name="Header2 4 2" xfId="1467"/>
    <cellStyle name="Header2 4 3" xfId="1481"/>
    <cellStyle name="Header2 4 4" xfId="1494"/>
    <cellStyle name="Header2 4 5" xfId="1510"/>
    <cellStyle name="Header2 5" xfId="1386"/>
    <cellStyle name="Header2 6" xfId="1436"/>
    <cellStyle name="Header2 7" xfId="1429"/>
    <cellStyle name="Header2 8" xfId="1434"/>
    <cellStyle name="Heading 1" xfId="103"/>
    <cellStyle name="Heading 2" xfId="104"/>
    <cellStyle name="HEADING1" xfId="105"/>
    <cellStyle name="HEADING2" xfId="106"/>
    <cellStyle name="Hyperlink" xfId="843"/>
    <cellStyle name="Input [yellow]" xfId="107"/>
    <cellStyle name="Input [yellow] 2" xfId="1372"/>
    <cellStyle name="Input [yellow] 2 2" xfId="1385"/>
    <cellStyle name="Input [yellow] 2 2 2" xfId="1474"/>
    <cellStyle name="Input [yellow] 2 2 3" xfId="1488"/>
    <cellStyle name="Input [yellow] 2 2 4" xfId="1501"/>
    <cellStyle name="Input [yellow] 2 2 5" xfId="1508"/>
    <cellStyle name="Input [yellow] 2 2 6" xfId="1517"/>
    <cellStyle name="Input [yellow] 2 3" xfId="1465"/>
    <cellStyle name="Input [yellow] 2 4" xfId="1478"/>
    <cellStyle name="Input [yellow] 2 5" xfId="1492"/>
    <cellStyle name="Input [yellow] 2 6" xfId="1503"/>
    <cellStyle name="Input [yellow] 2 7" xfId="1432"/>
    <cellStyle name="Input [yellow] 3" xfId="1379"/>
    <cellStyle name="Input [yellow] 3 2" xfId="1469"/>
    <cellStyle name="Input [yellow] 3 3" xfId="1483"/>
    <cellStyle name="Input [yellow] 3 4" xfId="1496"/>
    <cellStyle name="Input [yellow] 3 5" xfId="1505"/>
    <cellStyle name="Input [yellow] 3 6" xfId="1512"/>
    <cellStyle name="Input [yellow] 4" xfId="1417"/>
    <cellStyle name="Input [yellow] 5" xfId="1435"/>
    <cellStyle name="Input [yellow] 6" xfId="1416"/>
    <cellStyle name="Input [yellow] 7" xfId="1455"/>
    <cellStyle name="Input [yellow] 8" xfId="1442"/>
    <cellStyle name="Milliers [0]_Arabian Spec" xfId="108"/>
    <cellStyle name="Milliers_Arabian Spec" xfId="109"/>
    <cellStyle name="Model" xfId="110"/>
    <cellStyle name="Mon?aire [0]_Arabian Spec" xfId="111"/>
    <cellStyle name="Mon?aire_Arabian Spec" xfId="112"/>
    <cellStyle name="no dec" xfId="1783"/>
    <cellStyle name="normal" xfId="1784"/>
    <cellStyle name="Normal - Style1" xfId="113"/>
    <cellStyle name="Normal - Style1 2" xfId="844"/>
    <cellStyle name="Normal - Style2" xfId="1785"/>
    <cellStyle name="Normal - Style3" xfId="1786"/>
    <cellStyle name="Normal - Style4" xfId="1787"/>
    <cellStyle name="Normal - Style5" xfId="1788"/>
    <cellStyle name="Normal - Style6" xfId="1789"/>
    <cellStyle name="Normal - Style7" xfId="1790"/>
    <cellStyle name="Normal - Style8" xfId="1791"/>
    <cellStyle name="Normal_ SG&amp;A Bridge " xfId="114"/>
    <cellStyle name="NUM_" xfId="1792"/>
    <cellStyle name="Œ…?æ맖?e [0.00]_laroux" xfId="845"/>
    <cellStyle name="Œ…?æ맖?e_laroux" xfId="846"/>
    <cellStyle name="Percent" xfId="1793"/>
    <cellStyle name="Percent [2]" xfId="115"/>
    <cellStyle name="R_TITLE" xfId="1794"/>
    <cellStyle name="Standard_laroux" xfId="116"/>
    <cellStyle name="subhead" xfId="117"/>
    <cellStyle name="Title" xfId="847"/>
    <cellStyle name="title [1]" xfId="118"/>
    <cellStyle name="title [2]" xfId="119"/>
    <cellStyle name="ton" xfId="120"/>
    <cellStyle name="Total" xfId="121"/>
    <cellStyle name="Total 2" xfId="122"/>
    <cellStyle name="Total 2 2" xfId="1356"/>
    <cellStyle name="UM" xfId="1795"/>
    <cellStyle name="W?rung [0]_laroux" xfId="123"/>
    <cellStyle name="W?rung_laroux" xfId="124"/>
    <cellStyle name="강조색1 2" xfId="848"/>
    <cellStyle name="강조색1 2 2" xfId="1314"/>
    <cellStyle name="강조색2 2" xfId="849"/>
    <cellStyle name="강조색2 2 2" xfId="1315"/>
    <cellStyle name="강조색3 2" xfId="850"/>
    <cellStyle name="강조색3 2 2" xfId="1316"/>
    <cellStyle name="강조색4 2" xfId="851"/>
    <cellStyle name="강조색4 2 2" xfId="1317"/>
    <cellStyle name="강조색5 2" xfId="852"/>
    <cellStyle name="강조색5 2 2" xfId="1318"/>
    <cellStyle name="강조색6 2" xfId="853"/>
    <cellStyle name="강조색6 2 2" xfId="1319"/>
    <cellStyle name="경고문 2" xfId="854"/>
    <cellStyle name="경고문 2 2" xfId="1320"/>
    <cellStyle name="계산 2" xfId="855"/>
    <cellStyle name="계산 2 2" xfId="1321"/>
    <cellStyle name="고정소숫점" xfId="125"/>
    <cellStyle name="고정소숫점 2" xfId="126"/>
    <cellStyle name="고정소숫점 2 2" xfId="921"/>
    <cellStyle name="고정출력1" xfId="127"/>
    <cellStyle name="고정출력1 2" xfId="128"/>
    <cellStyle name="고정출력1 2 2" xfId="922"/>
    <cellStyle name="고정출력2" xfId="129"/>
    <cellStyle name="고정출력2 2" xfId="130"/>
    <cellStyle name="고정출력2 2 2" xfId="923"/>
    <cellStyle name="과정별배정" xfId="856"/>
    <cellStyle name="咬訌裝?INCOM1" xfId="857"/>
    <cellStyle name="咬訌裝?INCOM10" xfId="858"/>
    <cellStyle name="咬訌裝?INCOM2" xfId="859"/>
    <cellStyle name="咬訌裝?INCOM3" xfId="860"/>
    <cellStyle name="咬訌裝?INCOM4" xfId="861"/>
    <cellStyle name="咬訌裝?INCOM5" xfId="862"/>
    <cellStyle name="咬訌裝?INCOM6" xfId="863"/>
    <cellStyle name="咬訌裝?INCOM7" xfId="864"/>
    <cellStyle name="咬訌裝?INCOM8" xfId="865"/>
    <cellStyle name="咬訌裝?INCOM9" xfId="866"/>
    <cellStyle name="咬訌裝?PRIB11" xfId="867"/>
    <cellStyle name="나쁨 2" xfId="868"/>
    <cellStyle name="나쁨 2 2" xfId="1322"/>
    <cellStyle name="날짜" xfId="131"/>
    <cellStyle name="날짜 2" xfId="132"/>
    <cellStyle name="날짜 2 2" xfId="924"/>
    <cellStyle name="내역서" xfId="869"/>
    <cellStyle name="내역서 2" xfId="1446"/>
    <cellStyle name="내역서 3" xfId="1454"/>
    <cellStyle name="내역서 4" xfId="1451"/>
    <cellStyle name="내역서 5" xfId="1431"/>
    <cellStyle name="내역서 6" xfId="1423"/>
    <cellStyle name="달러" xfId="133"/>
    <cellStyle name="달러 2" xfId="134"/>
    <cellStyle name="달러 2 2" xfId="925"/>
    <cellStyle name="뒤에 오는 하이퍼링크_0829광역시원단위추정(최종).xls Chart 1" xfId="135"/>
    <cellStyle name="똿뗦먛귟 [0.00]_PRODUCT DETAIL Q1" xfId="136"/>
    <cellStyle name="똿뗦먛귟_PRODUCT DETAIL Q1" xfId="137"/>
    <cellStyle name="메모 2" xfId="870"/>
    <cellStyle name="메모 2 2" xfId="1323"/>
    <cellStyle name="믅됞 [0.00]_PRODUCT DETAIL Q1" xfId="138"/>
    <cellStyle name="믅됞_PRODUCT DETAIL Q1" xfId="139"/>
    <cellStyle name="백 " xfId="871"/>
    <cellStyle name="백분율" xfId="140" builtinId="5"/>
    <cellStyle name="백분율 [0]" xfId="141"/>
    <cellStyle name="백분율 [2]" xfId="142"/>
    <cellStyle name="백분율 10" xfId="927"/>
    <cellStyle name="백분율 11" xfId="928"/>
    <cellStyle name="백분율 12" xfId="929"/>
    <cellStyle name="백분율 13" xfId="930"/>
    <cellStyle name="백분율 14" xfId="931"/>
    <cellStyle name="백분율 15" xfId="932"/>
    <cellStyle name="백분율 16" xfId="933"/>
    <cellStyle name="백분율 17" xfId="934"/>
    <cellStyle name="백분율 18" xfId="935"/>
    <cellStyle name="백분율 19" xfId="926"/>
    <cellStyle name="백분율 2" xfId="143"/>
    <cellStyle name="백분율 2 2" xfId="872"/>
    <cellStyle name="백분율 2 3" xfId="1324"/>
    <cellStyle name="백분율 20" xfId="1137"/>
    <cellStyle name="백분율 21" xfId="1227"/>
    <cellStyle name="백분율 22" xfId="1140"/>
    <cellStyle name="백분율 23" xfId="1225"/>
    <cellStyle name="백분율 24" xfId="1162"/>
    <cellStyle name="백분율 25" xfId="1226"/>
    <cellStyle name="백분율 26" xfId="1228"/>
    <cellStyle name="백분율 27" xfId="1224"/>
    <cellStyle name="백분율 28" xfId="1344"/>
    <cellStyle name="백분율 29" xfId="1520"/>
    <cellStyle name="백분율 3" xfId="144"/>
    <cellStyle name="백분율 3 2" xfId="145"/>
    <cellStyle name="백분율 3 2 2" xfId="1420"/>
    <cellStyle name="백분율 3 3" xfId="772"/>
    <cellStyle name="백분율 3 4" xfId="936"/>
    <cellStyle name="백분율 3 5" xfId="1357"/>
    <cellStyle name="백분율 4" xfId="146"/>
    <cellStyle name="백분율 4 2" xfId="937"/>
    <cellStyle name="백분율 4 3" xfId="1358"/>
    <cellStyle name="백분율 4 4" xfId="1421"/>
    <cellStyle name="백분율 5" xfId="763"/>
    <cellStyle name="백분율 5 2" xfId="938"/>
    <cellStyle name="백분율 5 3" xfId="1359"/>
    <cellStyle name="백분율 6" xfId="771"/>
    <cellStyle name="백분율 6 2" xfId="939"/>
    <cellStyle name="백분율 6 3" xfId="1360"/>
    <cellStyle name="백분율 6 4" xfId="1441"/>
    <cellStyle name="백분율 7" xfId="940"/>
    <cellStyle name="백분율 7 2" xfId="1361"/>
    <cellStyle name="백분율 8" xfId="941"/>
    <cellStyle name="백분율 8 2" xfId="1362"/>
    <cellStyle name="백분율 9" xfId="942"/>
    <cellStyle name="보통 2" xfId="873"/>
    <cellStyle name="보통 2 2" xfId="1325"/>
    <cellStyle name="뷭?_BOOKSHIP" xfId="147"/>
    <cellStyle name="설명 텍스트 2" xfId="874"/>
    <cellStyle name="설명 텍스트 2 2" xfId="1326"/>
    <cellStyle name="셀 확인 2" xfId="875"/>
    <cellStyle name="셀 확인 2 2" xfId="1327"/>
    <cellStyle name="숫자(R)" xfId="148"/>
    <cellStyle name="쉼표 [0]" xfId="149" builtinId="6"/>
    <cellStyle name="쉼표 [0] 10" xfId="150"/>
    <cellStyle name="쉼표 [0] 10 2" xfId="876"/>
    <cellStyle name="쉼표 [0] 10 3" xfId="1422"/>
    <cellStyle name="쉼표 [0] 11" xfId="764"/>
    <cellStyle name="쉼표 [0] 12" xfId="877"/>
    <cellStyle name="쉼표 [0] 13" xfId="769"/>
    <cellStyle name="쉼표 [0] 13 2" xfId="1440"/>
    <cellStyle name="쉼표 [0] 14" xfId="1343"/>
    <cellStyle name="쉼표 [0] 15" xfId="1351"/>
    <cellStyle name="쉼표 [0] 15 2" xfId="1458"/>
    <cellStyle name="쉼표 [0] 16" xfId="1518"/>
    <cellStyle name="쉼표 [0] 17" xfId="878"/>
    <cellStyle name="쉼표 [0] 18" xfId="1801"/>
    <cellStyle name="쉼표 [0] 19" xfId="879"/>
    <cellStyle name="쉼표 [0] 2" xfId="151"/>
    <cellStyle name="쉼표 [0] 2 2" xfId="152"/>
    <cellStyle name="쉼표 [0] 2 2 2" xfId="943"/>
    <cellStyle name="쉼표 [0] 2 2 3" xfId="1375"/>
    <cellStyle name="쉼표 [0] 2 3" xfId="1342"/>
    <cellStyle name="쉼표 [0] 2 3 2" xfId="1373"/>
    <cellStyle name="쉼표 [0] 2 4" xfId="1380"/>
    <cellStyle name="쉼표 [0] 21" xfId="880"/>
    <cellStyle name="쉼표 [0] 23" xfId="881"/>
    <cellStyle name="쉼표 [0] 26" xfId="882"/>
    <cellStyle name="쉼표 [0] 28" xfId="883"/>
    <cellStyle name="쉼표 [0] 3" xfId="153"/>
    <cellStyle name="쉼표 [0] 3 2" xfId="154"/>
    <cellStyle name="쉼표 [0] 3 2 2" xfId="884"/>
    <cellStyle name="쉼표 [0] 3 2 3" xfId="944"/>
    <cellStyle name="쉼표 [0] 3 2 4" xfId="1374"/>
    <cellStyle name="쉼표 [0] 3 3" xfId="155"/>
    <cellStyle name="쉼표 [0] 4" xfId="156"/>
    <cellStyle name="쉼표 [0] 4 2" xfId="157"/>
    <cellStyle name="쉼표 [0] 4 2 2" xfId="1328"/>
    <cellStyle name="쉼표 [0] 4 3" xfId="766"/>
    <cellStyle name="쉼표 [0] 4 4" xfId="774"/>
    <cellStyle name="쉼표 [0] 4 5" xfId="1363"/>
    <cellStyle name="쉼표 [0] 4 6" xfId="1387"/>
    <cellStyle name="쉼표 [0] 5" xfId="158"/>
    <cellStyle name="쉼표 [0] 5 2" xfId="159"/>
    <cellStyle name="쉼표 [0] 5 2 2" xfId="1424"/>
    <cellStyle name="쉼표 [0] 5 3" xfId="765"/>
    <cellStyle name="쉼표 [0] 5 4" xfId="945"/>
    <cellStyle name="쉼표 [0] 5 5" xfId="1364"/>
    <cellStyle name="쉼표 [0] 5 5 2" xfId="1460"/>
    <cellStyle name="쉼표 [0] 6" xfId="160"/>
    <cellStyle name="쉼표 [0] 6 2" xfId="946"/>
    <cellStyle name="쉼표 [0] 6 3" xfId="1365"/>
    <cellStyle name="쉼표 [0] 7" xfId="161"/>
    <cellStyle name="쉼표 [0] 7 2" xfId="1349"/>
    <cellStyle name="쉼표 [0] 8" xfId="162"/>
    <cellStyle name="쉼표 [0] 8 2" xfId="1366"/>
    <cellStyle name="쉼표 [0] 9" xfId="163"/>
    <cellStyle name="쉼표 [0] 9 2" xfId="164"/>
    <cellStyle name="쉼표 [0] 9 2 2" xfId="1426"/>
    <cellStyle name="쉼표 [0] 9 3" xfId="1425"/>
    <cellStyle name="스타일 1" xfId="165"/>
    <cellStyle name="연결된 셀 2" xfId="885"/>
    <cellStyle name="연결된 셀 2 2" xfId="1329"/>
    <cellStyle name="요약 2" xfId="886"/>
    <cellStyle name="요약 2 2" xfId="1330"/>
    <cellStyle name="우괄호_박심배수구조물공" xfId="166"/>
    <cellStyle name="우측양괄호" xfId="167"/>
    <cellStyle name="일반" xfId="168"/>
    <cellStyle name="일정_K200창정비 (2)" xfId="1796"/>
    <cellStyle name="입력 2" xfId="887"/>
    <cellStyle name="입력 2 2" xfId="1331"/>
    <cellStyle name="자리수" xfId="169"/>
    <cellStyle name="자리수 2" xfId="170"/>
    <cellStyle name="자리수 2 2" xfId="947"/>
    <cellStyle name="자리수0" xfId="171"/>
    <cellStyle name="자리수0 2" xfId="172"/>
    <cellStyle name="자리수0 2 2" xfId="948"/>
    <cellStyle name="제곱" xfId="173"/>
    <cellStyle name="제목 1 2" xfId="888"/>
    <cellStyle name="제목 1 2 2" xfId="1332"/>
    <cellStyle name="제목 2 2" xfId="889"/>
    <cellStyle name="제목 2 2 2" xfId="1333"/>
    <cellStyle name="제목 3 2" xfId="890"/>
    <cellStyle name="제목 3 2 2" xfId="1334"/>
    <cellStyle name="제목 4 2" xfId="891"/>
    <cellStyle name="제목 4 2 2" xfId="1335"/>
    <cellStyle name="제목 5" xfId="892"/>
    <cellStyle name="제목 5 2" xfId="949"/>
    <cellStyle name="제목 6" xfId="893"/>
    <cellStyle name="좋음 2" xfId="894"/>
    <cellStyle name="좋음 2 2" xfId="1336"/>
    <cellStyle name="좌괄호_박심배수구조물공" xfId="174"/>
    <cellStyle name="좌측양괄호" xfId="175"/>
    <cellStyle name="지정되지 않음" xfId="176"/>
    <cellStyle name="출력 2" xfId="895"/>
    <cellStyle name="출력 2 2" xfId="1337"/>
    <cellStyle name="콤" xfId="896"/>
    <cellStyle name="콤마 " xfId="1797"/>
    <cellStyle name="콤마 [" xfId="897"/>
    <cellStyle name="콤마 [0]" xfId="898"/>
    <cellStyle name="콤마 [1]" xfId="177"/>
    <cellStyle name="콤마 [1] 2" xfId="1369"/>
    <cellStyle name="콤마 [1] 2 2" xfId="1382"/>
    <cellStyle name="콤마 [1] 2 2 2" xfId="1471"/>
    <cellStyle name="콤마 [1] 2 2 3" xfId="1485"/>
    <cellStyle name="콤마 [1] 2 2 4" xfId="1498"/>
    <cellStyle name="콤마 [1] 2 2 5" xfId="1507"/>
    <cellStyle name="콤마 [1] 2 2 6" xfId="1514"/>
    <cellStyle name="콤마 [1] 2 3" xfId="1462"/>
    <cellStyle name="콤마 [1] 2 4" xfId="1475"/>
    <cellStyle name="콤마 [1] 2 5" xfId="1489"/>
    <cellStyle name="콤마 [1] 2 6" xfId="1502"/>
    <cellStyle name="콤마 [1] 2 7" xfId="1419"/>
    <cellStyle name="콤마 [1] 3" xfId="1381"/>
    <cellStyle name="콤마 [1] 3 2" xfId="1470"/>
    <cellStyle name="콤마 [1] 3 3" xfId="1484"/>
    <cellStyle name="콤마 [1] 3 4" xfId="1497"/>
    <cellStyle name="콤마 [1] 3 5" xfId="1506"/>
    <cellStyle name="콤마 [1] 3 6" xfId="1513"/>
    <cellStyle name="콤마 [1] 4" xfId="1427"/>
    <cellStyle name="콤마 [1] 5" xfId="1452"/>
    <cellStyle name="콤마 [1] 6" xfId="1430"/>
    <cellStyle name="콤마 [1] 7" xfId="1447"/>
    <cellStyle name="콤마 [1] 8" xfId="1479"/>
    <cellStyle name="콤마 [2]" xfId="178"/>
    <cellStyle name="콤마 [2] 2" xfId="899"/>
    <cellStyle name="콤마_  종  합  " xfId="1798"/>
    <cellStyle name="통" xfId="900"/>
    <cellStyle name="통화 [" xfId="901"/>
    <cellStyle name="통화 [0] 2" xfId="950"/>
    <cellStyle name="퍼센트" xfId="179"/>
    <cellStyle name="퍼센트 2" xfId="180"/>
    <cellStyle name="퍼센트 2 2" xfId="951"/>
    <cellStyle name="표" xfId="902"/>
    <cellStyle name="표서식" xfId="1799"/>
    <cellStyle name="표준" xfId="0" builtinId="0"/>
    <cellStyle name="표준 10" xfId="181"/>
    <cellStyle name="표준 10 2" xfId="182"/>
    <cellStyle name="표준 10 2 2" xfId="952"/>
    <cellStyle name="표준 10 3" xfId="903"/>
    <cellStyle name="표준 10 3 2" xfId="1389"/>
    <cellStyle name="표준 10 4" xfId="1388"/>
    <cellStyle name="표준 100" xfId="183"/>
    <cellStyle name="표준 100 2" xfId="184"/>
    <cellStyle name="표준 100 2 2" xfId="953"/>
    <cellStyle name="표준 101" xfId="185"/>
    <cellStyle name="표준 101 2" xfId="186"/>
    <cellStyle name="표준 101 2 2" xfId="954"/>
    <cellStyle name="표준 102" xfId="187"/>
    <cellStyle name="표준 102 2" xfId="188"/>
    <cellStyle name="표준 103" xfId="189"/>
    <cellStyle name="표준 104" xfId="767"/>
    <cellStyle name="표준 104 2" xfId="1439"/>
    <cellStyle name="표준 105" xfId="1231"/>
    <cellStyle name="표준 106" xfId="1232"/>
    <cellStyle name="표준 107" xfId="1233"/>
    <cellStyle name="표준 108" xfId="1234"/>
    <cellStyle name="표준 109" xfId="1235"/>
    <cellStyle name="표준 11" xfId="190"/>
    <cellStyle name="표준 11 2" xfId="191"/>
    <cellStyle name="표준 11 2 2" xfId="955"/>
    <cellStyle name="표준 11 3" xfId="904"/>
    <cellStyle name="표준 110" xfId="1236"/>
    <cellStyle name="표준 111" xfId="1237"/>
    <cellStyle name="표준 112" xfId="1238"/>
    <cellStyle name="표준 113" xfId="1239"/>
    <cellStyle name="표준 114" xfId="1240"/>
    <cellStyle name="표준 115" xfId="1241"/>
    <cellStyle name="표준 116" xfId="1242"/>
    <cellStyle name="표준 117" xfId="192"/>
    <cellStyle name="표준 117 2" xfId="193"/>
    <cellStyle name="표준 117 2 2" xfId="956"/>
    <cellStyle name="표준 118" xfId="194"/>
    <cellStyle name="표준 118 2" xfId="195"/>
    <cellStyle name="표준 118 2 2" xfId="957"/>
    <cellStyle name="표준 119" xfId="196"/>
    <cellStyle name="표준 119 2" xfId="197"/>
    <cellStyle name="표준 119 2 2" xfId="958"/>
    <cellStyle name="표준 12" xfId="198"/>
    <cellStyle name="표준 12 2" xfId="199"/>
    <cellStyle name="표준 12 2 2" xfId="959"/>
    <cellStyle name="표준 12 3" xfId="905"/>
    <cellStyle name="표준 12 4" xfId="1390"/>
    <cellStyle name="표준 120" xfId="1243"/>
    <cellStyle name="표준 121" xfId="1244"/>
    <cellStyle name="표준 122" xfId="1245"/>
    <cellStyle name="표준 123" xfId="1246"/>
    <cellStyle name="표준 124" xfId="1247"/>
    <cellStyle name="표준 125" xfId="1248"/>
    <cellStyle name="표준 126" xfId="1249"/>
    <cellStyle name="표준 127" xfId="1250"/>
    <cellStyle name="표준 128" xfId="1251"/>
    <cellStyle name="표준 129" xfId="1252"/>
    <cellStyle name="표준 13" xfId="200"/>
    <cellStyle name="표준 13 2" xfId="201"/>
    <cellStyle name="표준 13 2 2" xfId="960"/>
    <cellStyle name="표준 13 3" xfId="1391"/>
    <cellStyle name="표준 130" xfId="1253"/>
    <cellStyle name="표준 131" xfId="1254"/>
    <cellStyle name="표준 132" xfId="1255"/>
    <cellStyle name="표준 133" xfId="1256"/>
    <cellStyle name="표준 134" xfId="1257"/>
    <cellStyle name="표준 135" xfId="1258"/>
    <cellStyle name="표준 136" xfId="1259"/>
    <cellStyle name="표준 137" xfId="1260"/>
    <cellStyle name="표준 138" xfId="1261"/>
    <cellStyle name="표준 139" xfId="1262"/>
    <cellStyle name="표준 14" xfId="202"/>
    <cellStyle name="표준 14 10" xfId="1393"/>
    <cellStyle name="표준 14 11" xfId="1394"/>
    <cellStyle name="표준 14 12" xfId="1395"/>
    <cellStyle name="표준 14 13" xfId="1396"/>
    <cellStyle name="표준 14 14" xfId="1397"/>
    <cellStyle name="표준 14 15" xfId="1398"/>
    <cellStyle name="표준 14 16" xfId="1399"/>
    <cellStyle name="표준 14 17" xfId="1392"/>
    <cellStyle name="표준 14 2" xfId="203"/>
    <cellStyle name="표준 14 2 2" xfId="961"/>
    <cellStyle name="표준 14 3" xfId="906"/>
    <cellStyle name="표준 14 3 2" xfId="1400"/>
    <cellStyle name="표준 14 4" xfId="1401"/>
    <cellStyle name="표준 14 5" xfId="1402"/>
    <cellStyle name="표준 14 6" xfId="1403"/>
    <cellStyle name="표준 14 7" xfId="1404"/>
    <cellStyle name="표준 14 8" xfId="1405"/>
    <cellStyle name="표준 14 9" xfId="1406"/>
    <cellStyle name="표준 14_2014년 3월말 이월면 주민등록 인구" xfId="1407"/>
    <cellStyle name="표준 140" xfId="1263"/>
    <cellStyle name="표준 141" xfId="1264"/>
    <cellStyle name="표준 142" xfId="1265"/>
    <cellStyle name="표준 143" xfId="1266"/>
    <cellStyle name="표준 144" xfId="1267"/>
    <cellStyle name="표준 145" xfId="1268"/>
    <cellStyle name="표준 146" xfId="1269"/>
    <cellStyle name="표준 147" xfId="1270"/>
    <cellStyle name="표준 148" xfId="1271"/>
    <cellStyle name="표준 149" xfId="1272"/>
    <cellStyle name="표준 15" xfId="204"/>
    <cellStyle name="표준 15 2" xfId="205"/>
    <cellStyle name="표준 15 2 2" xfId="962"/>
    <cellStyle name="표준 150" xfId="1273"/>
    <cellStyle name="표준 151" xfId="1274"/>
    <cellStyle name="표준 152" xfId="1275"/>
    <cellStyle name="표준 153" xfId="1276"/>
    <cellStyle name="표준 154" xfId="1277"/>
    <cellStyle name="표준 155" xfId="1278"/>
    <cellStyle name="표준 156" xfId="1279"/>
    <cellStyle name="표준 157" xfId="1280"/>
    <cellStyle name="표준 158" xfId="1281"/>
    <cellStyle name="표준 159" xfId="1282"/>
    <cellStyle name="표준 16" xfId="206"/>
    <cellStyle name="표준 16 2" xfId="207"/>
    <cellStyle name="표준 16 2 2" xfId="963"/>
    <cellStyle name="표준 160" xfId="1283"/>
    <cellStyle name="표준 161" xfId="1284"/>
    <cellStyle name="표준 162" xfId="1285"/>
    <cellStyle name="표준 163" xfId="1286"/>
    <cellStyle name="표준 164" xfId="1287"/>
    <cellStyle name="표준 165" xfId="1288"/>
    <cellStyle name="표준 166" xfId="1289"/>
    <cellStyle name="표준 167" xfId="1290"/>
    <cellStyle name="표준 168" xfId="1291"/>
    <cellStyle name="표준 169" xfId="1292"/>
    <cellStyle name="표준 17" xfId="208"/>
    <cellStyle name="표준 17 2" xfId="209"/>
    <cellStyle name="표준 17 2 2" xfId="964"/>
    <cellStyle name="표준 170" xfId="1293"/>
    <cellStyle name="표준 171" xfId="1294"/>
    <cellStyle name="표준 172" xfId="1338"/>
    <cellStyle name="표준 173" xfId="1339"/>
    <cellStyle name="표준 174" xfId="1350"/>
    <cellStyle name="표준 174 2" xfId="1457"/>
    <cellStyle name="표준 175" xfId="1519"/>
    <cellStyle name="표준 176" xfId="1521"/>
    <cellStyle name="표준 177" xfId="1740"/>
    <cellStyle name="표준 178" xfId="1800"/>
    <cellStyle name="표준 18" xfId="210"/>
    <cellStyle name="표준 18 2" xfId="211"/>
    <cellStyle name="표준 18 2 2" xfId="965"/>
    <cellStyle name="표준 19" xfId="212"/>
    <cellStyle name="표준 19 2" xfId="213"/>
    <cellStyle name="표준 19 2 2" xfId="966"/>
    <cellStyle name="표준 19 3" xfId="907"/>
    <cellStyle name="표준 2" xfId="214"/>
    <cellStyle name="표준 2 10" xfId="215"/>
    <cellStyle name="표준 2 11" xfId="216"/>
    <cellStyle name="표준 2 12" xfId="768"/>
    <cellStyle name="표준 2 2" xfId="217"/>
    <cellStyle name="표준 2 2 2" xfId="218"/>
    <cellStyle name="표준 2 2 2 2" xfId="967"/>
    <cellStyle name="표준 2 2 3" xfId="219"/>
    <cellStyle name="표준 2 2 4" xfId="220"/>
    <cellStyle name="표준 2 2 4 2" xfId="221"/>
    <cellStyle name="표준 2 2 5" xfId="222"/>
    <cellStyle name="표준 2 2 6" xfId="773"/>
    <cellStyle name="표준 2 2 7" xfId="1340"/>
    <cellStyle name="표준 2 3" xfId="223"/>
    <cellStyle name="표준 2 3 2" xfId="224"/>
    <cellStyle name="표준 2 3 3" xfId="908"/>
    <cellStyle name="표준 2 3 4" xfId="968"/>
    <cellStyle name="표준 2 3 5" xfId="1408"/>
    <cellStyle name="표준 2 4" xfId="225"/>
    <cellStyle name="표준 2 4 2" xfId="969"/>
    <cellStyle name="표준 2 5" xfId="226"/>
    <cellStyle name="표준 2 5 2" xfId="970"/>
    <cellStyle name="표준 2 6" xfId="227"/>
    <cellStyle name="표준 2 7" xfId="228"/>
    <cellStyle name="표준 2 8" xfId="229"/>
    <cellStyle name="표준 2 9" xfId="230"/>
    <cellStyle name="표준 2_소규모공공하수처리장수질분석일지(2011년)" xfId="1295"/>
    <cellStyle name="표준 20" xfId="231"/>
    <cellStyle name="표준 20 2" xfId="232"/>
    <cellStyle name="표준 20 2 2" xfId="233"/>
    <cellStyle name="표준 20 2 2 2" xfId="971"/>
    <cellStyle name="표준 20 3" xfId="234"/>
    <cellStyle name="표준 20 3 2" xfId="235"/>
    <cellStyle name="표준 20 3 2 2" xfId="972"/>
    <cellStyle name="표준 20 4" xfId="236"/>
    <cellStyle name="표준 20 4 2" xfId="237"/>
    <cellStyle name="표준 20 4 2 2" xfId="973"/>
    <cellStyle name="표준 20 5" xfId="238"/>
    <cellStyle name="표준 20 5 2" xfId="239"/>
    <cellStyle name="표준 20 5 2 2" xfId="974"/>
    <cellStyle name="표준 20 6" xfId="240"/>
    <cellStyle name="표준 20 6 2" xfId="975"/>
    <cellStyle name="표준 21" xfId="241"/>
    <cellStyle name="표준 21 2" xfId="242"/>
    <cellStyle name="표준 21 2 2" xfId="243"/>
    <cellStyle name="표준 21 2 2 2" xfId="976"/>
    <cellStyle name="표준 21 3" xfId="244"/>
    <cellStyle name="표준 21 3 2" xfId="245"/>
    <cellStyle name="표준 21 3 2 2" xfId="977"/>
    <cellStyle name="표준 21 4" xfId="246"/>
    <cellStyle name="표준 21 4 2" xfId="247"/>
    <cellStyle name="표준 21 4 2 2" xfId="978"/>
    <cellStyle name="표준 21 5" xfId="248"/>
    <cellStyle name="표준 21 5 2" xfId="249"/>
    <cellStyle name="표준 21 5 2 2" xfId="979"/>
    <cellStyle name="표준 21 6" xfId="250"/>
    <cellStyle name="표준 21 6 2" xfId="980"/>
    <cellStyle name="표준 21 7" xfId="909"/>
    <cellStyle name="표준 22" xfId="251"/>
    <cellStyle name="표준 22 2" xfId="252"/>
    <cellStyle name="표준 22 2 2" xfId="253"/>
    <cellStyle name="표준 22 2 2 2" xfId="981"/>
    <cellStyle name="표준 22 3" xfId="254"/>
    <cellStyle name="표준 22 3 2" xfId="255"/>
    <cellStyle name="표준 22 3 2 2" xfId="982"/>
    <cellStyle name="표준 22 4" xfId="256"/>
    <cellStyle name="표준 22 4 2" xfId="257"/>
    <cellStyle name="표준 22 4 2 2" xfId="983"/>
    <cellStyle name="표준 22 5" xfId="258"/>
    <cellStyle name="표준 22 5 2" xfId="259"/>
    <cellStyle name="표준 22 5 2 2" xfId="984"/>
    <cellStyle name="표준 22 6" xfId="260"/>
    <cellStyle name="표준 22 6 2" xfId="985"/>
    <cellStyle name="표준 23" xfId="261"/>
    <cellStyle name="표준 23 2" xfId="262"/>
    <cellStyle name="표준 23 2 2" xfId="986"/>
    <cellStyle name="표준 23 3" xfId="910"/>
    <cellStyle name="표준 24" xfId="263"/>
    <cellStyle name="표준 24 2" xfId="264"/>
    <cellStyle name="표준 24 2 2" xfId="987"/>
    <cellStyle name="표준 25" xfId="265"/>
    <cellStyle name="표준 25 2" xfId="266"/>
    <cellStyle name="표준 25 2 2" xfId="988"/>
    <cellStyle name="표준 25 3" xfId="911"/>
    <cellStyle name="표준 256" xfId="267"/>
    <cellStyle name="표준 256 2" xfId="268"/>
    <cellStyle name="표준 256 2 2" xfId="989"/>
    <cellStyle name="표준 257" xfId="269"/>
    <cellStyle name="표준 257 2" xfId="270"/>
    <cellStyle name="표준 257 2 2" xfId="990"/>
    <cellStyle name="표준 258" xfId="271"/>
    <cellStyle name="표준 258 2" xfId="272"/>
    <cellStyle name="표준 258 2 2" xfId="991"/>
    <cellStyle name="표준 259" xfId="273"/>
    <cellStyle name="표준 259 2" xfId="274"/>
    <cellStyle name="표준 259 2 2" xfId="992"/>
    <cellStyle name="표준 26" xfId="275"/>
    <cellStyle name="표준 26 2" xfId="276"/>
    <cellStyle name="표준 26 2 2" xfId="993"/>
    <cellStyle name="표준 260" xfId="277"/>
    <cellStyle name="표준 260 2" xfId="278"/>
    <cellStyle name="표준 260 2 2" xfId="994"/>
    <cellStyle name="표준 261" xfId="279"/>
    <cellStyle name="표준 261 2" xfId="280"/>
    <cellStyle name="표준 261 2 2" xfId="995"/>
    <cellStyle name="표준 262" xfId="281"/>
    <cellStyle name="표준 262 2" xfId="282"/>
    <cellStyle name="표준 262 2 2" xfId="996"/>
    <cellStyle name="표준 263" xfId="283"/>
    <cellStyle name="표준 263 2" xfId="284"/>
    <cellStyle name="표준 263 2 2" xfId="997"/>
    <cellStyle name="표준 264" xfId="285"/>
    <cellStyle name="표준 264 2" xfId="286"/>
    <cellStyle name="표준 264 2 2" xfId="998"/>
    <cellStyle name="표준 265" xfId="287"/>
    <cellStyle name="표준 265 2" xfId="288"/>
    <cellStyle name="표준 265 2 2" xfId="999"/>
    <cellStyle name="표준 266" xfId="289"/>
    <cellStyle name="표준 266 2" xfId="290"/>
    <cellStyle name="표준 266 2 2" xfId="1000"/>
    <cellStyle name="표준 267" xfId="291"/>
    <cellStyle name="표준 267 2" xfId="292"/>
    <cellStyle name="표준 267 2 2" xfId="1001"/>
    <cellStyle name="표준 268" xfId="293"/>
    <cellStyle name="표준 268 2" xfId="294"/>
    <cellStyle name="표준 268 2 2" xfId="1002"/>
    <cellStyle name="표준 269" xfId="295"/>
    <cellStyle name="표준 269 2" xfId="296"/>
    <cellStyle name="표준 269 2 2" xfId="1003"/>
    <cellStyle name="표준 27" xfId="297"/>
    <cellStyle name="표준 27 2" xfId="298"/>
    <cellStyle name="표준 27 2 2" xfId="1004"/>
    <cellStyle name="표준 270" xfId="299"/>
    <cellStyle name="표준 270 2" xfId="300"/>
    <cellStyle name="표준 270 2 2" xfId="1005"/>
    <cellStyle name="표준 271" xfId="301"/>
    <cellStyle name="표준 271 2" xfId="302"/>
    <cellStyle name="표준 271 2 2" xfId="1006"/>
    <cellStyle name="표준 272" xfId="303"/>
    <cellStyle name="표준 272 2" xfId="304"/>
    <cellStyle name="표준 272 2 2" xfId="1007"/>
    <cellStyle name="표준 273" xfId="305"/>
    <cellStyle name="표준 273 2" xfId="306"/>
    <cellStyle name="표준 273 2 2" xfId="1008"/>
    <cellStyle name="표준 274" xfId="307"/>
    <cellStyle name="표준 274 2" xfId="308"/>
    <cellStyle name="표준 274 2 2" xfId="1009"/>
    <cellStyle name="표준 275" xfId="309"/>
    <cellStyle name="표준 275 2" xfId="310"/>
    <cellStyle name="표준 275 2 2" xfId="1010"/>
    <cellStyle name="표준 276" xfId="311"/>
    <cellStyle name="표준 276 2" xfId="312"/>
    <cellStyle name="표준 276 2 2" xfId="1011"/>
    <cellStyle name="표준 277" xfId="313"/>
    <cellStyle name="표준 277 2" xfId="314"/>
    <cellStyle name="표준 277 2 2" xfId="1012"/>
    <cellStyle name="표준 278" xfId="315"/>
    <cellStyle name="표준 278 2" xfId="316"/>
    <cellStyle name="표준 278 2 2" xfId="1013"/>
    <cellStyle name="표준 279" xfId="317"/>
    <cellStyle name="표준 279 2" xfId="318"/>
    <cellStyle name="표준 279 2 2" xfId="1014"/>
    <cellStyle name="표준 28" xfId="319"/>
    <cellStyle name="표준 28 2" xfId="320"/>
    <cellStyle name="표준 28 2 2" xfId="1015"/>
    <cellStyle name="표준 28 3" xfId="912"/>
    <cellStyle name="표준 280" xfId="321"/>
    <cellStyle name="표준 280 2" xfId="322"/>
    <cellStyle name="표준 280 2 2" xfId="1016"/>
    <cellStyle name="표준 281" xfId="323"/>
    <cellStyle name="표준 281 2" xfId="324"/>
    <cellStyle name="표준 281 2 2" xfId="1017"/>
    <cellStyle name="표준 282" xfId="325"/>
    <cellStyle name="표준 282 2" xfId="326"/>
    <cellStyle name="표준 282 2 2" xfId="1018"/>
    <cellStyle name="표준 283" xfId="327"/>
    <cellStyle name="표준 283 2" xfId="328"/>
    <cellStyle name="표준 283 2 2" xfId="1019"/>
    <cellStyle name="표준 284" xfId="329"/>
    <cellStyle name="표준 284 2" xfId="330"/>
    <cellStyle name="표준 284 2 2" xfId="1020"/>
    <cellStyle name="표준 285" xfId="331"/>
    <cellStyle name="표준 285 2" xfId="332"/>
    <cellStyle name="표준 285 2 2" xfId="1021"/>
    <cellStyle name="표준 286" xfId="333"/>
    <cellStyle name="표준 286 2" xfId="334"/>
    <cellStyle name="표준 286 2 2" xfId="1022"/>
    <cellStyle name="표준 287" xfId="335"/>
    <cellStyle name="표준 287 2" xfId="336"/>
    <cellStyle name="표준 287 2 2" xfId="1023"/>
    <cellStyle name="표준 288" xfId="337"/>
    <cellStyle name="표준 288 2" xfId="338"/>
    <cellStyle name="표준 288 2 2" xfId="1024"/>
    <cellStyle name="표준 289" xfId="339"/>
    <cellStyle name="표준 289 2" xfId="340"/>
    <cellStyle name="표준 289 2 2" xfId="1025"/>
    <cellStyle name="표준 29" xfId="341"/>
    <cellStyle name="표준 29 2" xfId="342"/>
    <cellStyle name="표준 29 2 2" xfId="1026"/>
    <cellStyle name="표준 290" xfId="343"/>
    <cellStyle name="표준 290 2" xfId="344"/>
    <cellStyle name="표준 290 2 2" xfId="1027"/>
    <cellStyle name="표준 291" xfId="345"/>
    <cellStyle name="표준 291 2" xfId="346"/>
    <cellStyle name="표준 291 2 2" xfId="1028"/>
    <cellStyle name="표준 292" xfId="347"/>
    <cellStyle name="표준 292 2" xfId="348"/>
    <cellStyle name="표준 292 2 2" xfId="1029"/>
    <cellStyle name="표준 293" xfId="349"/>
    <cellStyle name="표준 293 2" xfId="350"/>
    <cellStyle name="표준 293 2 2" xfId="1030"/>
    <cellStyle name="표준 294" xfId="351"/>
    <cellStyle name="표준 294 2" xfId="352"/>
    <cellStyle name="표준 294 2 2" xfId="1031"/>
    <cellStyle name="표준 295" xfId="353"/>
    <cellStyle name="표준 295 2" xfId="354"/>
    <cellStyle name="표준 295 2 2" xfId="1032"/>
    <cellStyle name="표준 296" xfId="355"/>
    <cellStyle name="표준 296 2" xfId="356"/>
    <cellStyle name="표준 296 2 2" xfId="1033"/>
    <cellStyle name="표준 297" xfId="357"/>
    <cellStyle name="표준 297 2" xfId="358"/>
    <cellStyle name="표준 297 2 2" xfId="1034"/>
    <cellStyle name="표준 298" xfId="359"/>
    <cellStyle name="표준 298 2" xfId="360"/>
    <cellStyle name="표준 298 2 2" xfId="1035"/>
    <cellStyle name="표준 299" xfId="361"/>
    <cellStyle name="표준 299 2" xfId="362"/>
    <cellStyle name="표준 299 2 2" xfId="1036"/>
    <cellStyle name="표준 3" xfId="363"/>
    <cellStyle name="표준 3 2" xfId="364"/>
    <cellStyle name="표준 3 2 2" xfId="913"/>
    <cellStyle name="표준 3 2 3" xfId="1037"/>
    <cellStyle name="표준 3 2 4" xfId="1409"/>
    <cellStyle name="표준 3 3" xfId="365"/>
    <cellStyle name="표준 3 4" xfId="366"/>
    <cellStyle name="표준 3 4 2" xfId="367"/>
    <cellStyle name="표준 3 4 3" xfId="1038"/>
    <cellStyle name="표준 3 5" xfId="770"/>
    <cellStyle name="표준 30" xfId="368"/>
    <cellStyle name="표준 30 2" xfId="369"/>
    <cellStyle name="표준 30 2 2" xfId="1039"/>
    <cellStyle name="표준 30 3" xfId="914"/>
    <cellStyle name="표준 300" xfId="370"/>
    <cellStyle name="표준 300 2" xfId="371"/>
    <cellStyle name="표준 300 2 2" xfId="1040"/>
    <cellStyle name="표준 301" xfId="372"/>
    <cellStyle name="표준 301 2" xfId="373"/>
    <cellStyle name="표준 301 2 2" xfId="1041"/>
    <cellStyle name="표준 302" xfId="374"/>
    <cellStyle name="표준 302 2" xfId="375"/>
    <cellStyle name="표준 302 2 2" xfId="1042"/>
    <cellStyle name="표준 303" xfId="376"/>
    <cellStyle name="표준 303 2" xfId="377"/>
    <cellStyle name="표준 303 2 2" xfId="1043"/>
    <cellStyle name="표준 304" xfId="378"/>
    <cellStyle name="표준 304 2" xfId="379"/>
    <cellStyle name="표준 304 2 2" xfId="1044"/>
    <cellStyle name="표준 305" xfId="380"/>
    <cellStyle name="표준 305 2" xfId="381"/>
    <cellStyle name="표준 305 2 2" xfId="1045"/>
    <cellStyle name="표준 306" xfId="382"/>
    <cellStyle name="표준 306 2" xfId="383"/>
    <cellStyle name="표준 306 2 2" xfId="1046"/>
    <cellStyle name="표준 307" xfId="384"/>
    <cellStyle name="표준 307 2" xfId="385"/>
    <cellStyle name="표준 307 2 2" xfId="1047"/>
    <cellStyle name="표준 308" xfId="386"/>
    <cellStyle name="표준 308 2" xfId="387"/>
    <cellStyle name="표준 308 2 2" xfId="1048"/>
    <cellStyle name="표준 309" xfId="388"/>
    <cellStyle name="표준 309 2" xfId="389"/>
    <cellStyle name="표준 309 2 2" xfId="1049"/>
    <cellStyle name="표준 31" xfId="390"/>
    <cellStyle name="표준 31 2" xfId="391"/>
    <cellStyle name="표준 31 2 2" xfId="1050"/>
    <cellStyle name="표준 310" xfId="392"/>
    <cellStyle name="표준 310 2" xfId="393"/>
    <cellStyle name="표준 310 2 2" xfId="1051"/>
    <cellStyle name="표준 311" xfId="394"/>
    <cellStyle name="표준 311 2" xfId="395"/>
    <cellStyle name="표준 311 2 2" xfId="1052"/>
    <cellStyle name="표준 312" xfId="396"/>
    <cellStyle name="표준 312 2" xfId="397"/>
    <cellStyle name="표준 312 2 2" xfId="1053"/>
    <cellStyle name="표준 313" xfId="398"/>
    <cellStyle name="표준 313 2" xfId="399"/>
    <cellStyle name="표준 313 2 2" xfId="1054"/>
    <cellStyle name="표준 314" xfId="400"/>
    <cellStyle name="표준 314 2" xfId="401"/>
    <cellStyle name="표준 314 2 2" xfId="1055"/>
    <cellStyle name="표준 315" xfId="402"/>
    <cellStyle name="표준 315 2" xfId="403"/>
    <cellStyle name="표준 315 2 2" xfId="1056"/>
    <cellStyle name="표준 316" xfId="404"/>
    <cellStyle name="표준 316 2" xfId="405"/>
    <cellStyle name="표준 316 2 2" xfId="1057"/>
    <cellStyle name="표준 317" xfId="406"/>
    <cellStyle name="표준 317 2" xfId="407"/>
    <cellStyle name="표준 317 2 2" xfId="1058"/>
    <cellStyle name="표준 318" xfId="408"/>
    <cellStyle name="표준 318 2" xfId="409"/>
    <cellStyle name="표준 318 2 2" xfId="1059"/>
    <cellStyle name="표준 319" xfId="410"/>
    <cellStyle name="표준 319 2" xfId="411"/>
    <cellStyle name="표준 319 2 2" xfId="1060"/>
    <cellStyle name="표준 32" xfId="412"/>
    <cellStyle name="표준 32 2" xfId="413"/>
    <cellStyle name="표준 32 2 2" xfId="1061"/>
    <cellStyle name="표준 320" xfId="414"/>
    <cellStyle name="표준 320 2" xfId="415"/>
    <cellStyle name="표준 320 2 2" xfId="1062"/>
    <cellStyle name="표준 321" xfId="416"/>
    <cellStyle name="표준 321 2" xfId="417"/>
    <cellStyle name="표준 321 2 2" xfId="1063"/>
    <cellStyle name="표준 322" xfId="418"/>
    <cellStyle name="표준 322 2" xfId="419"/>
    <cellStyle name="표준 322 2 2" xfId="1064"/>
    <cellStyle name="표준 323" xfId="420"/>
    <cellStyle name="표준 323 2" xfId="421"/>
    <cellStyle name="표준 323 2 2" xfId="1065"/>
    <cellStyle name="표준 324" xfId="422"/>
    <cellStyle name="표준 324 2" xfId="423"/>
    <cellStyle name="표준 324 2 2" xfId="1066"/>
    <cellStyle name="표준 325" xfId="424"/>
    <cellStyle name="표준 325 2" xfId="425"/>
    <cellStyle name="표준 325 2 2" xfId="1067"/>
    <cellStyle name="표준 326" xfId="426"/>
    <cellStyle name="표준 326 2" xfId="427"/>
    <cellStyle name="표준 326 2 2" xfId="1068"/>
    <cellStyle name="표준 327" xfId="428"/>
    <cellStyle name="표준 327 2" xfId="429"/>
    <cellStyle name="표준 327 2 2" xfId="1069"/>
    <cellStyle name="표준 328" xfId="430"/>
    <cellStyle name="표준 329" xfId="431"/>
    <cellStyle name="표준 33" xfId="432"/>
    <cellStyle name="표준 33 2" xfId="433"/>
    <cellStyle name="표준 33 2 2" xfId="1070"/>
    <cellStyle name="표준 330" xfId="434"/>
    <cellStyle name="표준 331" xfId="435"/>
    <cellStyle name="표준 332" xfId="436"/>
    <cellStyle name="표준 333" xfId="437"/>
    <cellStyle name="표준 334" xfId="438"/>
    <cellStyle name="표준 335" xfId="439"/>
    <cellStyle name="표준 335 2" xfId="440"/>
    <cellStyle name="표준 336" xfId="441"/>
    <cellStyle name="표준 337" xfId="442"/>
    <cellStyle name="표준 338" xfId="443"/>
    <cellStyle name="표준 339" xfId="444"/>
    <cellStyle name="표준 34" xfId="445"/>
    <cellStyle name="표준 34 2" xfId="446"/>
    <cellStyle name="표준 34 2 2" xfId="1071"/>
    <cellStyle name="표준 340" xfId="447"/>
    <cellStyle name="표준 341" xfId="448"/>
    <cellStyle name="표준 342" xfId="449"/>
    <cellStyle name="표준 343" xfId="450"/>
    <cellStyle name="표준 344" xfId="451"/>
    <cellStyle name="표준 345" xfId="452"/>
    <cellStyle name="표준 346" xfId="453"/>
    <cellStyle name="표준 347" xfId="454"/>
    <cellStyle name="표준 348" xfId="455"/>
    <cellStyle name="표준 349" xfId="456"/>
    <cellStyle name="표준 35" xfId="457"/>
    <cellStyle name="표준 35 2" xfId="458"/>
    <cellStyle name="표준 35 2 2" xfId="1072"/>
    <cellStyle name="표준 350" xfId="459"/>
    <cellStyle name="표준 351" xfId="460"/>
    <cellStyle name="표준 352" xfId="461"/>
    <cellStyle name="표준 353" xfId="462"/>
    <cellStyle name="표준 354" xfId="463"/>
    <cellStyle name="표준 355" xfId="464"/>
    <cellStyle name="표준 356" xfId="1412"/>
    <cellStyle name="표준 357" xfId="1413"/>
    <cellStyle name="표준 36" xfId="465"/>
    <cellStyle name="표준 36 2" xfId="466"/>
    <cellStyle name="표준 36 2 2" xfId="1073"/>
    <cellStyle name="표준 37" xfId="467"/>
    <cellStyle name="표준 37 2" xfId="468"/>
    <cellStyle name="표준 37 2 2" xfId="1074"/>
    <cellStyle name="표준 38" xfId="469"/>
    <cellStyle name="표준 38 2" xfId="470"/>
    <cellStyle name="표준 38 2 2" xfId="471"/>
    <cellStyle name="표준 38 2 2 2" xfId="1075"/>
    <cellStyle name="표준 38 3" xfId="472"/>
    <cellStyle name="표준 38 3 2" xfId="473"/>
    <cellStyle name="표준 38 3 2 2" xfId="1076"/>
    <cellStyle name="표준 38 4" xfId="474"/>
    <cellStyle name="표준 38 4 2" xfId="475"/>
    <cellStyle name="표준 38 4 2 2" xfId="1077"/>
    <cellStyle name="표준 38 5" xfId="476"/>
    <cellStyle name="표준 38 5 2" xfId="1078"/>
    <cellStyle name="표준 39" xfId="477"/>
    <cellStyle name="표준 39 2" xfId="478"/>
    <cellStyle name="표준 39 2 2" xfId="479"/>
    <cellStyle name="표준 39 2 2 2" xfId="1079"/>
    <cellStyle name="표준 39 3" xfId="480"/>
    <cellStyle name="표준 39 3 2" xfId="481"/>
    <cellStyle name="표준 39 3 2 2" xfId="1080"/>
    <cellStyle name="표준 39 4" xfId="482"/>
    <cellStyle name="표준 39 4 2" xfId="483"/>
    <cellStyle name="표준 39 4 2 2" xfId="1081"/>
    <cellStyle name="표준 39 5" xfId="484"/>
    <cellStyle name="표준 39 5 2" xfId="1082"/>
    <cellStyle name="표준 4" xfId="485"/>
    <cellStyle name="표준 4 2" xfId="486"/>
    <cellStyle name="표준 4 2 2" xfId="1083"/>
    <cellStyle name="표준 4 3" xfId="487"/>
    <cellStyle name="표준 4 3 2" xfId="1084"/>
    <cellStyle name="표준 4 4" xfId="915"/>
    <cellStyle name="표준 4 5" xfId="1229"/>
    <cellStyle name="표준 4 6" xfId="1367"/>
    <cellStyle name="표준 4 6 2" xfId="1461"/>
    <cellStyle name="표준 40" xfId="488"/>
    <cellStyle name="표준 40 2" xfId="489"/>
    <cellStyle name="표준 40 2 2" xfId="490"/>
    <cellStyle name="표준 40 2 2 2" xfId="1085"/>
    <cellStyle name="표준 40 3" xfId="491"/>
    <cellStyle name="표준 40 3 2" xfId="492"/>
    <cellStyle name="표준 40 3 2 2" xfId="1086"/>
    <cellStyle name="표준 40 4" xfId="493"/>
    <cellStyle name="표준 40 4 2" xfId="494"/>
    <cellStyle name="표준 40 4 2 2" xfId="1087"/>
    <cellStyle name="표준 40 5" xfId="495"/>
    <cellStyle name="표준 40 5 2" xfId="1088"/>
    <cellStyle name="표준 41" xfId="496"/>
    <cellStyle name="표준 41 2" xfId="497"/>
    <cellStyle name="표준 41 2 2" xfId="498"/>
    <cellStyle name="표준 41 2 2 2" xfId="1089"/>
    <cellStyle name="표준 41 3" xfId="499"/>
    <cellStyle name="표준 41 3 2" xfId="500"/>
    <cellStyle name="표준 41 3 2 2" xfId="1090"/>
    <cellStyle name="표준 41 4" xfId="501"/>
    <cellStyle name="표준 41 4 2" xfId="502"/>
    <cellStyle name="표준 41 4 2 2" xfId="1091"/>
    <cellStyle name="표준 41 5" xfId="503"/>
    <cellStyle name="표준 41 5 2" xfId="1092"/>
    <cellStyle name="표준 42" xfId="504"/>
    <cellStyle name="표준 42 2" xfId="505"/>
    <cellStyle name="표준 42 2 2" xfId="506"/>
    <cellStyle name="표준 42 2 2 2" xfId="1093"/>
    <cellStyle name="표준 42 3" xfId="507"/>
    <cellStyle name="표준 42 3 2" xfId="508"/>
    <cellStyle name="표준 42 3 2 2" xfId="1094"/>
    <cellStyle name="표준 42 4" xfId="509"/>
    <cellStyle name="표준 42 4 2" xfId="510"/>
    <cellStyle name="표준 42 4 2 2" xfId="1095"/>
    <cellStyle name="표준 42 5" xfId="511"/>
    <cellStyle name="표준 42 5 2" xfId="1096"/>
    <cellStyle name="표준 43" xfId="512"/>
    <cellStyle name="표준 43 2" xfId="513"/>
    <cellStyle name="표준 43 2 2" xfId="1097"/>
    <cellStyle name="표준 44" xfId="514"/>
    <cellStyle name="표준 44 2" xfId="515"/>
    <cellStyle name="표준 44 2 2" xfId="516"/>
    <cellStyle name="표준 44 2 2 2" xfId="1098"/>
    <cellStyle name="표준 44 3" xfId="517"/>
    <cellStyle name="표준 44 3 2" xfId="518"/>
    <cellStyle name="표준 44 3 2 2" xfId="1099"/>
    <cellStyle name="표준 44 4" xfId="519"/>
    <cellStyle name="표준 44 4 2" xfId="520"/>
    <cellStyle name="표준 44 4 2 2" xfId="1100"/>
    <cellStyle name="표준 44 5" xfId="521"/>
    <cellStyle name="표준 44 5 2" xfId="1101"/>
    <cellStyle name="표준 45" xfId="522"/>
    <cellStyle name="표준 45 2" xfId="523"/>
    <cellStyle name="표준 45 2 2" xfId="524"/>
    <cellStyle name="표준 45 2 2 2" xfId="1102"/>
    <cellStyle name="표준 45 3" xfId="525"/>
    <cellStyle name="표준 45 3 2" xfId="526"/>
    <cellStyle name="표준 45 3 2 2" xfId="1103"/>
    <cellStyle name="표준 45 4" xfId="527"/>
    <cellStyle name="표준 45 4 2" xfId="528"/>
    <cellStyle name="표준 45 4 2 2" xfId="1104"/>
    <cellStyle name="표준 45 5" xfId="529"/>
    <cellStyle name="표준 45 5 2" xfId="1105"/>
    <cellStyle name="표준 46" xfId="530"/>
    <cellStyle name="표준 46 2" xfId="531"/>
    <cellStyle name="표준 46 2 2" xfId="532"/>
    <cellStyle name="표준 46 2 2 2" xfId="1106"/>
    <cellStyle name="표준 46 3" xfId="533"/>
    <cellStyle name="표준 46 3 2" xfId="534"/>
    <cellStyle name="표준 46 3 2 2" xfId="1107"/>
    <cellStyle name="표준 46 4" xfId="535"/>
    <cellStyle name="표준 46 4 2" xfId="536"/>
    <cellStyle name="표준 46 4 2 2" xfId="1108"/>
    <cellStyle name="표준 46 5" xfId="537"/>
    <cellStyle name="표준 46 5 2" xfId="1109"/>
    <cellStyle name="표준 47" xfId="538"/>
    <cellStyle name="표준 47 2" xfId="539"/>
    <cellStyle name="표준 47 2 2" xfId="540"/>
    <cellStyle name="표준 47 2 2 2" xfId="1110"/>
    <cellStyle name="표준 47 3" xfId="541"/>
    <cellStyle name="표준 47 3 2" xfId="542"/>
    <cellStyle name="표준 47 3 2 2" xfId="1111"/>
    <cellStyle name="표준 47 4" xfId="543"/>
    <cellStyle name="표준 47 4 2" xfId="544"/>
    <cellStyle name="표준 47 4 2 2" xfId="1112"/>
    <cellStyle name="표준 47 5" xfId="545"/>
    <cellStyle name="표준 47 5 2" xfId="1113"/>
    <cellStyle name="표준 48" xfId="546"/>
    <cellStyle name="표준 48 2" xfId="547"/>
    <cellStyle name="표준 48 2 2" xfId="548"/>
    <cellStyle name="표준 48 2 2 2" xfId="1114"/>
    <cellStyle name="표준 48 3" xfId="549"/>
    <cellStyle name="표준 48 3 2" xfId="550"/>
    <cellStyle name="표준 48 3 2 2" xfId="1115"/>
    <cellStyle name="표준 48 4" xfId="551"/>
    <cellStyle name="표준 48 4 2" xfId="552"/>
    <cellStyle name="표준 48 4 2 2" xfId="1116"/>
    <cellStyle name="표준 48 5" xfId="553"/>
    <cellStyle name="표준 48 5 2" xfId="1117"/>
    <cellStyle name="표준 49" xfId="554"/>
    <cellStyle name="표준 49 2" xfId="555"/>
    <cellStyle name="표준 49 2 2" xfId="556"/>
    <cellStyle name="표준 49 2 2 2" xfId="1118"/>
    <cellStyle name="표준 49 3" xfId="557"/>
    <cellStyle name="표준 49 3 2" xfId="558"/>
    <cellStyle name="표준 49 3 2 2" xfId="1119"/>
    <cellStyle name="표준 49 4" xfId="559"/>
    <cellStyle name="표준 49 4 2" xfId="560"/>
    <cellStyle name="표준 49 4 2 2" xfId="1120"/>
    <cellStyle name="표준 49 5" xfId="561"/>
    <cellStyle name="표준 49 5 2" xfId="1121"/>
    <cellStyle name="표준 5" xfId="562"/>
    <cellStyle name="표준 5 2" xfId="563"/>
    <cellStyle name="표준 5 2 2" xfId="564"/>
    <cellStyle name="표준 5 2 3" xfId="916"/>
    <cellStyle name="표준 5 3" xfId="1122"/>
    <cellStyle name="표준 5 3 2" xfId="1410"/>
    <cellStyle name="표준 5 4" xfId="1345"/>
    <cellStyle name="표준 50" xfId="565"/>
    <cellStyle name="표준 50 2" xfId="566"/>
    <cellStyle name="표준 50 2 2" xfId="567"/>
    <cellStyle name="표준 50 2 2 2" xfId="1123"/>
    <cellStyle name="표준 50 3" xfId="568"/>
    <cellStyle name="표준 50 3 2" xfId="569"/>
    <cellStyle name="표준 50 3 2 2" xfId="1124"/>
    <cellStyle name="표준 50 4" xfId="570"/>
    <cellStyle name="표준 50 4 2" xfId="571"/>
    <cellStyle name="표준 50 4 2 2" xfId="1125"/>
    <cellStyle name="표준 50 5" xfId="572"/>
    <cellStyle name="표준 50 5 2" xfId="1126"/>
    <cellStyle name="표준 51" xfId="573"/>
    <cellStyle name="표준 51 2" xfId="574"/>
    <cellStyle name="표준 51 2 2" xfId="575"/>
    <cellStyle name="표준 51 2 2 2" xfId="1127"/>
    <cellStyle name="표준 51 3" xfId="576"/>
    <cellStyle name="표준 51 3 2" xfId="577"/>
    <cellStyle name="표준 51 3 2 2" xfId="1128"/>
    <cellStyle name="표준 51 4" xfId="578"/>
    <cellStyle name="표준 51 4 2" xfId="579"/>
    <cellStyle name="표준 51 4 2 2" xfId="1129"/>
    <cellStyle name="표준 51 5" xfId="580"/>
    <cellStyle name="표준 51 5 2" xfId="1130"/>
    <cellStyle name="표준 52" xfId="581"/>
    <cellStyle name="표준 52 2" xfId="582"/>
    <cellStyle name="표준 52 2 2" xfId="583"/>
    <cellStyle name="표준 52 2 2 2" xfId="1131"/>
    <cellStyle name="표준 52 3" xfId="584"/>
    <cellStyle name="표준 52 3 2" xfId="585"/>
    <cellStyle name="표준 52 3 2 2" xfId="1132"/>
    <cellStyle name="표준 52 4" xfId="586"/>
    <cellStyle name="표준 52 4 2" xfId="587"/>
    <cellStyle name="표준 52 4 2 2" xfId="1133"/>
    <cellStyle name="표준 52 5" xfId="588"/>
    <cellStyle name="표준 52 5 2" xfId="1134"/>
    <cellStyle name="표준 53" xfId="589"/>
    <cellStyle name="표준 53 2" xfId="590"/>
    <cellStyle name="표준 53 2 2" xfId="591"/>
    <cellStyle name="표준 53 2 2 2" xfId="1135"/>
    <cellStyle name="표준 53 3" xfId="592"/>
    <cellStyle name="표준 53 3 2" xfId="593"/>
    <cellStyle name="표준 53 3 2 2" xfId="1136"/>
    <cellStyle name="표준 53 4" xfId="594"/>
    <cellStyle name="표준 53 4 2" xfId="595"/>
    <cellStyle name="표준 53 4 2 2" xfId="1138"/>
    <cellStyle name="표준 53 5" xfId="596"/>
    <cellStyle name="표준 53 5 2" xfId="1139"/>
    <cellStyle name="표준 54" xfId="597"/>
    <cellStyle name="표준 54 2" xfId="598"/>
    <cellStyle name="표준 54 2 2" xfId="599"/>
    <cellStyle name="표준 54 2 2 2" xfId="1141"/>
    <cellStyle name="표준 54 3" xfId="600"/>
    <cellStyle name="표준 54 3 2" xfId="601"/>
    <cellStyle name="표준 54 3 2 2" xfId="1142"/>
    <cellStyle name="표준 54 4" xfId="602"/>
    <cellStyle name="표준 54 4 2" xfId="603"/>
    <cellStyle name="표준 54 4 2 2" xfId="1143"/>
    <cellStyle name="표준 54 5" xfId="604"/>
    <cellStyle name="표준 54 5 2" xfId="1144"/>
    <cellStyle name="표준 55" xfId="605"/>
    <cellStyle name="표준 55 2" xfId="606"/>
    <cellStyle name="표준 55 2 2" xfId="607"/>
    <cellStyle name="표준 55 2 2 2" xfId="1145"/>
    <cellStyle name="표준 55 3" xfId="608"/>
    <cellStyle name="표준 55 3 2" xfId="609"/>
    <cellStyle name="표준 55 3 2 2" xfId="1146"/>
    <cellStyle name="표준 55 4" xfId="610"/>
    <cellStyle name="표준 55 4 2" xfId="611"/>
    <cellStyle name="표준 55 4 2 2" xfId="1147"/>
    <cellStyle name="표준 55 5" xfId="612"/>
    <cellStyle name="표준 55 5 2" xfId="1148"/>
    <cellStyle name="표준 56" xfId="613"/>
    <cellStyle name="표준 56 2" xfId="614"/>
    <cellStyle name="표준 56 2 2" xfId="615"/>
    <cellStyle name="표준 56 2 2 2" xfId="1149"/>
    <cellStyle name="표준 56 3" xfId="616"/>
    <cellStyle name="표준 56 3 2" xfId="617"/>
    <cellStyle name="표준 56 3 2 2" xfId="1150"/>
    <cellStyle name="표준 56 4" xfId="618"/>
    <cellStyle name="표준 56 4 2" xfId="619"/>
    <cellStyle name="표준 56 4 2 2" xfId="1151"/>
    <cellStyle name="표준 56 5" xfId="620"/>
    <cellStyle name="표준 56 5 2" xfId="1152"/>
    <cellStyle name="표준 57" xfId="621"/>
    <cellStyle name="표준 57 2" xfId="622"/>
    <cellStyle name="표준 57 2 2" xfId="623"/>
    <cellStyle name="표준 57 2 2 2" xfId="1153"/>
    <cellStyle name="표준 57 3" xfId="624"/>
    <cellStyle name="표준 57 3 2" xfId="625"/>
    <cellStyle name="표준 57 3 2 2" xfId="1154"/>
    <cellStyle name="표준 57 4" xfId="626"/>
    <cellStyle name="표준 57 4 2" xfId="627"/>
    <cellStyle name="표준 57 4 2 2" xfId="1155"/>
    <cellStyle name="표준 57 5" xfId="628"/>
    <cellStyle name="표준 57 5 2" xfId="1156"/>
    <cellStyle name="표준 58" xfId="629"/>
    <cellStyle name="표준 58 2" xfId="630"/>
    <cellStyle name="표준 58 2 2" xfId="631"/>
    <cellStyle name="표준 58 2 2 2" xfId="1157"/>
    <cellStyle name="표준 58 3" xfId="632"/>
    <cellStyle name="표준 58 3 2" xfId="633"/>
    <cellStyle name="표준 58 3 2 2" xfId="1158"/>
    <cellStyle name="표준 58 4" xfId="634"/>
    <cellStyle name="표준 58 4 2" xfId="635"/>
    <cellStyle name="표준 58 4 2 2" xfId="1159"/>
    <cellStyle name="표준 58 5" xfId="636"/>
    <cellStyle name="표준 58 5 2" xfId="1160"/>
    <cellStyle name="표준 59" xfId="637"/>
    <cellStyle name="표준 59 2" xfId="638"/>
    <cellStyle name="표준 59 2 2" xfId="639"/>
    <cellStyle name="표준 59 2 2 2" xfId="1161"/>
    <cellStyle name="표준 59 3" xfId="640"/>
    <cellStyle name="표준 59 3 2" xfId="641"/>
    <cellStyle name="표준 59 3 2 2" xfId="1163"/>
    <cellStyle name="표준 59 4" xfId="642"/>
    <cellStyle name="표준 59 4 2" xfId="643"/>
    <cellStyle name="표준 59 4 2 2" xfId="1164"/>
    <cellStyle name="표준 59 5" xfId="644"/>
    <cellStyle name="표준 59 5 2" xfId="1165"/>
    <cellStyle name="표준 6" xfId="645"/>
    <cellStyle name="표준 6 2" xfId="646"/>
    <cellStyle name="표준 6 2 2" xfId="1166"/>
    <cellStyle name="표준 6 3" xfId="917"/>
    <cellStyle name="표준 60" xfId="647"/>
    <cellStyle name="표준 60 2" xfId="648"/>
    <cellStyle name="표준 60 2 2" xfId="649"/>
    <cellStyle name="표준 60 2 2 2" xfId="1167"/>
    <cellStyle name="표준 60 3" xfId="650"/>
    <cellStyle name="표준 60 3 2" xfId="651"/>
    <cellStyle name="표준 60 3 2 2" xfId="1168"/>
    <cellStyle name="표준 60 4" xfId="652"/>
    <cellStyle name="표준 60 4 2" xfId="653"/>
    <cellStyle name="표준 60 4 2 2" xfId="1169"/>
    <cellStyle name="표준 60 5" xfId="654"/>
    <cellStyle name="표준 60 5 2" xfId="1170"/>
    <cellStyle name="표준 61" xfId="655"/>
    <cellStyle name="표준 61 2" xfId="656"/>
    <cellStyle name="표준 61 2 2" xfId="657"/>
    <cellStyle name="표준 61 2 2 2" xfId="1171"/>
    <cellStyle name="표준 61 3" xfId="658"/>
    <cellStyle name="표준 61 3 2" xfId="659"/>
    <cellStyle name="표준 61 3 2 2" xfId="1172"/>
    <cellStyle name="표준 61 4" xfId="660"/>
    <cellStyle name="표준 61 4 2" xfId="661"/>
    <cellStyle name="표준 61 4 2 2" xfId="1173"/>
    <cellStyle name="표준 61 5" xfId="662"/>
    <cellStyle name="표준 61 5 2" xfId="1174"/>
    <cellStyle name="표준 62" xfId="663"/>
    <cellStyle name="표준 62 2" xfId="664"/>
    <cellStyle name="표준 62 2 2" xfId="1175"/>
    <cellStyle name="표준 63" xfId="665"/>
    <cellStyle name="표준 63 2" xfId="666"/>
    <cellStyle name="표준 63 2 2" xfId="1176"/>
    <cellStyle name="표준 64" xfId="667"/>
    <cellStyle name="표준 64 2" xfId="668"/>
    <cellStyle name="표준 64 2 2" xfId="1177"/>
    <cellStyle name="표준 65" xfId="669"/>
    <cellStyle name="표준 65 2" xfId="670"/>
    <cellStyle name="표준 65 2 2" xfId="1178"/>
    <cellStyle name="표준 66" xfId="671"/>
    <cellStyle name="표준 66 2" xfId="672"/>
    <cellStyle name="표준 66 2 2" xfId="1179"/>
    <cellStyle name="표준 67" xfId="673"/>
    <cellStyle name="표준 67 2" xfId="674"/>
    <cellStyle name="표준 67 2 2" xfId="1180"/>
    <cellStyle name="표준 68" xfId="675"/>
    <cellStyle name="표준 68 2" xfId="676"/>
    <cellStyle name="표준 68 2 2" xfId="1181"/>
    <cellStyle name="표준 69" xfId="677"/>
    <cellStyle name="표준 69 2" xfId="678"/>
    <cellStyle name="표준 69 2 2" xfId="1182"/>
    <cellStyle name="표준 7" xfId="679"/>
    <cellStyle name="표준 7 2" xfId="680"/>
    <cellStyle name="표준 7 2 2" xfId="681"/>
    <cellStyle name="표준 7 3" xfId="918"/>
    <cellStyle name="표준 7 3 2" xfId="1183"/>
    <cellStyle name="표준 7 4" xfId="1368"/>
    <cellStyle name="표준 70" xfId="682"/>
    <cellStyle name="표준 70 2" xfId="683"/>
    <cellStyle name="표준 70 2 2" xfId="1184"/>
    <cellStyle name="표준 71" xfId="684"/>
    <cellStyle name="표준 71 2" xfId="685"/>
    <cellStyle name="표준 71 2 2" xfId="1185"/>
    <cellStyle name="표준 72" xfId="686"/>
    <cellStyle name="표준 72 2" xfId="687"/>
    <cellStyle name="표준 72 2 2" xfId="1186"/>
    <cellStyle name="표준 73" xfId="688"/>
    <cellStyle name="표준 73 2" xfId="689"/>
    <cellStyle name="표준 73 2 2" xfId="1187"/>
    <cellStyle name="표준 74" xfId="690"/>
    <cellStyle name="표준 74 2" xfId="691"/>
    <cellStyle name="표준 74 2 2" xfId="1188"/>
    <cellStyle name="표준 75" xfId="692"/>
    <cellStyle name="표준 75 2" xfId="693"/>
    <cellStyle name="표준 75 2 2" xfId="1189"/>
    <cellStyle name="표준 76" xfId="694"/>
    <cellStyle name="표준 76 2" xfId="695"/>
    <cellStyle name="표준 76 2 2" xfId="1190"/>
    <cellStyle name="표준 77" xfId="696"/>
    <cellStyle name="표준 77 2" xfId="697"/>
    <cellStyle name="표준 77 2 2" xfId="1191"/>
    <cellStyle name="표준 78" xfId="698"/>
    <cellStyle name="표준 78 2" xfId="699"/>
    <cellStyle name="표준 78 2 2" xfId="1192"/>
    <cellStyle name="표준 79" xfId="700"/>
    <cellStyle name="표준 79 2" xfId="701"/>
    <cellStyle name="표준 79 2 2" xfId="1193"/>
    <cellStyle name="표준 8" xfId="702"/>
    <cellStyle name="표준 8 2" xfId="703"/>
    <cellStyle name="표준 8 2 2" xfId="704"/>
    <cellStyle name="표준 8 2 3" xfId="1194"/>
    <cellStyle name="표준 8 3" xfId="705"/>
    <cellStyle name="표준 8 3 2" xfId="706"/>
    <cellStyle name="표준 8 3 3" xfId="1195"/>
    <cellStyle name="표준 8 4" xfId="919"/>
    <cellStyle name="표준 8 5" xfId="1352"/>
    <cellStyle name="표준 80" xfId="707"/>
    <cellStyle name="표준 80 2" xfId="708"/>
    <cellStyle name="표준 80 2 2" xfId="1196"/>
    <cellStyle name="표준 81" xfId="709"/>
    <cellStyle name="표준 81 2" xfId="710"/>
    <cellStyle name="표준 81 2 2" xfId="1197"/>
    <cellStyle name="표준 82" xfId="711"/>
    <cellStyle name="표준 82 2" xfId="712"/>
    <cellStyle name="표준 82 2 2" xfId="1198"/>
    <cellStyle name="표준 83" xfId="713"/>
    <cellStyle name="표준 83 2" xfId="714"/>
    <cellStyle name="표준 83 2 2" xfId="1199"/>
    <cellStyle name="표준 84" xfId="715"/>
    <cellStyle name="표준 84 2" xfId="716"/>
    <cellStyle name="표준 84 2 2" xfId="1200"/>
    <cellStyle name="표준 85" xfId="717"/>
    <cellStyle name="표준 85 2" xfId="718"/>
    <cellStyle name="표준 85 2 2" xfId="1201"/>
    <cellStyle name="표준 86" xfId="719"/>
    <cellStyle name="표준 86 2" xfId="720"/>
    <cellStyle name="표준 86 2 2" xfId="1202"/>
    <cellStyle name="표준 87" xfId="721"/>
    <cellStyle name="표준 87 2" xfId="722"/>
    <cellStyle name="표준 87 2 2" xfId="1203"/>
    <cellStyle name="표준 88" xfId="723"/>
    <cellStyle name="표준 88 2" xfId="724"/>
    <cellStyle name="표준 88 2 2" xfId="1204"/>
    <cellStyle name="표준 89" xfId="725"/>
    <cellStyle name="표준 89 2" xfId="726"/>
    <cellStyle name="표준 89 2 2" xfId="1205"/>
    <cellStyle name="표준 9" xfId="727"/>
    <cellStyle name="표준 9 2" xfId="728"/>
    <cellStyle name="표준 9 3" xfId="920"/>
    <cellStyle name="표준 9 3 2" xfId="1207"/>
    <cellStyle name="표준 9 4" xfId="1206"/>
    <cellStyle name="표준 9 5" xfId="1411"/>
    <cellStyle name="표준 90" xfId="729"/>
    <cellStyle name="표준 90 2" xfId="730"/>
    <cellStyle name="표준 90 2 2" xfId="1208"/>
    <cellStyle name="표준 91" xfId="731"/>
    <cellStyle name="표준 91 2" xfId="732"/>
    <cellStyle name="표준 91 2 2" xfId="1209"/>
    <cellStyle name="표준 92" xfId="733"/>
    <cellStyle name="표준 92 2" xfId="734"/>
    <cellStyle name="표준 92 2 2" xfId="1210"/>
    <cellStyle name="표준 93" xfId="735"/>
    <cellStyle name="표준 93 2" xfId="736"/>
    <cellStyle name="표준 93 2 2" xfId="1211"/>
    <cellStyle name="표준 94" xfId="737"/>
    <cellStyle name="표준 94 2" xfId="738"/>
    <cellStyle name="표준 94 2 2" xfId="1212"/>
    <cellStyle name="표준 95" xfId="739"/>
    <cellStyle name="표준 95 2" xfId="740"/>
    <cellStyle name="표준 95 2 2" xfId="1213"/>
    <cellStyle name="표준 96" xfId="741"/>
    <cellStyle name="표준 96 2" xfId="742"/>
    <cellStyle name="표준 96 2 2" xfId="1214"/>
    <cellStyle name="표준 97" xfId="743"/>
    <cellStyle name="표준 97 2" xfId="744"/>
    <cellStyle name="표준 97 2 2" xfId="1215"/>
    <cellStyle name="표준 98" xfId="745"/>
    <cellStyle name="표준 98 2" xfId="746"/>
    <cellStyle name="표준 98 2 2" xfId="1216"/>
    <cellStyle name="표준 99" xfId="747"/>
    <cellStyle name="표준 99 2" xfId="748"/>
    <cellStyle name="표준 99 2 2" xfId="1217"/>
    <cellStyle name="표준_1.1영동군과거인구 및 행정구역 장래계획인구-8" xfId="1347"/>
    <cellStyle name="표준_1.2계획하수량" xfId="1743"/>
    <cellStyle name="표준_1.POPULATION(080325)" xfId="762"/>
    <cellStyle name="표준_13 .환경" xfId="1230"/>
    <cellStyle name="標準_Akia(F）-8" xfId="749"/>
    <cellStyle name="표준_Book1" xfId="750"/>
    <cellStyle name="표준_HIServlet" xfId="1738"/>
    <cellStyle name="표준_기초현황" xfId="1741"/>
    <cellStyle name="표준_상수도 원단위추정(동지역)" xfId="751"/>
    <cellStyle name="표준_서산시" xfId="1742"/>
    <cellStyle name="표준_실험분석일지(금왕0906)" xfId="1739"/>
    <cellStyle name="표준_인구추정" xfId="1346"/>
    <cellStyle name="표준_인구추정(공주시)" xfId="752"/>
    <cellStyle name="표준_전기가스수도1" xfId="1341"/>
    <cellStyle name="표준JKDH" xfId="753"/>
    <cellStyle name="하이퍼링크 2" xfId="754"/>
    <cellStyle name="하이퍼링크 2 2" xfId="755"/>
    <cellStyle name="하이퍼링크 2 3" xfId="1218"/>
    <cellStyle name="하이퍼링크 3" xfId="1219"/>
    <cellStyle name="하이퍼링크 4" xfId="1220"/>
    <cellStyle name="합산" xfId="756"/>
    <cellStyle name="합산 2" xfId="757"/>
    <cellStyle name="합산 2 2" xfId="1221"/>
    <cellStyle name="화폐기호" xfId="758"/>
    <cellStyle name="화폐기호 2" xfId="759"/>
    <cellStyle name="화폐기호 2 2" xfId="1222"/>
    <cellStyle name="화폐기호0" xfId="760"/>
    <cellStyle name="화폐기호0 2" xfId="761"/>
    <cellStyle name="화폐기호0 2 2" xfId="1223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000066"/>
      <color rgb="FFFFFFCC"/>
      <color rgb="FF0000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1.xml"/><Relationship Id="rId86" Type="http://schemas.openxmlformats.org/officeDocument/2006/relationships/externalLink" Target="externalLinks/externalLink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20969601022095"/>
          <c:y val="2.7368421052631327E-2"/>
          <c:w val="0.74497298948742519"/>
          <c:h val="0.843379637246836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'2.음성군급수총괄'!$D$4</c:f>
              <c:strCache>
                <c:ptCount val="1"/>
                <c:pt idx="0">
                  <c:v>급수인구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Pt>
            <c:idx val="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effectLst/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</c:dPt>
          <c:cat>
            <c:strRef>
              <c:f>'2.음성군급수총괄'!$A$6:$B$15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'2.음성군급수총괄'!$D$6:$D$15</c:f>
              <c:numCache>
                <c:formatCode>_(* #,##0_);_(* \(#,##0\);_(* "-"_);_(@_)</c:formatCode>
                <c:ptCount val="10"/>
                <c:pt idx="0">
                  <c:v>54773</c:v>
                </c:pt>
                <c:pt idx="1">
                  <c:v>56144</c:v>
                </c:pt>
                <c:pt idx="2">
                  <c:v>59217</c:v>
                </c:pt>
                <c:pt idx="3">
                  <c:v>63816</c:v>
                </c:pt>
                <c:pt idx="4">
                  <c:v>66068</c:v>
                </c:pt>
                <c:pt idx="5">
                  <c:v>66068</c:v>
                </c:pt>
                <c:pt idx="6">
                  <c:v>73355</c:v>
                </c:pt>
                <c:pt idx="7">
                  <c:v>76988</c:v>
                </c:pt>
                <c:pt idx="8">
                  <c:v>79162</c:v>
                </c:pt>
                <c:pt idx="9">
                  <c:v>87367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0"/>
        <c:overlap val="-11"/>
        <c:axId val="352396416"/>
        <c:axId val="352398720"/>
      </c:barChart>
      <c:lineChart>
        <c:grouping val="standard"/>
        <c:varyColors val="0"/>
        <c:ser>
          <c:idx val="2"/>
          <c:order val="1"/>
          <c:tx>
            <c:strRef>
              <c:f>'2.음성군급수총괄'!$G$4</c:f>
              <c:strCache>
                <c:ptCount val="1"/>
                <c:pt idx="0">
                  <c:v>급수량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rgbClr val="4F81BD">
                    <a:lumMod val="50000"/>
                  </a:srgbClr>
                </a:solidFill>
              </a:ln>
              <a:effectLst>
                <a:innerShdw blurRad="63500" dist="50800" dir="2700000">
                  <a:schemeClr val="bg1">
                    <a:alpha val="50000"/>
                  </a:schemeClr>
                </a:innerShdw>
              </a:effectLst>
            </c:spPr>
          </c:marker>
          <c:cat>
            <c:strLit>
              <c:ptCount val="10"/>
              <c:pt idx="0">
                <c:v>2001년 0</c:v>
              </c:pt>
              <c:pt idx="1">
                <c:v>2002년 0</c:v>
              </c:pt>
              <c:pt idx="2">
                <c:v>2003년 0</c:v>
              </c:pt>
              <c:pt idx="3">
                <c:v>2004년 0</c:v>
              </c:pt>
              <c:pt idx="4">
                <c:v>2005년 0</c:v>
              </c:pt>
              <c:pt idx="5">
                <c:v>2006년 0</c:v>
              </c:pt>
              <c:pt idx="6">
                <c:v>2007년 0</c:v>
              </c:pt>
              <c:pt idx="7">
                <c:v>2008년 0</c:v>
              </c:pt>
              <c:pt idx="8">
                <c:v>2009년 0</c:v>
              </c:pt>
              <c:pt idx="9">
                <c:v>2010년 0</c:v>
              </c:pt>
            </c:strLit>
          </c:cat>
          <c:val>
            <c:numRef>
              <c:f>'2.음성군급수총괄'!$G$6:$G$15</c:f>
              <c:numCache>
                <c:formatCode>_(* #,##0_);_(* \(#,##0\);_(* "-"_);_(@_)</c:formatCode>
                <c:ptCount val="10"/>
                <c:pt idx="0">
                  <c:v>20342</c:v>
                </c:pt>
                <c:pt idx="1">
                  <c:v>21838</c:v>
                </c:pt>
                <c:pt idx="2">
                  <c:v>25182</c:v>
                </c:pt>
                <c:pt idx="3">
                  <c:v>27183</c:v>
                </c:pt>
                <c:pt idx="4">
                  <c:v>27456</c:v>
                </c:pt>
                <c:pt idx="5">
                  <c:v>30502</c:v>
                </c:pt>
                <c:pt idx="6">
                  <c:v>26607</c:v>
                </c:pt>
                <c:pt idx="7">
                  <c:v>29861</c:v>
                </c:pt>
                <c:pt idx="8">
                  <c:v>30756</c:v>
                </c:pt>
                <c:pt idx="9">
                  <c:v>43683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400896"/>
        <c:axId val="352402432"/>
      </c:lineChart>
      <c:catAx>
        <c:axId val="35239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/>
                  <a:t>년 도</a:t>
                </a:r>
              </a:p>
            </c:rich>
          </c:tx>
          <c:layout>
            <c:manualLayout>
              <c:xMode val="edge"/>
              <c:yMode val="edge"/>
              <c:x val="0.87304142537738338"/>
              <c:y val="0.90678262232146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352398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398720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 sz="1000" b="1"/>
                  <a:t>급수인구</a:t>
                </a:r>
                <a:r>
                  <a:rPr lang="en-US" altLang="ko-KR" sz="1000" b="1"/>
                  <a:t>(</a:t>
                </a:r>
                <a:r>
                  <a:rPr lang="ko-KR" altLang="en-US" sz="1000" b="1"/>
                  <a:t>인</a:t>
                </a:r>
                <a:r>
                  <a:rPr lang="en-US" altLang="ko-KR" sz="1000" b="1"/>
                  <a:t>)</a:t>
                </a:r>
                <a:endParaRPr lang="ko-KR" altLang="en-US" sz="1000" b="1"/>
              </a:p>
            </c:rich>
          </c:tx>
          <c:layout>
            <c:manualLayout>
              <c:xMode val="edge"/>
              <c:yMode val="edge"/>
              <c:x val="1.5176297407268537E-2"/>
              <c:y val="0.282856583225604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352396416"/>
        <c:crosses val="autoZero"/>
        <c:crossBetween val="between"/>
      </c:valAx>
      <c:catAx>
        <c:axId val="35240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352402432"/>
        <c:crosses val="autoZero"/>
        <c:auto val="0"/>
        <c:lblAlgn val="ctr"/>
        <c:lblOffset val="100"/>
        <c:noMultiLvlLbl val="0"/>
      </c:catAx>
      <c:valAx>
        <c:axId val="352402432"/>
        <c:scaling>
          <c:orientation val="minMax"/>
        </c:scaling>
        <c:delete val="0"/>
        <c:axPos val="r"/>
        <c:title>
          <c:tx>
            <c:rich>
              <a:bodyPr rot="0" vert="wordArtVertRtl"/>
              <a:lstStyle/>
              <a:p>
                <a:pPr>
                  <a:defRPr sz="1000" b="1">
                    <a:latin typeface="HY울릉도L" pitchFamily="18" charset="-127"/>
                    <a:ea typeface="HY울릉도L" pitchFamily="18" charset="-127"/>
                  </a:defRPr>
                </a:pPr>
                <a:r>
                  <a:rPr lang="ko-KR" altLang="en-US" sz="1000" b="1">
                    <a:latin typeface="HY울릉도L" pitchFamily="18" charset="-127"/>
                    <a:ea typeface="HY울릉도L" pitchFamily="18" charset="-127"/>
                  </a:rPr>
                  <a:t>급수량</a:t>
                </a:r>
                <a:r>
                  <a:rPr lang="en-US" altLang="ko-KR" sz="1000" b="1">
                    <a:latin typeface="HY울릉도L" pitchFamily="18" charset="-127"/>
                    <a:ea typeface="HY울릉도L" pitchFamily="18" charset="-127"/>
                  </a:rPr>
                  <a:t>(</a:t>
                </a:r>
                <a:r>
                  <a:rPr lang="ko-KR" altLang="en-US" sz="1000" b="1">
                    <a:latin typeface="HY울릉도L" pitchFamily="18" charset="-127"/>
                    <a:ea typeface="HY울릉도L" pitchFamily="18" charset="-127"/>
                  </a:rPr>
                  <a:t>㎥</a:t>
                </a:r>
                <a:r>
                  <a:rPr lang="en-US" altLang="ko-KR" sz="1000" b="1">
                    <a:latin typeface="HY울릉도L" pitchFamily="18" charset="-127"/>
                    <a:ea typeface="HY울릉도L" pitchFamily="18" charset="-127"/>
                  </a:rPr>
                  <a:t>/</a:t>
                </a:r>
                <a:r>
                  <a:rPr lang="ko-KR" altLang="en-US" sz="1000" b="1">
                    <a:latin typeface="HY울릉도L" pitchFamily="18" charset="-127"/>
                    <a:ea typeface="HY울릉도L" pitchFamily="18" charset="-127"/>
                  </a:rPr>
                  <a:t>일</a:t>
                </a:r>
                <a:r>
                  <a:rPr lang="en-US" altLang="ko-KR" sz="1000" b="1">
                    <a:latin typeface="HY울릉도L" pitchFamily="18" charset="-127"/>
                    <a:ea typeface="HY울릉도L" pitchFamily="18" charset="-127"/>
                  </a:rPr>
                  <a:t>)</a:t>
                </a:r>
                <a:endParaRPr lang="ko-KR" altLang="en-US" sz="1000" b="1">
                  <a:latin typeface="HY울릉도L" pitchFamily="18" charset="-127"/>
                  <a:ea typeface="HY울릉도L" pitchFamily="18" charset="-127"/>
                </a:endParaRPr>
              </a:p>
            </c:rich>
          </c:tx>
          <c:layout>
            <c:manualLayout>
              <c:xMode val="edge"/>
              <c:yMode val="edge"/>
              <c:x val="0.95510297323945625"/>
              <c:y val="0.25258400908841616"/>
            </c:manualLayout>
          </c:layout>
          <c:overlay val="0"/>
        </c:title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HY울릉도L" pitchFamily="18" charset="-127"/>
                <a:ea typeface="HY울릉도L" pitchFamily="18" charset="-127"/>
              </a:defRPr>
            </a:pPr>
            <a:endParaRPr lang="ko-KR"/>
          </a:p>
        </c:txPr>
        <c:crossAx val="352400896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51806024246969"/>
          <c:y val="5.5830767422728869E-2"/>
          <c:w val="0.2497354497354497"/>
          <c:h val="6.32835820895522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HY울릉도M"/>
              <a:ea typeface="HY울릉도M"/>
              <a:cs typeface="HY울릉도M"/>
            </a:defRPr>
          </a:pPr>
          <a:endParaRPr lang="ko-KR"/>
        </a:p>
      </c:txPr>
    </c:legend>
    <c:plotVisOnly val="1"/>
    <c:dispBlanksAs val="gap"/>
    <c:showDLblsOverMax val="0"/>
  </c:chart>
  <c:spPr>
    <a:gradFill rotWithShape="0">
      <a:gsLst>
        <a:gs pos="100000">
          <a:srgbClr val="E1E1E1"/>
        </a:gs>
        <a:gs pos="0">
          <a:srgbClr val="FFFFFF"/>
        </a:gs>
        <a:gs pos="100000">
          <a:srgbClr val="C0C0C0"/>
        </a:gs>
      </a:gsLst>
      <a:lin ang="5400000" scaled="1"/>
    </a:gra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>
      <c:oddHeader>&amp;A</c:oddHeader>
      <c:oddFooter>Page &amp;P</c:oddFooter>
    </c:headerFooter>
    <c:pageMargins b="1" l="0.75000000000001088" r="0.75000000000001088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삼성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6.0498220640569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'3.면별급수현황'!$G$74:$G$83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388</c:v>
                </c:pt>
                <c:pt idx="3">
                  <c:v>217</c:v>
                </c:pt>
                <c:pt idx="4">
                  <c:v>627</c:v>
                </c:pt>
                <c:pt idx="5">
                  <c:v>1507</c:v>
                </c:pt>
                <c:pt idx="6">
                  <c:v>723</c:v>
                </c:pt>
                <c:pt idx="7">
                  <c:v>1323</c:v>
                </c:pt>
                <c:pt idx="8">
                  <c:v>1416</c:v>
                </c:pt>
                <c:pt idx="9">
                  <c:v>2637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'3.면별급수현황'!$I$74:$I$83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199</c:v>
                </c:pt>
                <c:pt idx="3">
                  <c:v>254</c:v>
                </c:pt>
                <c:pt idx="4">
                  <c:v>303</c:v>
                </c:pt>
                <c:pt idx="5">
                  <c:v>398</c:v>
                </c:pt>
                <c:pt idx="6">
                  <c:v>723</c:v>
                </c:pt>
                <c:pt idx="7">
                  <c:v>1322</c:v>
                </c:pt>
                <c:pt idx="8">
                  <c:v>1416</c:v>
                </c:pt>
                <c:pt idx="9">
                  <c:v>1478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838080"/>
        <c:axId val="361839616"/>
      </c:lineChart>
      <c:catAx>
        <c:axId val="361838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8396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839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838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431372549019607"/>
          <c:y val="0.69039145907473309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면지역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4971537001897532"/>
          <c:y val="7.4733096085409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'3.면별급수현황'!$G$104:$G$113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12557</c:v>
                </c:pt>
                <c:pt idx="3">
                  <c:v>6790</c:v>
                </c:pt>
                <c:pt idx="4">
                  <c:v>8503</c:v>
                </c:pt>
                <c:pt idx="5">
                  <c:v>12141</c:v>
                </c:pt>
                <c:pt idx="6">
                  <c:v>8074</c:v>
                </c:pt>
                <c:pt idx="7">
                  <c:v>8974</c:v>
                </c:pt>
                <c:pt idx="8">
                  <c:v>9600</c:v>
                </c:pt>
                <c:pt idx="9">
                  <c:v>19728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'3.면별급수현황'!$I$104:$I$113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10931</c:v>
                </c:pt>
                <c:pt idx="3">
                  <c:v>6092</c:v>
                </c:pt>
                <c:pt idx="4">
                  <c:v>6238</c:v>
                </c:pt>
                <c:pt idx="5">
                  <c:v>7122</c:v>
                </c:pt>
                <c:pt idx="6">
                  <c:v>13827</c:v>
                </c:pt>
                <c:pt idx="7">
                  <c:v>9073</c:v>
                </c:pt>
                <c:pt idx="8">
                  <c:v>9600</c:v>
                </c:pt>
                <c:pt idx="9">
                  <c:v>10465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869312"/>
        <c:axId val="361870848"/>
      </c:lineChart>
      <c:catAx>
        <c:axId val="36186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870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870848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869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443390259329538"/>
          <c:y val="0.69988137603795963"/>
          <c:w val="0.1524351676154333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r>
              <a:rPr lang="ko-KR" altLang="en-US" sz="1200" b="0" i="0" u="none" strike="noStrike" baseline="0">
                <a:solidFill>
                  <a:srgbClr val="000000"/>
                </a:solidFill>
                <a:latin typeface="돋움"/>
                <a:ea typeface="돋움"/>
              </a:rPr>
              <a:t>2007년 급수원단위</a:t>
            </a:r>
          </a:p>
        </c:rich>
      </c:tx>
      <c:layout>
        <c:manualLayout>
          <c:xMode val="edge"/>
          <c:yMode val="edge"/>
          <c:x val="0.45595886298526411"/>
          <c:y val="6.73575129533678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504700974981"/>
          <c:y val="5.4404145077720206E-2"/>
          <c:w val="0.86658085898340032"/>
          <c:h val="0.7202072538860103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002F5E" mc:Ignorable="a14" a14:legacySpreadsheetColorIndex="30">
                    <a:gamma/>
                    <a:shade val="46275"/>
                    <a:invGamma/>
                  </a:srgbClr>
                </a:gs>
                <a:gs pos="50000">
                  <a:srgbClr xmlns:mc="http://schemas.openxmlformats.org/markup-compatibility/2006" xmlns:a14="http://schemas.microsoft.com/office/drawing/2010/main" val="0066CC" mc:Ignorable="a14" a14:legacySpreadsheetColorIndex="30"/>
                </a:gs>
                <a:gs pos="100000">
                  <a:srgbClr xmlns:mc="http://schemas.openxmlformats.org/markup-compatibility/2006" xmlns:a14="http://schemas.microsoft.com/office/drawing/2010/main" val="002F5E" mc:Ignorable="a14" a14:legacySpreadsheetColorIndex="3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endParaRPr lang="ko-K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'3.면별급수현황'!$C$117:$J$117</c:f>
              <c:strCache>
                <c:ptCount val="8"/>
                <c:pt idx="0">
                  <c:v>음성읍</c:v>
                </c:pt>
                <c:pt idx="1">
                  <c:v>금왕읍</c:v>
                </c:pt>
                <c:pt idx="2">
                  <c:v>소이면</c:v>
                </c:pt>
                <c:pt idx="3">
                  <c:v>원남면</c:v>
                </c:pt>
                <c:pt idx="4">
                  <c:v>맹동면</c:v>
                </c:pt>
                <c:pt idx="5">
                  <c:v>대소면</c:v>
                </c:pt>
                <c:pt idx="6">
                  <c:v>삼성면</c:v>
                </c:pt>
                <c:pt idx="7">
                  <c:v>생극면</c:v>
                </c:pt>
              </c:strCache>
            </c:strRef>
          </c:cat>
          <c:val>
            <c:numRef>
              <c:f>'3.면별급수현황'!$C$127:$J$127</c:f>
              <c:numCache>
                <c:formatCode>_(* #,##0_);_(* \(#,##0\);_(* "-"_);_(@_)</c:formatCode>
                <c:ptCount val="8"/>
                <c:pt idx="0">
                  <c:v>292</c:v>
                </c:pt>
                <c:pt idx="1">
                  <c:v>277</c:v>
                </c:pt>
                <c:pt idx="2">
                  <c:v>715</c:v>
                </c:pt>
                <c:pt idx="3">
                  <c:v>168</c:v>
                </c:pt>
                <c:pt idx="4">
                  <c:v>430</c:v>
                </c:pt>
                <c:pt idx="5">
                  <c:v>279</c:v>
                </c:pt>
                <c:pt idx="6">
                  <c:v>333</c:v>
                </c:pt>
                <c:pt idx="7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685760"/>
        <c:axId val="363687296"/>
      </c:barChart>
      <c:catAx>
        <c:axId val="363685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36368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3687296"/>
        <c:scaling>
          <c:orientation val="minMax"/>
          <c:max val="60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200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</a:rPr>
                  <a:t>L/인ㆍ일</a:t>
                </a:r>
              </a:p>
            </c:rich>
          </c:tx>
          <c:layout>
            <c:manualLayout>
              <c:xMode val="edge"/>
              <c:yMode val="edge"/>
              <c:x val="2.0725473041360024E-2"/>
              <c:y val="0.3264248704663212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363685760"/>
        <c:crosses val="autoZero"/>
        <c:crossBetween val="between"/>
        <c:majorUnit val="10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생극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6.0498220640569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'3.면별급수현황'!$G$74:$G$83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388</c:v>
                </c:pt>
                <c:pt idx="3">
                  <c:v>217</c:v>
                </c:pt>
                <c:pt idx="4">
                  <c:v>627</c:v>
                </c:pt>
                <c:pt idx="5">
                  <c:v>1507</c:v>
                </c:pt>
                <c:pt idx="6">
                  <c:v>723</c:v>
                </c:pt>
                <c:pt idx="7">
                  <c:v>1323</c:v>
                </c:pt>
                <c:pt idx="8">
                  <c:v>1416</c:v>
                </c:pt>
                <c:pt idx="9">
                  <c:v>2637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'3.면별급수현황'!$I$74:$I$83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199</c:v>
                </c:pt>
                <c:pt idx="3">
                  <c:v>254</c:v>
                </c:pt>
                <c:pt idx="4">
                  <c:v>303</c:v>
                </c:pt>
                <c:pt idx="5">
                  <c:v>398</c:v>
                </c:pt>
                <c:pt idx="6">
                  <c:v>723</c:v>
                </c:pt>
                <c:pt idx="7">
                  <c:v>1322</c:v>
                </c:pt>
                <c:pt idx="8">
                  <c:v>1416</c:v>
                </c:pt>
                <c:pt idx="9">
                  <c:v>1478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101440"/>
        <c:axId val="365102976"/>
      </c:lineChart>
      <c:catAx>
        <c:axId val="365101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51029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1029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5101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431372549019607"/>
          <c:y val="0.69039145907473309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감곡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6.0498220640569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'3.면별급수현황'!$G$74:$G$83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388</c:v>
                </c:pt>
                <c:pt idx="3">
                  <c:v>217</c:v>
                </c:pt>
                <c:pt idx="4">
                  <c:v>627</c:v>
                </c:pt>
                <c:pt idx="5">
                  <c:v>1507</c:v>
                </c:pt>
                <c:pt idx="6">
                  <c:v>723</c:v>
                </c:pt>
                <c:pt idx="7">
                  <c:v>1323</c:v>
                </c:pt>
                <c:pt idx="8">
                  <c:v>1416</c:v>
                </c:pt>
                <c:pt idx="9">
                  <c:v>2637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'3.면별급수현황'!$I$74:$I$83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199</c:v>
                </c:pt>
                <c:pt idx="3">
                  <c:v>254</c:v>
                </c:pt>
                <c:pt idx="4">
                  <c:v>303</c:v>
                </c:pt>
                <c:pt idx="5">
                  <c:v>398</c:v>
                </c:pt>
                <c:pt idx="6">
                  <c:v>723</c:v>
                </c:pt>
                <c:pt idx="7">
                  <c:v>1322</c:v>
                </c:pt>
                <c:pt idx="8">
                  <c:v>1416</c:v>
                </c:pt>
                <c:pt idx="9">
                  <c:v>1478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128320"/>
        <c:axId val="365142400"/>
      </c:lineChart>
      <c:catAx>
        <c:axId val="365128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5142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514240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5128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431372549019607"/>
          <c:y val="0.69039145907473309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0447217888716"/>
          <c:y val="3.4482758620689655E-2"/>
          <c:w val="0.79623471967189874"/>
          <c:h val="0.845841445611805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'6. 물사용량 실적산정'!$F$2:$H$2</c:f>
              <c:strCache>
                <c:ptCount val="1"/>
                <c:pt idx="0">
                  <c:v>검침량 (㎥/일)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  <a:bevelB w="152400" h="50800" prst="softRound"/>
            </a:sp3d>
          </c:spPr>
          <c:invertIfNegative val="0"/>
          <c:cat>
            <c:strRef>
              <c:f>'6. 물사용량 실적산정'!$B$4:$B$9</c:f>
              <c:strCache>
                <c:ptCount val="6"/>
                <c:pt idx="0">
                  <c:v>2011년</c:v>
                </c:pt>
                <c:pt idx="1">
                  <c:v>2012년</c:v>
                </c:pt>
                <c:pt idx="2">
                  <c:v>2013년</c:v>
                </c:pt>
                <c:pt idx="3">
                  <c:v>2014년</c:v>
                </c:pt>
                <c:pt idx="4">
                  <c:v>2015년</c:v>
                </c:pt>
                <c:pt idx="5">
                  <c:v>2016년</c:v>
                </c:pt>
              </c:strCache>
            </c:strRef>
          </c:cat>
          <c:val>
            <c:numRef>
              <c:f>'6. 물사용량 실적산정'!$F$4:$F$9</c:f>
              <c:numCache>
                <c:formatCode>#,##0_);[Red]\(#,##0\)</c:formatCode>
                <c:ptCount val="6"/>
                <c:pt idx="0">
                  <c:v>14882.599999999997</c:v>
                </c:pt>
                <c:pt idx="1">
                  <c:v>15995.430136986302</c:v>
                </c:pt>
                <c:pt idx="2">
                  <c:v>17079.008219178082</c:v>
                </c:pt>
                <c:pt idx="3">
                  <c:v>16193.876712328769</c:v>
                </c:pt>
                <c:pt idx="4">
                  <c:v>17501.131506849317</c:v>
                </c:pt>
                <c:pt idx="5">
                  <c:v>19097.073972602746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0"/>
        <c:axId val="437902336"/>
        <c:axId val="437913088"/>
      </c:barChart>
      <c:lineChart>
        <c:grouping val="standard"/>
        <c:varyColors val="0"/>
        <c:ser>
          <c:idx val="2"/>
          <c:order val="1"/>
          <c:tx>
            <c:strRef>
              <c:f>'6. 물사용량 실적산정'!$I$2:$I$3</c:f>
              <c:strCache>
                <c:ptCount val="1"/>
                <c:pt idx="0">
                  <c:v>1일 1인당
급수량(ℓ)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4">
                    <a:lumMod val="50000"/>
                  </a:schemeClr>
                </a:solidFill>
              </a:ln>
              <a:effectLst>
                <a:innerShdw blurRad="63500" dist="50800" dir="2700000">
                  <a:schemeClr val="bg1">
                    <a:alpha val="50000"/>
                  </a:schemeClr>
                </a:innerShdw>
              </a:effectLst>
            </c:spPr>
          </c:marker>
          <c:cat>
            <c:strRef>
              <c:f>'6. 물사용량 실적산정'!$B$4:$B$9</c:f>
              <c:strCache>
                <c:ptCount val="6"/>
                <c:pt idx="0">
                  <c:v>2011년</c:v>
                </c:pt>
                <c:pt idx="1">
                  <c:v>2012년</c:v>
                </c:pt>
                <c:pt idx="2">
                  <c:v>2013년</c:v>
                </c:pt>
                <c:pt idx="3">
                  <c:v>2014년</c:v>
                </c:pt>
                <c:pt idx="4">
                  <c:v>2015년</c:v>
                </c:pt>
                <c:pt idx="5">
                  <c:v>2016년</c:v>
                </c:pt>
              </c:strCache>
            </c:strRef>
          </c:cat>
          <c:val>
            <c:numRef>
              <c:f>'6. 물사용량 실적산정'!$I$4:$I$9</c:f>
              <c:numCache>
                <c:formatCode>#,##0_);[Red]\(#,##0\)</c:formatCode>
                <c:ptCount val="6"/>
                <c:pt idx="0">
                  <c:v>299.31017838827097</c:v>
                </c:pt>
                <c:pt idx="1">
                  <c:v>315.92791106036543</c:v>
                </c:pt>
                <c:pt idx="2">
                  <c:v>340.64679217300761</c:v>
                </c:pt>
                <c:pt idx="3">
                  <c:v>301.24779954477208</c:v>
                </c:pt>
                <c:pt idx="4">
                  <c:v>296.60891857504777</c:v>
                </c:pt>
                <c:pt idx="5">
                  <c:v>295.42899726559062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15008"/>
        <c:axId val="437941376"/>
      </c:lineChart>
      <c:catAx>
        <c:axId val="43790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/>
                  <a:t>년 도</a:t>
                </a:r>
              </a:p>
            </c:rich>
          </c:tx>
          <c:layout>
            <c:manualLayout>
              <c:xMode val="edge"/>
              <c:yMode val="edge"/>
              <c:x val="0.89187499783870894"/>
              <c:y val="0.9183897978170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437913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7913088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 sz="1000" b="1"/>
                  <a:t>물사용량 </a:t>
                </a:r>
                <a:r>
                  <a:rPr lang="en-US" altLang="ko-KR" sz="1000" b="1"/>
                  <a:t>(㎥/</a:t>
                </a:r>
                <a:r>
                  <a:rPr lang="ko-KR" altLang="en-US" sz="1000" b="1"/>
                  <a:t>일</a:t>
                </a:r>
                <a:r>
                  <a:rPr lang="en-US" altLang="ko-KR" sz="1000" b="1"/>
                  <a:t>)</a:t>
                </a:r>
                <a:endParaRPr lang="ko-KR" altLang="en-US" sz="1000" b="1"/>
              </a:p>
            </c:rich>
          </c:tx>
          <c:layout>
            <c:manualLayout>
              <c:xMode val="edge"/>
              <c:yMode val="edge"/>
              <c:x val="9.823002796007195E-3"/>
              <c:y val="0.309480407657529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437902336"/>
        <c:crosses val="autoZero"/>
        <c:crossBetween val="between"/>
      </c:valAx>
      <c:catAx>
        <c:axId val="43791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941376"/>
        <c:crosses val="autoZero"/>
        <c:auto val="0"/>
        <c:lblAlgn val="ctr"/>
        <c:lblOffset val="100"/>
        <c:noMultiLvlLbl val="0"/>
      </c:catAx>
      <c:valAx>
        <c:axId val="437941376"/>
        <c:scaling>
          <c:orientation val="minMax"/>
        </c:scaling>
        <c:delete val="0"/>
        <c:axPos val="r"/>
        <c:title>
          <c:tx>
            <c:rich>
              <a:bodyPr rot="0" vert="wordArtVertRtl"/>
              <a:lstStyle/>
              <a:p>
                <a:pPr>
                  <a:defRPr sz="1000" b="1">
                    <a:latin typeface="HY울릉도L" pitchFamily="18" charset="-127"/>
                    <a:ea typeface="HY울릉도L" pitchFamily="18" charset="-127"/>
                  </a:defRPr>
                </a:pPr>
                <a:r>
                  <a:rPr lang="ko-KR" altLang="ko-KR" sz="1000" b="1" i="0" u="none" strike="noStrike" baseline="0">
                    <a:effectLst/>
                  </a:rPr>
                  <a:t>급수량 원단위</a:t>
                </a:r>
                <a:r>
                  <a:rPr lang="en-US" altLang="ko-KR" sz="1000" b="1" i="0" u="none" strike="noStrike" baseline="0">
                    <a:effectLst/>
                  </a:rPr>
                  <a:t>(ℓ/</a:t>
                </a:r>
                <a:r>
                  <a:rPr lang="ko-KR" altLang="ko-KR" sz="1000" b="1" i="0" u="none" strike="noStrike" baseline="0">
                    <a:effectLst/>
                  </a:rPr>
                  <a:t>인</a:t>
                </a:r>
                <a:r>
                  <a:rPr lang="en-US" altLang="ko-KR" sz="1000" b="1" i="0" u="none" strike="noStrike" baseline="0">
                    <a:effectLst/>
                  </a:rPr>
                  <a:t>·</a:t>
                </a:r>
                <a:r>
                  <a:rPr lang="ko-KR" altLang="ko-KR" sz="1000" b="1" i="0" u="none" strike="noStrike" baseline="0">
                    <a:effectLst/>
                  </a:rPr>
                  <a:t>일</a:t>
                </a:r>
                <a:endParaRPr lang="ko-KR" altLang="en-US" sz="1000" b="1">
                  <a:latin typeface="HY울릉도L" pitchFamily="18" charset="-127"/>
                  <a:ea typeface="HY울릉도L" pitchFamily="18" charset="-127"/>
                </a:endParaRPr>
              </a:p>
            </c:rich>
          </c:tx>
          <c:layout/>
          <c:overlay val="0"/>
        </c:title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HY울릉도L" pitchFamily="18" charset="-127"/>
                <a:ea typeface="HY울릉도L" pitchFamily="18" charset="-127"/>
              </a:defRPr>
            </a:pPr>
            <a:endParaRPr lang="ko-KR"/>
          </a:p>
        </c:txPr>
        <c:crossAx val="437915008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938315022875106"/>
          <c:y val="6.6349890701702635E-2"/>
          <c:w val="0.43163825865640315"/>
          <c:h val="6.16775208574432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HY울릉도M"/>
              <a:ea typeface="HY울릉도M"/>
              <a:cs typeface="HY울릉도M"/>
            </a:defRPr>
          </a:pPr>
          <a:endParaRPr lang="ko-KR"/>
        </a:p>
      </c:txPr>
    </c:legend>
    <c:plotVisOnly val="1"/>
    <c:dispBlanksAs val="gap"/>
    <c:showDLblsOverMax val="0"/>
  </c:chart>
  <c:spPr>
    <a:gradFill rotWithShape="0"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>
      <c:oddHeader>&amp;A</c:oddHeader>
      <c:oddFooter>Page &amp;P</c:oddFooter>
    </c:headerFooter>
    <c:pageMargins b="1" l="0.7500000000000111" r="0.7500000000000111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0447217888716"/>
          <c:y val="3.4482758620689655E-2"/>
          <c:w val="0.79623471967189874"/>
          <c:h val="0.845841445611805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'2.음성군급수총괄'!$H$4</c:f>
              <c:strCache>
                <c:ptCount val="1"/>
                <c:pt idx="0">
                  <c:v>1인1일급수량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scene3d>
              <a:camera prst="orthographicFront"/>
              <a:lightRig rig="threePt" dir="t"/>
            </a:scene3d>
            <a:sp3d>
              <a:bevelT/>
              <a:bevelB w="152400" h="50800" prst="softRound"/>
            </a:sp3d>
          </c:spPr>
          <c:invertIfNegative val="0"/>
          <c:cat>
            <c:strRef>
              <c:f>'2.음성군급수총괄'!$A$6:$B$15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'2.음성군급수총괄'!$H$6:$H$15</c:f>
              <c:numCache>
                <c:formatCode>_(* #,##0_);_(* \(#,##0\);_(* "-"_);_(@_)</c:formatCode>
                <c:ptCount val="10"/>
                <c:pt idx="0">
                  <c:v>371.38736238657731</c:v>
                </c:pt>
                <c:pt idx="1">
                  <c:v>388.96409233399834</c:v>
                </c:pt>
                <c:pt idx="2">
                  <c:v>425.24950605400477</c:v>
                </c:pt>
                <c:pt idx="3">
                  <c:v>425.95900714554341</c:v>
                </c:pt>
                <c:pt idx="4">
                  <c:v>415.57183507900953</c:v>
                </c:pt>
                <c:pt idx="5">
                  <c:v>461.67584912514383</c:v>
                </c:pt>
                <c:pt idx="6">
                  <c:v>362.71556131143075</c:v>
                </c:pt>
                <c:pt idx="7">
                  <c:v>387.86564139865953</c:v>
                </c:pt>
                <c:pt idx="8">
                  <c:v>388.51974432177053</c:v>
                </c:pt>
                <c:pt idx="9">
                  <c:v>499.99427701534904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0"/>
        <c:axId val="352531200"/>
        <c:axId val="352533504"/>
      </c:barChart>
      <c:lineChart>
        <c:grouping val="standard"/>
        <c:varyColors val="0"/>
        <c:ser>
          <c:idx val="2"/>
          <c:order val="1"/>
          <c:tx>
            <c:strRef>
              <c:f>'2.음성군급수총괄'!$E$4</c:f>
              <c:strCache>
                <c:ptCount val="1"/>
                <c:pt idx="0">
                  <c:v>보급률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4">
                    <a:lumMod val="50000"/>
                  </a:schemeClr>
                </a:solidFill>
              </a:ln>
              <a:effectLst>
                <a:innerShdw blurRad="63500" dist="50800" dir="2700000">
                  <a:schemeClr val="bg1">
                    <a:alpha val="50000"/>
                  </a:schemeClr>
                </a:innerShdw>
              </a:effectLst>
            </c:spPr>
          </c:marker>
          <c:cat>
            <c:strLit>
              <c:ptCount val="10"/>
              <c:pt idx="0">
                <c:v>2001년 0</c:v>
              </c:pt>
              <c:pt idx="1">
                <c:v>2002년 0</c:v>
              </c:pt>
              <c:pt idx="2">
                <c:v>2003년 0</c:v>
              </c:pt>
              <c:pt idx="3">
                <c:v>2004년 0</c:v>
              </c:pt>
              <c:pt idx="4">
                <c:v>2005년 0</c:v>
              </c:pt>
              <c:pt idx="5">
                <c:v>2006년 0</c:v>
              </c:pt>
              <c:pt idx="6">
                <c:v>2007년 0</c:v>
              </c:pt>
              <c:pt idx="7">
                <c:v>2008년 0</c:v>
              </c:pt>
              <c:pt idx="8">
                <c:v>2009년 0</c:v>
              </c:pt>
              <c:pt idx="9">
                <c:v>2010년 0</c:v>
              </c:pt>
            </c:strLit>
          </c:cat>
          <c:val>
            <c:numRef>
              <c:f>'2.음성군급수총괄'!$E$6:$E$15</c:f>
              <c:numCache>
                <c:formatCode>_-* #,##0.0_-;\-* #,##0.0_-;_-* "-"_-;_-@_-</c:formatCode>
                <c:ptCount val="10"/>
                <c:pt idx="0">
                  <c:v>61.9</c:v>
                </c:pt>
                <c:pt idx="1">
                  <c:v>62.3</c:v>
                </c:pt>
                <c:pt idx="2">
                  <c:v>64</c:v>
                </c:pt>
                <c:pt idx="3">
                  <c:v>67.8</c:v>
                </c:pt>
                <c:pt idx="4">
                  <c:v>69.900000000000006</c:v>
                </c:pt>
                <c:pt idx="5">
                  <c:v>68.7</c:v>
                </c:pt>
                <c:pt idx="6">
                  <c:v>75.599999999999994</c:v>
                </c:pt>
                <c:pt idx="7">
                  <c:v>78.3</c:v>
                </c:pt>
                <c:pt idx="8">
                  <c:v>79.2</c:v>
                </c:pt>
                <c:pt idx="9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547968"/>
        <c:axId val="352549504"/>
      </c:lineChart>
      <c:catAx>
        <c:axId val="3525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/>
                  <a:t>년 도</a:t>
                </a:r>
              </a:p>
            </c:rich>
          </c:tx>
          <c:layout>
            <c:manualLayout>
              <c:xMode val="edge"/>
              <c:yMode val="edge"/>
              <c:x val="0.89187499783870894"/>
              <c:y val="0.9183897978170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352533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5253350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Y울릉도L"/>
                    <a:ea typeface="HY울릉도L"/>
                    <a:cs typeface="HY울릉도L"/>
                  </a:defRPr>
                </a:pPr>
                <a:r>
                  <a:rPr lang="ko-KR" altLang="en-US" sz="1000" b="1"/>
                  <a:t>급수량 원단위</a:t>
                </a:r>
                <a:r>
                  <a:rPr lang="en-US" altLang="ko-KR" sz="1000" b="1"/>
                  <a:t>(ℓ/</a:t>
                </a:r>
                <a:r>
                  <a:rPr lang="ko-KR" altLang="en-US" sz="1000" b="1"/>
                  <a:t>인</a:t>
                </a:r>
                <a:r>
                  <a:rPr lang="en-US" altLang="ko-KR" sz="1000" b="1"/>
                  <a:t>·</a:t>
                </a:r>
                <a:r>
                  <a:rPr lang="ko-KR" altLang="en-US" sz="1000" b="1"/>
                  <a:t>일</a:t>
                </a:r>
                <a:r>
                  <a:rPr lang="en-US" altLang="ko-KR" sz="1000" b="1"/>
                  <a:t>)</a:t>
                </a:r>
                <a:endParaRPr lang="ko-KR" altLang="en-US" sz="1000" b="1"/>
              </a:p>
            </c:rich>
          </c:tx>
          <c:layout>
            <c:manualLayout>
              <c:xMode val="edge"/>
              <c:yMode val="edge"/>
              <c:x val="1.3347303919025931E-2"/>
              <c:y val="8.468084140779232E-2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HY울릉도L"/>
                <a:ea typeface="HY울릉도L"/>
                <a:cs typeface="HY울릉도L"/>
              </a:defRPr>
            </a:pPr>
            <a:endParaRPr lang="ko-KR"/>
          </a:p>
        </c:txPr>
        <c:crossAx val="352531200"/>
        <c:crosses val="autoZero"/>
        <c:crossBetween val="between"/>
      </c:valAx>
      <c:catAx>
        <c:axId val="35254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352549504"/>
        <c:crosses val="autoZero"/>
        <c:auto val="0"/>
        <c:lblAlgn val="ctr"/>
        <c:lblOffset val="100"/>
        <c:noMultiLvlLbl val="0"/>
      </c:catAx>
      <c:valAx>
        <c:axId val="352549504"/>
        <c:scaling>
          <c:orientation val="minMax"/>
          <c:max val="100"/>
          <c:min val="40"/>
        </c:scaling>
        <c:delete val="0"/>
        <c:axPos val="r"/>
        <c:title>
          <c:tx>
            <c:rich>
              <a:bodyPr rot="0" vert="wordArtVertRtl"/>
              <a:lstStyle/>
              <a:p>
                <a:pPr>
                  <a:defRPr sz="1000" b="1">
                    <a:latin typeface="HY울릉도L" pitchFamily="18" charset="-127"/>
                    <a:ea typeface="HY울릉도L" pitchFamily="18" charset="-127"/>
                  </a:defRPr>
                </a:pPr>
                <a:r>
                  <a:rPr lang="ko-KR" altLang="en-US" sz="1000" b="1">
                    <a:latin typeface="HY울릉도L" pitchFamily="18" charset="-127"/>
                    <a:ea typeface="HY울릉도L" pitchFamily="18" charset="-127"/>
                  </a:rPr>
                  <a:t>보급율</a:t>
                </a:r>
                <a:r>
                  <a:rPr lang="en-US" altLang="ko-KR" sz="1000" b="1">
                    <a:latin typeface="HY울릉도L" pitchFamily="18" charset="-127"/>
                    <a:ea typeface="HY울릉도L" pitchFamily="18" charset="-127"/>
                  </a:rPr>
                  <a:t>(%)</a:t>
                </a:r>
                <a:endParaRPr lang="ko-KR" altLang="en-US" sz="1000" b="1">
                  <a:latin typeface="HY울릉도L" pitchFamily="18" charset="-127"/>
                  <a:ea typeface="HY울릉도L" pitchFamily="18" charset="-127"/>
                </a:endParaRPr>
              </a:p>
            </c:rich>
          </c:tx>
          <c:layout/>
          <c:overlay val="0"/>
        </c:title>
        <c:numFmt formatCode="#,##0_);[Red]\(#,##0\)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HY울릉도L" pitchFamily="18" charset="-127"/>
                <a:ea typeface="HY울릉도L" pitchFamily="18" charset="-127"/>
              </a:defRPr>
            </a:pPr>
            <a:endParaRPr lang="ko-KR"/>
          </a:p>
        </c:txPr>
        <c:crossAx val="352547968"/>
        <c:crosses val="max"/>
        <c:crossBetween val="between"/>
        <c:majorUnit val="1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938315022875106"/>
          <c:y val="6.6349890701702635E-2"/>
          <c:w val="0.30691274262653928"/>
          <c:h val="6.167752085744326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HY울릉도M"/>
              <a:ea typeface="HY울릉도M"/>
              <a:cs typeface="HY울릉도M"/>
            </a:defRPr>
          </a:pPr>
          <a:endParaRPr lang="ko-KR"/>
        </a:p>
      </c:txPr>
    </c:legend>
    <c:plotVisOnly val="1"/>
    <c:dispBlanksAs val="gap"/>
    <c:showDLblsOverMax val="0"/>
  </c:chart>
  <c:spPr>
    <a:gradFill rotWithShape="0"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ko-KR"/>
    </a:p>
  </c:txPr>
  <c:printSettings>
    <c:headerFooter alignWithMargins="0">
      <c:oddHeader>&amp;A</c:oddHeader>
      <c:oddFooter>Page &amp;P</c:oddFooter>
    </c:headerFooter>
    <c:pageMargins b="1" l="0.7500000000000111" r="0.7500000000000111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음성군 </a:t>
            </a:r>
            <a:r>
              <a:rPr lang="ko-KR" sz="1000"/>
              <a:t>급수량 분석</a:t>
            </a:r>
          </a:p>
        </c:rich>
      </c:tx>
      <c:layout>
        <c:manualLayout>
          <c:xMode val="edge"/>
          <c:yMode val="edge"/>
          <c:x val="0.40543959519291589"/>
          <c:y val="5.77149587750294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936748893105623E-2"/>
          <c:y val="5.7714958775029447E-2"/>
          <c:w val="0.83870967741935487"/>
          <c:h val="0.81272225030754874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'3.면별급수현황'!$G$4:$G$13</c:f>
              <c:numCache>
                <c:formatCode>_(* #,##0_);_(* \(#,##0\);_(* "-"_);_(@_)</c:formatCode>
                <c:ptCount val="10"/>
                <c:pt idx="0">
                  <c:v>20342</c:v>
                </c:pt>
                <c:pt idx="1">
                  <c:v>21838</c:v>
                </c:pt>
                <c:pt idx="2">
                  <c:v>25182</c:v>
                </c:pt>
                <c:pt idx="3">
                  <c:v>19540</c:v>
                </c:pt>
                <c:pt idx="4">
                  <c:v>19964</c:v>
                </c:pt>
                <c:pt idx="5">
                  <c:v>21640</c:v>
                </c:pt>
                <c:pt idx="6">
                  <c:v>15595</c:v>
                </c:pt>
                <c:pt idx="7">
                  <c:v>16687</c:v>
                </c:pt>
                <c:pt idx="8">
                  <c:v>17829</c:v>
                </c:pt>
                <c:pt idx="9">
                  <c:v>30132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'3.면별급수현황'!$I$4:$I$13</c:f>
              <c:numCache>
                <c:formatCode>_(* #,##0_);_(* \(#,##0\);_(* "-"_);_(@_)</c:formatCode>
                <c:ptCount val="10"/>
                <c:pt idx="0">
                  <c:v>9277</c:v>
                </c:pt>
                <c:pt idx="1">
                  <c:v>10474</c:v>
                </c:pt>
                <c:pt idx="2">
                  <c:v>16917</c:v>
                </c:pt>
                <c:pt idx="3">
                  <c:v>12551</c:v>
                </c:pt>
                <c:pt idx="4">
                  <c:v>13460</c:v>
                </c:pt>
                <c:pt idx="5">
                  <c:v>14351</c:v>
                </c:pt>
                <c:pt idx="6">
                  <c:v>15594</c:v>
                </c:pt>
                <c:pt idx="7">
                  <c:v>16786</c:v>
                </c:pt>
                <c:pt idx="8">
                  <c:v>17830</c:v>
                </c:pt>
                <c:pt idx="9">
                  <c:v>19371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28128"/>
        <c:axId val="352929664"/>
      </c:lineChart>
      <c:catAx>
        <c:axId val="352928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2929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292966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292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190385831752053"/>
          <c:y val="0.71024846275840958"/>
          <c:w val="0.15180265654648961"/>
          <c:h val="0.1703925878523134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읍성</a:t>
            </a:r>
            <a:r>
              <a:rPr lang="ko-KR" sz="1000"/>
              <a:t>읍 급수량 분석</a:t>
            </a:r>
          </a:p>
        </c:rich>
      </c:tx>
      <c:layout>
        <c:manualLayout>
          <c:xMode val="edge"/>
          <c:yMode val="edge"/>
          <c:x val="0.43706514864010121"/>
          <c:y val="5.1008303677342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5199240986717"/>
          <c:y val="6.4056939501779361E-2"/>
          <c:w val="0.85009487666034156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'3.면별급수현황'!$G$14:$G$23</c:f>
              <c:numCache>
                <c:formatCode>_(* #,##0_);_(* \(#,##0\);_(* "-"_);_(@_)</c:formatCode>
                <c:ptCount val="10"/>
                <c:pt idx="0">
                  <c:v>5755</c:v>
                </c:pt>
                <c:pt idx="1">
                  <c:v>6818</c:v>
                </c:pt>
                <c:pt idx="2">
                  <c:v>6689</c:v>
                </c:pt>
                <c:pt idx="3">
                  <c:v>6831</c:v>
                </c:pt>
                <c:pt idx="4">
                  <c:v>5800</c:v>
                </c:pt>
                <c:pt idx="5">
                  <c:v>4270</c:v>
                </c:pt>
                <c:pt idx="6">
                  <c:v>3609</c:v>
                </c:pt>
                <c:pt idx="7">
                  <c:v>3664</c:v>
                </c:pt>
                <c:pt idx="8">
                  <c:v>3882</c:v>
                </c:pt>
                <c:pt idx="9">
                  <c:v>4795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'3.면별급수현황'!$I$14:$I$23</c:f>
              <c:numCache>
                <c:formatCode>_(* #,##0_);_(* \(#,##0\);_(* "-"_);_(@_)</c:formatCode>
                <c:ptCount val="10"/>
                <c:pt idx="0">
                  <c:v>3046</c:v>
                </c:pt>
                <c:pt idx="1">
                  <c:v>3044</c:v>
                </c:pt>
                <c:pt idx="2">
                  <c:v>2624</c:v>
                </c:pt>
                <c:pt idx="3">
                  <c:v>3200</c:v>
                </c:pt>
                <c:pt idx="4">
                  <c:v>3461</c:v>
                </c:pt>
                <c:pt idx="5">
                  <c:v>3504</c:v>
                </c:pt>
                <c:pt idx="6">
                  <c:v>3608</c:v>
                </c:pt>
                <c:pt idx="7">
                  <c:v>3664</c:v>
                </c:pt>
                <c:pt idx="8">
                  <c:v>3882</c:v>
                </c:pt>
                <c:pt idx="9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097792"/>
        <c:axId val="354124160"/>
      </c:lineChart>
      <c:catAx>
        <c:axId val="354097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4124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124160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4097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747628083491461"/>
          <c:y val="0.71886120996441283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금왕읍</a:t>
            </a:r>
            <a:r>
              <a:rPr lang="ko-KR" sz="1000"/>
              <a:t> 급수량 분석</a:t>
            </a:r>
          </a:p>
        </c:rich>
      </c:tx>
      <c:layout>
        <c:manualLayout>
          <c:xMode val="edge"/>
          <c:yMode val="edge"/>
          <c:x val="0.44971537001897532"/>
          <c:y val="7.4733096085409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5199240986717"/>
          <c:y val="6.4056939501779361E-2"/>
          <c:w val="0.85009487666034156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'3.면별급수현황'!$G$24:$G$33</c:f>
              <c:numCache>
                <c:formatCode>_(* #,##0_);_(* \(#,##0\);_(* "-"_);_(@_)</c:formatCode>
                <c:ptCount val="10"/>
                <c:pt idx="0">
                  <c:v>4510</c:v>
                </c:pt>
                <c:pt idx="1">
                  <c:v>4600</c:v>
                </c:pt>
                <c:pt idx="2">
                  <c:v>5936</c:v>
                </c:pt>
                <c:pt idx="3">
                  <c:v>5634</c:v>
                </c:pt>
                <c:pt idx="4">
                  <c:v>5662</c:v>
                </c:pt>
                <c:pt idx="5">
                  <c:v>5229</c:v>
                </c:pt>
                <c:pt idx="6">
                  <c:v>3912</c:v>
                </c:pt>
                <c:pt idx="7">
                  <c:v>4051</c:v>
                </c:pt>
                <c:pt idx="8">
                  <c:v>4346</c:v>
                </c:pt>
                <c:pt idx="9">
                  <c:v>5609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'3.면별급수현황'!$I$24:$I$33</c:f>
              <c:numCache>
                <c:formatCode>_(* #,##0_);_(* \(#,##0\);_(* "-"_);_(@_)</c:formatCode>
                <c:ptCount val="10"/>
                <c:pt idx="0">
                  <c:v>2345</c:v>
                </c:pt>
                <c:pt idx="1">
                  <c:v>2422</c:v>
                </c:pt>
                <c:pt idx="2">
                  <c:v>3433</c:v>
                </c:pt>
                <c:pt idx="3">
                  <c:v>3258</c:v>
                </c:pt>
                <c:pt idx="4">
                  <c:v>3761</c:v>
                </c:pt>
                <c:pt idx="5">
                  <c:v>3723</c:v>
                </c:pt>
                <c:pt idx="6">
                  <c:v>3913</c:v>
                </c:pt>
                <c:pt idx="7">
                  <c:v>4050</c:v>
                </c:pt>
                <c:pt idx="8">
                  <c:v>4347</c:v>
                </c:pt>
                <c:pt idx="9">
                  <c:v>4511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583680"/>
        <c:axId val="354585216"/>
      </c:lineChart>
      <c:catAx>
        <c:axId val="354583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4585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45852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4583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53067678684377"/>
          <c:y val="0.71648873072360619"/>
          <c:w val="0.1499051233396584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소이면</a:t>
            </a:r>
            <a:r>
              <a:rPr lang="ko-KR" sz="1000"/>
              <a:t> 급수량 분석</a:t>
            </a:r>
          </a:p>
        </c:rich>
      </c:tx>
      <c:layout>
        <c:manualLayout>
          <c:xMode val="edge"/>
          <c:yMode val="edge"/>
          <c:x val="0.42947501581277675"/>
          <c:y val="7.4733096085409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85199240986717"/>
          <c:y val="6.4056939501779361E-2"/>
          <c:w val="0.85009487666034156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'3.면별급수현황'!$G$34:$G$43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262</c:v>
                </c:pt>
                <c:pt idx="3">
                  <c:v>395</c:v>
                </c:pt>
                <c:pt idx="4">
                  <c:v>557</c:v>
                </c:pt>
                <c:pt idx="5">
                  <c:v>453</c:v>
                </c:pt>
                <c:pt idx="6">
                  <c:v>404</c:v>
                </c:pt>
                <c:pt idx="7">
                  <c:v>399</c:v>
                </c:pt>
                <c:pt idx="8">
                  <c:v>409</c:v>
                </c:pt>
                <c:pt idx="9">
                  <c:v>1715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'3.면별급수현황'!$I$34:$I$43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120</c:v>
                </c:pt>
                <c:pt idx="3">
                  <c:v>148</c:v>
                </c:pt>
                <c:pt idx="4">
                  <c:v>220</c:v>
                </c:pt>
                <c:pt idx="5">
                  <c:v>375</c:v>
                </c:pt>
                <c:pt idx="6">
                  <c:v>404</c:v>
                </c:pt>
                <c:pt idx="7">
                  <c:v>400</c:v>
                </c:pt>
                <c:pt idx="8">
                  <c:v>409</c:v>
                </c:pt>
                <c:pt idx="9">
                  <c:v>430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309824"/>
        <c:axId val="357311616"/>
      </c:lineChart>
      <c:catAx>
        <c:axId val="357309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73116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31161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7309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557874762808344"/>
          <c:y val="0.71530249110320288"/>
          <c:w val="0.16888045540796959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원남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1239721695129666"/>
          <c:y val="5.5753262158956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'3.면별급수현황'!$G$44:$G$53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211</c:v>
                </c:pt>
                <c:pt idx="3">
                  <c:v>456</c:v>
                </c:pt>
                <c:pt idx="4">
                  <c:v>615</c:v>
                </c:pt>
                <c:pt idx="5">
                  <c:v>426</c:v>
                </c:pt>
                <c:pt idx="6">
                  <c:v>389</c:v>
                </c:pt>
                <c:pt idx="7">
                  <c:v>405</c:v>
                </c:pt>
                <c:pt idx="8">
                  <c:v>454</c:v>
                </c:pt>
                <c:pt idx="9">
                  <c:v>446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'3.면별급수현황'!$I$44:$I$53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272</c:v>
                </c:pt>
                <c:pt idx="3">
                  <c:v>227</c:v>
                </c:pt>
                <c:pt idx="4">
                  <c:v>251</c:v>
                </c:pt>
                <c:pt idx="5">
                  <c:v>340</c:v>
                </c:pt>
                <c:pt idx="6">
                  <c:v>389</c:v>
                </c:pt>
                <c:pt idx="7">
                  <c:v>404</c:v>
                </c:pt>
                <c:pt idx="8">
                  <c:v>454</c:v>
                </c:pt>
                <c:pt idx="9">
                  <c:v>460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349248"/>
        <c:axId val="357350784"/>
      </c:lineChart>
      <c:catAx>
        <c:axId val="357349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7350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57350784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5734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178368121442121"/>
          <c:y val="0.70462633451957291"/>
          <c:w val="0.16508538899430736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맹동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7.4733096085409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'3.면별급수현황'!$G$54:$G$63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602</c:v>
                </c:pt>
                <c:pt idx="3">
                  <c:v>107</c:v>
                </c:pt>
                <c:pt idx="4">
                  <c:v>778</c:v>
                </c:pt>
                <c:pt idx="5">
                  <c:v>1035</c:v>
                </c:pt>
                <c:pt idx="6">
                  <c:v>355</c:v>
                </c:pt>
                <c:pt idx="7">
                  <c:v>308</c:v>
                </c:pt>
                <c:pt idx="8">
                  <c:v>468</c:v>
                </c:pt>
                <c:pt idx="9">
                  <c:v>3101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'3.면별급수현황'!$I$54:$I$63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391</c:v>
                </c:pt>
                <c:pt idx="3">
                  <c:v>154</c:v>
                </c:pt>
                <c:pt idx="4">
                  <c:v>148</c:v>
                </c:pt>
                <c:pt idx="5">
                  <c:v>227</c:v>
                </c:pt>
                <c:pt idx="6">
                  <c:v>355</c:v>
                </c:pt>
                <c:pt idx="7">
                  <c:v>407</c:v>
                </c:pt>
                <c:pt idx="8">
                  <c:v>468</c:v>
                </c:pt>
                <c:pt idx="9">
                  <c:v>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251200"/>
        <c:axId val="361252736"/>
      </c:lineChart>
      <c:catAx>
        <c:axId val="361251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2527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25273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251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178368121442121"/>
          <c:y val="0.7236061684460261"/>
          <c:w val="0.15496521189120804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ko-KR" altLang="en-US" sz="1000"/>
              <a:t>대소</a:t>
            </a:r>
            <a:r>
              <a:rPr lang="ko-KR" sz="1000"/>
              <a:t>면 급수량 분석</a:t>
            </a:r>
          </a:p>
        </c:rich>
      </c:tx>
      <c:layout>
        <c:manualLayout>
          <c:xMode val="edge"/>
          <c:yMode val="edge"/>
          <c:x val="0.43453510436432635"/>
          <c:y val="6.04982206405693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774193548387094E-2"/>
          <c:y val="6.4056939501779361E-2"/>
          <c:w val="0.86717267552182165"/>
          <c:h val="0.80071174377224197"/>
        </c:manualLayout>
      </c:layout>
      <c:lineChart>
        <c:grouping val="standard"/>
        <c:varyColors val="0"/>
        <c:ser>
          <c:idx val="0"/>
          <c:order val="0"/>
          <c:tx>
            <c:v>급수량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'3.면별급수현황'!$G$64:$G$73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7540</c:v>
                </c:pt>
                <c:pt idx="3">
                  <c:v>2010</c:v>
                </c:pt>
                <c:pt idx="4">
                  <c:v>1931</c:v>
                </c:pt>
                <c:pt idx="5">
                  <c:v>4405</c:v>
                </c:pt>
                <c:pt idx="6">
                  <c:v>2801</c:v>
                </c:pt>
                <c:pt idx="7">
                  <c:v>2989</c:v>
                </c:pt>
                <c:pt idx="8">
                  <c:v>3286</c:v>
                </c:pt>
                <c:pt idx="9">
                  <c:v>4622</c:v>
                </c:pt>
              </c:numCache>
            </c:numRef>
          </c:val>
          <c:smooth val="0"/>
        </c:ser>
        <c:ser>
          <c:idx val="1"/>
          <c:order val="1"/>
          <c:tx>
            <c:v>사용량</c:v>
          </c:tx>
          <c:cat>
            <c:strRef>
              <c:f>'3.면별급수현황'!$B$4:$B$13</c:f>
              <c:strCache>
                <c:ptCount val="10"/>
                <c:pt idx="0">
                  <c:v>2005년</c:v>
                </c:pt>
                <c:pt idx="1">
                  <c:v>2006년</c:v>
                </c:pt>
                <c:pt idx="2">
                  <c:v>2007년</c:v>
                </c:pt>
                <c:pt idx="3">
                  <c:v>2008년</c:v>
                </c:pt>
                <c:pt idx="4">
                  <c:v>2009년</c:v>
                </c:pt>
                <c:pt idx="5">
                  <c:v>2010년</c:v>
                </c:pt>
                <c:pt idx="6">
                  <c:v>2011년</c:v>
                </c:pt>
                <c:pt idx="7">
                  <c:v>2012년</c:v>
                </c:pt>
                <c:pt idx="8">
                  <c:v>2013년</c:v>
                </c:pt>
                <c:pt idx="9">
                  <c:v>2014년</c:v>
                </c:pt>
              </c:strCache>
            </c:strRef>
          </c:cat>
          <c:val>
            <c:numRef>
              <c:f>'3.면별급수현황'!$I$64:$I$73</c:f>
              <c:numCache>
                <c:formatCode>_(* #,##0_);_(* \(#,##0\);_(* "-"_);_(@_)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6738</c:v>
                </c:pt>
                <c:pt idx="3">
                  <c:v>2235</c:v>
                </c:pt>
                <c:pt idx="4">
                  <c:v>2409</c:v>
                </c:pt>
                <c:pt idx="5">
                  <c:v>2584</c:v>
                </c:pt>
                <c:pt idx="6">
                  <c:v>8555</c:v>
                </c:pt>
                <c:pt idx="7">
                  <c:v>2988</c:v>
                </c:pt>
                <c:pt idx="8">
                  <c:v>3286</c:v>
                </c:pt>
                <c:pt idx="9">
                  <c:v>3514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273984"/>
        <c:axId val="361279872"/>
      </c:lineChart>
      <c:catAx>
        <c:axId val="361273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279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1279872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ko-KR"/>
          </a:p>
        </c:txPr>
        <c:crossAx val="361273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9696394686907024"/>
          <c:y val="0.66666666666666663"/>
          <c:w val="0.16002530044275776"/>
          <c:h val="0.11743772241992878"/>
        </c:manualLayout>
      </c:layout>
      <c:overlay val="0"/>
    </c:legend>
    <c:plotVisOnly val="1"/>
    <c:dispBlanksAs val="gap"/>
    <c:showDLblsOverMax val="0"/>
  </c:chart>
  <c:spPr>
    <a:gradFill>
      <a:gsLst>
        <a:gs pos="100000">
          <a:srgbClr val="E4E4E4"/>
        </a:gs>
        <a:gs pos="0">
          <a:srgbClr val="FFFFFF"/>
        </a:gs>
        <a:gs pos="100000">
          <a:srgbClr val="C0C0C0"/>
        </a:gs>
      </a:gsLst>
      <a:lin ang="5400000" scaled="1"/>
    </a:gradFill>
  </c:sp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19</xdr:row>
      <xdr:rowOff>57150</xdr:rowOff>
    </xdr:from>
    <xdr:to>
      <xdr:col>7</xdr:col>
      <xdr:colOff>876300</xdr:colOff>
      <xdr:row>34</xdr:row>
      <xdr:rowOff>104775</xdr:rowOff>
    </xdr:to>
    <xdr:graphicFrame macro="">
      <xdr:nvGraphicFramePr>
        <xdr:cNvPr id="100792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32</xdr:row>
      <xdr:rowOff>200025</xdr:rowOff>
    </xdr:from>
    <xdr:to>
      <xdr:col>7</xdr:col>
      <xdr:colOff>895350</xdr:colOff>
      <xdr:row>48</xdr:row>
      <xdr:rowOff>152400</xdr:rowOff>
    </xdr:to>
    <xdr:graphicFrame macro="">
      <xdr:nvGraphicFramePr>
        <xdr:cNvPr id="10079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161925</xdr:colOff>
      <xdr:row>3</xdr:row>
      <xdr:rowOff>85725</xdr:rowOff>
    </xdr:from>
    <xdr:to>
      <xdr:col>14</xdr:col>
      <xdr:colOff>5181600</xdr:colOff>
      <xdr:row>12</xdr:row>
      <xdr:rowOff>209550</xdr:rowOff>
    </xdr:to>
    <xdr:graphicFrame macro="">
      <xdr:nvGraphicFramePr>
        <xdr:cNvPr id="6299390" name="차트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180975</xdr:colOff>
      <xdr:row>13</xdr:row>
      <xdr:rowOff>114300</xdr:rowOff>
    </xdr:from>
    <xdr:to>
      <xdr:col>14</xdr:col>
      <xdr:colOff>5200650</xdr:colOff>
      <xdr:row>22</xdr:row>
      <xdr:rowOff>219075</xdr:rowOff>
    </xdr:to>
    <xdr:graphicFrame macro="">
      <xdr:nvGraphicFramePr>
        <xdr:cNvPr id="6299391" name="차트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180975</xdr:colOff>
      <xdr:row>23</xdr:row>
      <xdr:rowOff>95250</xdr:rowOff>
    </xdr:from>
    <xdr:to>
      <xdr:col>14</xdr:col>
      <xdr:colOff>5200650</xdr:colOff>
      <xdr:row>32</xdr:row>
      <xdr:rowOff>200025</xdr:rowOff>
    </xdr:to>
    <xdr:graphicFrame macro="">
      <xdr:nvGraphicFramePr>
        <xdr:cNvPr id="6299392" name="차트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190500</xdr:colOff>
      <xdr:row>33</xdr:row>
      <xdr:rowOff>85725</xdr:rowOff>
    </xdr:from>
    <xdr:to>
      <xdr:col>14</xdr:col>
      <xdr:colOff>5210175</xdr:colOff>
      <xdr:row>42</xdr:row>
      <xdr:rowOff>190500</xdr:rowOff>
    </xdr:to>
    <xdr:graphicFrame macro="">
      <xdr:nvGraphicFramePr>
        <xdr:cNvPr id="6299393" name="차트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190500</xdr:colOff>
      <xdr:row>43</xdr:row>
      <xdr:rowOff>85725</xdr:rowOff>
    </xdr:from>
    <xdr:to>
      <xdr:col>14</xdr:col>
      <xdr:colOff>5210175</xdr:colOff>
      <xdr:row>52</xdr:row>
      <xdr:rowOff>190500</xdr:rowOff>
    </xdr:to>
    <xdr:graphicFrame macro="">
      <xdr:nvGraphicFramePr>
        <xdr:cNvPr id="6299394" name="차트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219075</xdr:colOff>
      <xdr:row>53</xdr:row>
      <xdr:rowOff>76200</xdr:rowOff>
    </xdr:from>
    <xdr:to>
      <xdr:col>14</xdr:col>
      <xdr:colOff>5238750</xdr:colOff>
      <xdr:row>62</xdr:row>
      <xdr:rowOff>180975</xdr:rowOff>
    </xdr:to>
    <xdr:graphicFrame macro="">
      <xdr:nvGraphicFramePr>
        <xdr:cNvPr id="6299395" name="차트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219075</xdr:colOff>
      <xdr:row>63</xdr:row>
      <xdr:rowOff>95250</xdr:rowOff>
    </xdr:from>
    <xdr:to>
      <xdr:col>14</xdr:col>
      <xdr:colOff>5238750</xdr:colOff>
      <xdr:row>72</xdr:row>
      <xdr:rowOff>200025</xdr:rowOff>
    </xdr:to>
    <xdr:graphicFrame macro="">
      <xdr:nvGraphicFramePr>
        <xdr:cNvPr id="6299396" name="차트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228600</xdr:colOff>
      <xdr:row>73</xdr:row>
      <xdr:rowOff>76200</xdr:rowOff>
    </xdr:from>
    <xdr:to>
      <xdr:col>14</xdr:col>
      <xdr:colOff>5248275</xdr:colOff>
      <xdr:row>82</xdr:row>
      <xdr:rowOff>180975</xdr:rowOff>
    </xdr:to>
    <xdr:graphicFrame macro="">
      <xdr:nvGraphicFramePr>
        <xdr:cNvPr id="6299397" name="차트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219075</xdr:colOff>
      <xdr:row>103</xdr:row>
      <xdr:rowOff>66675</xdr:rowOff>
    </xdr:from>
    <xdr:to>
      <xdr:col>14</xdr:col>
      <xdr:colOff>5238750</xdr:colOff>
      <xdr:row>112</xdr:row>
      <xdr:rowOff>171450</xdr:rowOff>
    </xdr:to>
    <xdr:graphicFrame macro="">
      <xdr:nvGraphicFramePr>
        <xdr:cNvPr id="6299399" name="차트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228599</xdr:colOff>
      <xdr:row>148</xdr:row>
      <xdr:rowOff>133350</xdr:rowOff>
    </xdr:from>
    <xdr:to>
      <xdr:col>9</xdr:col>
      <xdr:colOff>847724</xdr:colOff>
      <xdr:row>159</xdr:row>
      <xdr:rowOff>76200</xdr:rowOff>
    </xdr:to>
    <xdr:graphicFrame macro="">
      <xdr:nvGraphicFramePr>
        <xdr:cNvPr id="6299402" name="차트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228600</xdr:colOff>
      <xdr:row>83</xdr:row>
      <xdr:rowOff>76200</xdr:rowOff>
    </xdr:from>
    <xdr:to>
      <xdr:col>14</xdr:col>
      <xdr:colOff>5248275</xdr:colOff>
      <xdr:row>92</xdr:row>
      <xdr:rowOff>180975</xdr:rowOff>
    </xdr:to>
    <xdr:graphicFrame macro="">
      <xdr:nvGraphicFramePr>
        <xdr:cNvPr id="12" name="차트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228600</xdr:colOff>
      <xdr:row>93</xdr:row>
      <xdr:rowOff>76200</xdr:rowOff>
    </xdr:from>
    <xdr:to>
      <xdr:col>14</xdr:col>
      <xdr:colOff>5248275</xdr:colOff>
      <xdr:row>102</xdr:row>
      <xdr:rowOff>180975</xdr:rowOff>
    </xdr:to>
    <xdr:graphicFrame macro="">
      <xdr:nvGraphicFramePr>
        <xdr:cNvPr id="13" name="차트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48746</xdr:colOff>
      <xdr:row>1</xdr:row>
      <xdr:rowOff>193301</xdr:rowOff>
    </xdr:from>
    <xdr:to>
      <xdr:col>24</xdr:col>
      <xdr:colOff>420221</xdr:colOff>
      <xdr:row>13</xdr:row>
      <xdr:rowOff>75079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5&#44277;&#44396;\&#48512;&#49548;&#51109;\&#49688;&#47049;&#47749;&#49464;&#4943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5;&#54616;-&#50896;&#51116;&#50980;1042\2006.02.13\My%20Documents\&#49437;&#48393;&#51648;&#54616;&#52264;&#46020;\&#50900;&#49569;Ic&#44368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340;&#51652;2\D\My%20Documents\&#49437;&#48393;&#51648;&#54616;&#52264;&#46020;\&#50900;&#49569;Ic&#44368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49688;&#50896;&#51060;&#51032;&#51648;&#44396;&#53469;&#51648;&#44060;&#48156;\&#49324;&#50629;&#49457;&#48516;&#49437;\&#54532;&#47196;&#51229;&#53944;\&#44160;&#53664;\OO&#46020;&#49884;&#44060;&#48156;&#49324;&#50629;\&#51312;&#49324;&#49444;&#44228;&#48708;&#49328;&#5122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368;&#49888;-pc\&#51020;&#49457;&#44400;&#54616;&#49688;&#46020;&#51221;&#48708;&#44592;&#52488;&#51088;&#47308;\0%20&#51088;&#47308;\02%20&#44288;&#47144;&#44228;&#54925;\11%20&#53440;&#51648;&#50669;%20&#54616;&#49688;&#46020;&#51221;&#48708;\&#49436;&#49328;&#49884;%20&#54616;&#49688;&#46020;&#51221;&#48708;&#44592;&#48376;&#44228;&#54925;%20&#49688;&#47549;%20&#49884;&#48276;&#50857;&#50669;\2.%20&#48512;&#47197;%20-%2030&#48512;\5.%20&#44228;&#54925;&#50976;&#51077;&#49688;&#51656;\3.%20&#50896;&#45800;&#50948;%20&#48143;%20&#44228;&#54925;&#54616;&#49688;&#4704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51020;&#49457;&#49373;&#54876;&#50724;&#49688;&#50896;&#45800;&#50948;(&#52572;&#51333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수량명세서"/>
      <sheetName val="수량명세서 2"/>
      <sheetName val="Sheet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1.설계조건 "/>
      <sheetName val="설계기준설명"/>
      <sheetName val="총괄표"/>
      <sheetName val="2.단면가정 (BASE)"/>
      <sheetName val="2.단면가정  (2)"/>
      <sheetName val="2.단면가정  (3)"/>
      <sheetName val="2.단면가정  (4)"/>
      <sheetName val="2.단면가정  (5)"/>
      <sheetName val="2.단면가정  (6)"/>
      <sheetName val="3.하중및토압(탄성,가동)"/>
      <sheetName val="4.하중 5.안정검토(가동)(탄성)"/>
      <sheetName val="3.하중및토압 (고정)"/>
      <sheetName val="4.하중 5.안정검토(고정)"/>
      <sheetName val="6.벽체계산"/>
      <sheetName val="7.흉벽계산(구식)"/>
      <sheetName val="7.흉벽계산(ASCON)"/>
      <sheetName val="7.흉벽계산(CON)"/>
      <sheetName val="8.PILE (원지반)"/>
      <sheetName val="8.PILE  (돌출)"/>
      <sheetName val="두부보강(허용)"/>
      <sheetName val="9.FOOTING(2)"/>
      <sheetName val="9.FOOTING(3)"/>
      <sheetName val="9.FOOTING(4)"/>
      <sheetName val="9.FOOTING(5)"/>
      <sheetName val="9.FOOTING(6)"/>
      <sheetName val="10.날개벽 (A)"/>
      <sheetName val="10.날개벽(B)"/>
      <sheetName val="10.날개벽 (C)"/>
      <sheetName val="11.고정슈교좌면검토"/>
      <sheetName val="11.가동슈교좌면검토 "/>
      <sheetName val="11.탄성슈교좌면검토 "/>
      <sheetName val="12.접속슬라브CON) "/>
      <sheetName val="12.접속슬라브(ASCON)"/>
      <sheetName val="주철근조립도"/>
      <sheetName val="Sheet3"/>
      <sheetName val="Sheet1"/>
      <sheetName val="수량명세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1.설계조건 "/>
      <sheetName val="설계기준설명"/>
      <sheetName val="총괄표"/>
      <sheetName val="2.단면가정 (BASE)"/>
      <sheetName val="2.단면가정  (2)"/>
      <sheetName val="2.단면가정  (3)"/>
      <sheetName val="2.단면가정  (4)"/>
      <sheetName val="2.단면가정  (5)"/>
      <sheetName val="2.단면가정  (6)"/>
      <sheetName val="3.하중및토압(탄성,가동)"/>
      <sheetName val="4.하중 5.안정검토(가동)(탄성)"/>
      <sheetName val="3.하중및토압 (고정)"/>
      <sheetName val="4.하중 5.안정검토(고정)"/>
      <sheetName val="6.벽체계산"/>
      <sheetName val="7.흉벽계산(구식)"/>
      <sheetName val="7.흉벽계산(ASCON)"/>
      <sheetName val="7.흉벽계산(CON)"/>
      <sheetName val="8.PILE (원지반)"/>
      <sheetName val="8.PILE  (돌출)"/>
      <sheetName val="두부보강(허용)"/>
      <sheetName val="9.FOOTING(2)"/>
      <sheetName val="9.FOOTING(3)"/>
      <sheetName val="9.FOOTING(4)"/>
      <sheetName val="9.FOOTING(5)"/>
      <sheetName val="9.FOOTING(6)"/>
      <sheetName val="10.날개벽 (A)"/>
      <sheetName val="10.날개벽(B)"/>
      <sheetName val="10.날개벽 (C)"/>
      <sheetName val="11.고정슈교좌면검토"/>
      <sheetName val="11.가동슈교좌면검토 "/>
      <sheetName val="11.탄성슈교좌면검토 "/>
      <sheetName val="12.접속슬라브CON) "/>
      <sheetName val="12.접속슬라브(ASCON)"/>
      <sheetName val="주철근조립도"/>
      <sheetName val="Sheet3"/>
      <sheetName val="Sheet1"/>
      <sheetName val="조작대(1연)"/>
      <sheetName val="원형1호맨홀토공수량"/>
      <sheetName val="guard(mac)"/>
      <sheetName val="일위대가목차"/>
      <sheetName val="곡관"/>
      <sheetName val="COPING"/>
      <sheetName val="토사(PE)"/>
      <sheetName val="부대내역"/>
      <sheetName val="일반맨홀수량집계"/>
      <sheetName val="수량산출"/>
      <sheetName val="Sheet17"/>
      <sheetName val="INPUT"/>
      <sheetName val="DATE"/>
      <sheetName val="#REF"/>
      <sheetName val="단면가정"/>
      <sheetName val="가시설(TYPE-A)"/>
      <sheetName val="1호맨홀가감수량"/>
      <sheetName val="1-1평균터파기고(1)"/>
      <sheetName val="1호맨홀수량산출"/>
      <sheetName val="제원"/>
      <sheetName val="3BL공동구 수량"/>
      <sheetName val="기둥(원형)"/>
      <sheetName val="일반공사"/>
      <sheetName val="맨홀수량집계"/>
      <sheetName val="ABUT수량-A1"/>
      <sheetName val="SHEET PILE공자재수량집계표"/>
      <sheetName val="역T형"/>
      <sheetName val="danga"/>
      <sheetName val="ilch"/>
      <sheetName val="밸브설치"/>
      <sheetName val="Y-WORK"/>
      <sheetName val="1.우편집중내역서"/>
      <sheetName val="DATA"/>
      <sheetName val="WORK"/>
      <sheetName val="2.5MGD-65UVT"/>
      <sheetName val="2.5MGD-55UVT"/>
      <sheetName val="12.5MGD-65UVT"/>
      <sheetName val="12.5-55UVT"/>
      <sheetName val="25MGD-65UVT"/>
      <sheetName val="25-55UVT"/>
      <sheetName val="Spropor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단가"/>
      <sheetName val="총괄"/>
      <sheetName val="지형현황측량"/>
      <sheetName val="토질조사"/>
      <sheetName val="토지권리조사"/>
      <sheetName val="주택단지"/>
      <sheetName val="지구단위-계획수립"/>
      <sheetName val="단지조성기본및실시설계"/>
      <sheetName val="조경기본및실시설계"/>
      <sheetName val="감리비"/>
      <sheetName val="수량산출"/>
      <sheetName val="H-PILE수량집계"/>
      <sheetName val="쌍송교"/>
    </sheetNames>
    <sheetDataSet>
      <sheetData sheetId="0" refreshError="1">
        <row r="3">
          <cell r="C3">
            <v>8</v>
          </cell>
        </row>
        <row r="5">
          <cell r="B5" t="str">
            <v>구   분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 상수도급수현황"/>
      <sheetName val="3.1.1 과거급수량원단위"/>
      <sheetName val="3.2.1상수사용량조사에 의한 원단위 산정"/>
      <sheetName val="3.2.2 상수도 급수량에 의한 원단위 산정"/>
      <sheetName val="3.2.3 물사용량 조사에 의한 원단위 산정"/>
      <sheetName val="3.2.4 물사용량 원단위 결정"/>
      <sheetName val="3.3 생활오수량 원단위 산정"/>
      <sheetName val="상수도사용량 추정(서산시)5년"/>
      <sheetName val="상수도사용량 추정(서산시)10년"/>
      <sheetName val="상수도사용량 추정(동지역)5년"/>
      <sheetName val="상수도사용량 추정(동지역)10년"/>
      <sheetName val="상수도사용량 추정(읍지역)5년"/>
      <sheetName val="상수도사용량 추정(읍지역)10년"/>
      <sheetName val="상수도사용량 추정(면지역)5년"/>
      <sheetName val="상수도사용량 추정(면지역)10년"/>
      <sheetName val="상수도급수량 추정(서산시)5년"/>
      <sheetName val="상수도급수량 추정(서산시)10년"/>
      <sheetName val="상수도급수량 추정(동지역)5년"/>
      <sheetName val="상수도급수량 추정(동지역)10년"/>
      <sheetName val="상수도급수량 추정(읍지역)5년"/>
      <sheetName val="상수도급수량 추정(읍지역)10년"/>
      <sheetName val="상수도급수량 추정(면지역)5년"/>
      <sheetName val="상수도급수량 추정(면지역)10년"/>
      <sheetName val="4.1.1 계획하수량총괄"/>
      <sheetName val="4.1.2 생활오수량 1)생활오수량(일평균)"/>
      <sheetName val="2)생활오수수량(일최대)"/>
      <sheetName val="3)생활오수량(시간최대)"/>
      <sheetName val="4.1.3 지하수유입량"/>
      <sheetName val="가. 군부대하수량"/>
      <sheetName val="나. 서산휴게소하수량"/>
      <sheetName val="다. 관광호텔하수량"/>
      <sheetName val="라. 환경기초시설"/>
      <sheetName val="마. 홍성교도소 서산지소"/>
      <sheetName val="바. 지하수사용 하수량"/>
      <sheetName val="4.2 소규모공공하수처리시설"/>
      <sheetName val="생활오수량"/>
      <sheetName val="관광인구"/>
      <sheetName val="관광오수량"/>
    </sheetNames>
    <sheetDataSet>
      <sheetData sheetId="0"/>
      <sheetData sheetId="1"/>
      <sheetData sheetId="2"/>
      <sheetData sheetId="3"/>
      <sheetData sheetId="4">
        <row r="85">
          <cell r="D85">
            <v>103504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0">
          <cell r="D10">
            <v>129729</v>
          </cell>
        </row>
      </sheetData>
      <sheetData sheetId="24"/>
      <sheetData sheetId="25"/>
      <sheetData sheetId="26"/>
      <sheetData sheetId="27"/>
      <sheetData sheetId="28">
        <row r="112">
          <cell r="F112">
            <v>1446.1421003787882</v>
          </cell>
        </row>
      </sheetData>
      <sheetData sheetId="29"/>
      <sheetData sheetId="30"/>
      <sheetData sheetId="31">
        <row r="92">
          <cell r="F92">
            <v>90</v>
          </cell>
          <cell r="H92">
            <v>90</v>
          </cell>
          <cell r="J92">
            <v>90</v>
          </cell>
          <cell r="L92">
            <v>90</v>
          </cell>
        </row>
      </sheetData>
      <sheetData sheetId="32">
        <row r="17">
          <cell r="F17">
            <v>200</v>
          </cell>
        </row>
      </sheetData>
      <sheetData sheetId="33"/>
      <sheetData sheetId="34"/>
      <sheetData sheetId="35"/>
      <sheetData sheetId="36"/>
      <sheetData sheetId="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계획하수량 원단위 총괄"/>
      <sheetName val="2.음성군급수총괄"/>
      <sheetName val="3.면별급수현황"/>
      <sheetName val="4.상수사용량현황"/>
      <sheetName val="4.1사용실적산정"/>
      <sheetName val="5.생산량분석"/>
      <sheetName val="6.상수사용량원단위"/>
      <sheetName val="6.1관련계획"/>
      <sheetName val="7.생활오수량 원단위"/>
      <sheetName val="7.1소규모원단위"/>
      <sheetName val="8.지하수사용량"/>
      <sheetName val="10.관광오수량 원단위"/>
      <sheetName val="11.연계처리용량 및 수질"/>
      <sheetName val="12.기타하수량"/>
      <sheetName val="가.(1단계 기존시설)"/>
      <sheetName val="나.2단계 (증축시설)"/>
      <sheetName val="상수도사용원단위"/>
      <sheetName val="급수량원단위추정"/>
      <sheetName val="사용량 수학적추정"/>
      <sheetName val="급수량==&gt;"/>
      <sheetName val="음성읍(10년)"/>
      <sheetName val="음성읍(5년)"/>
      <sheetName val="금왕읍(10년)"/>
      <sheetName val="금왕읍(5년)"/>
      <sheetName val="대소면(10년)"/>
      <sheetName val="대소면(5년)"/>
      <sheetName val="광혜원면(10년)"/>
      <sheetName val="광혜원면(5년)"/>
      <sheetName val="사용량==&gt;"/>
      <sheetName val="진천읍(10년) (사)"/>
      <sheetName val="진천읍(5년) (사)"/>
      <sheetName val="덕산면(10년) (사)"/>
      <sheetName val="덕산면(5년) (사)"/>
      <sheetName val="이월면(10년) (사)"/>
      <sheetName val="이월면(5년) (사)"/>
      <sheetName val="광혜원면(10년) (사)"/>
      <sheetName val="광혜원면(5년) (사)"/>
      <sheetName val="소규모"/>
      <sheetName val="봉죽(검측)"/>
      <sheetName val="사석(검측)"/>
      <sheetName val="석현(검측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50">
          <cell r="D50">
            <v>0</v>
          </cell>
        </row>
      </sheetData>
      <sheetData sheetId="34">
        <row r="11">
          <cell r="D11">
            <v>273</v>
          </cell>
        </row>
        <row r="45">
          <cell r="D45">
            <v>0</v>
          </cell>
        </row>
      </sheetData>
      <sheetData sheetId="35">
        <row r="50">
          <cell r="D50">
            <v>0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media.daum.net/society/others/newsview?newsid=20060404171811424" TargetMode="External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P189"/>
  <sheetViews>
    <sheetView view="pageBreakPreview" topLeftCell="A138" zoomScaleNormal="100" zoomScaleSheetLayoutView="100" workbookViewId="0">
      <selection activeCell="G145" sqref="G145"/>
    </sheetView>
  </sheetViews>
  <sheetFormatPr defaultRowHeight="13.5" outlineLevelRow="1"/>
  <cols>
    <col min="1" max="1" width="14.6640625" style="523" customWidth="1"/>
    <col min="2" max="3" width="9.6640625" style="525" customWidth="1"/>
    <col min="4" max="4" width="5.33203125" style="628" customWidth="1"/>
    <col min="5" max="9" width="9" style="524" customWidth="1"/>
    <col min="10" max="10" width="10.44140625" style="525" customWidth="1"/>
    <col min="11" max="251" width="8.88671875" style="302"/>
    <col min="252" max="252" width="16.6640625" style="302" customWidth="1"/>
    <col min="253" max="253" width="11.21875" style="302" customWidth="1"/>
    <col min="254" max="254" width="8.21875" style="302" bestFit="1" customWidth="1"/>
    <col min="255" max="255" width="7.21875" style="302" customWidth="1"/>
    <col min="256" max="260" width="7" style="302" customWidth="1"/>
    <col min="261" max="261" width="27.5546875" style="302" customWidth="1"/>
    <col min="262" max="507" width="8.88671875" style="302"/>
    <col min="508" max="508" width="16.6640625" style="302" customWidth="1"/>
    <col min="509" max="509" width="11.21875" style="302" customWidth="1"/>
    <col min="510" max="510" width="8.21875" style="302" bestFit="1" customWidth="1"/>
    <col min="511" max="511" width="7.21875" style="302" customWidth="1"/>
    <col min="512" max="516" width="7" style="302" customWidth="1"/>
    <col min="517" max="517" width="27.5546875" style="302" customWidth="1"/>
    <col min="518" max="763" width="8.88671875" style="302"/>
    <col min="764" max="764" width="16.6640625" style="302" customWidth="1"/>
    <col min="765" max="765" width="11.21875" style="302" customWidth="1"/>
    <col min="766" max="766" width="8.21875" style="302" bestFit="1" customWidth="1"/>
    <col min="767" max="767" width="7.21875" style="302" customWidth="1"/>
    <col min="768" max="772" width="7" style="302" customWidth="1"/>
    <col min="773" max="773" width="27.5546875" style="302" customWidth="1"/>
    <col min="774" max="1019" width="8.88671875" style="302"/>
    <col min="1020" max="1020" width="16.6640625" style="302" customWidth="1"/>
    <col min="1021" max="1021" width="11.21875" style="302" customWidth="1"/>
    <col min="1022" max="1022" width="8.21875" style="302" bestFit="1" customWidth="1"/>
    <col min="1023" max="1023" width="7.21875" style="302" customWidth="1"/>
    <col min="1024" max="1028" width="7" style="302" customWidth="1"/>
    <col min="1029" max="1029" width="27.5546875" style="302" customWidth="1"/>
    <col min="1030" max="1275" width="8.88671875" style="302"/>
    <col min="1276" max="1276" width="16.6640625" style="302" customWidth="1"/>
    <col min="1277" max="1277" width="11.21875" style="302" customWidth="1"/>
    <col min="1278" max="1278" width="8.21875" style="302" bestFit="1" customWidth="1"/>
    <col min="1279" max="1279" width="7.21875" style="302" customWidth="1"/>
    <col min="1280" max="1284" width="7" style="302" customWidth="1"/>
    <col min="1285" max="1285" width="27.5546875" style="302" customWidth="1"/>
    <col min="1286" max="1531" width="8.88671875" style="302"/>
    <col min="1532" max="1532" width="16.6640625" style="302" customWidth="1"/>
    <col min="1533" max="1533" width="11.21875" style="302" customWidth="1"/>
    <col min="1534" max="1534" width="8.21875" style="302" bestFit="1" customWidth="1"/>
    <col min="1535" max="1535" width="7.21875" style="302" customWidth="1"/>
    <col min="1536" max="1540" width="7" style="302" customWidth="1"/>
    <col min="1541" max="1541" width="27.5546875" style="302" customWidth="1"/>
    <col min="1542" max="1787" width="8.88671875" style="302"/>
    <col min="1788" max="1788" width="16.6640625" style="302" customWidth="1"/>
    <col min="1789" max="1789" width="11.21875" style="302" customWidth="1"/>
    <col min="1790" max="1790" width="8.21875" style="302" bestFit="1" customWidth="1"/>
    <col min="1791" max="1791" width="7.21875" style="302" customWidth="1"/>
    <col min="1792" max="1796" width="7" style="302" customWidth="1"/>
    <col min="1797" max="1797" width="27.5546875" style="302" customWidth="1"/>
    <col min="1798" max="2043" width="8.88671875" style="302"/>
    <col min="2044" max="2044" width="16.6640625" style="302" customWidth="1"/>
    <col min="2045" max="2045" width="11.21875" style="302" customWidth="1"/>
    <col min="2046" max="2046" width="8.21875" style="302" bestFit="1" customWidth="1"/>
    <col min="2047" max="2047" width="7.21875" style="302" customWidth="1"/>
    <col min="2048" max="2052" width="7" style="302" customWidth="1"/>
    <col min="2053" max="2053" width="27.5546875" style="302" customWidth="1"/>
    <col min="2054" max="2299" width="8.88671875" style="302"/>
    <col min="2300" max="2300" width="16.6640625" style="302" customWidth="1"/>
    <col min="2301" max="2301" width="11.21875" style="302" customWidth="1"/>
    <col min="2302" max="2302" width="8.21875" style="302" bestFit="1" customWidth="1"/>
    <col min="2303" max="2303" width="7.21875" style="302" customWidth="1"/>
    <col min="2304" max="2308" width="7" style="302" customWidth="1"/>
    <col min="2309" max="2309" width="27.5546875" style="302" customWidth="1"/>
    <col min="2310" max="2555" width="8.88671875" style="302"/>
    <col min="2556" max="2556" width="16.6640625" style="302" customWidth="1"/>
    <col min="2557" max="2557" width="11.21875" style="302" customWidth="1"/>
    <col min="2558" max="2558" width="8.21875" style="302" bestFit="1" customWidth="1"/>
    <col min="2559" max="2559" width="7.21875" style="302" customWidth="1"/>
    <col min="2560" max="2564" width="7" style="302" customWidth="1"/>
    <col min="2565" max="2565" width="27.5546875" style="302" customWidth="1"/>
    <col min="2566" max="2811" width="8.88671875" style="302"/>
    <col min="2812" max="2812" width="16.6640625" style="302" customWidth="1"/>
    <col min="2813" max="2813" width="11.21875" style="302" customWidth="1"/>
    <col min="2814" max="2814" width="8.21875" style="302" bestFit="1" customWidth="1"/>
    <col min="2815" max="2815" width="7.21875" style="302" customWidth="1"/>
    <col min="2816" max="2820" width="7" style="302" customWidth="1"/>
    <col min="2821" max="2821" width="27.5546875" style="302" customWidth="1"/>
    <col min="2822" max="3067" width="8.88671875" style="302"/>
    <col min="3068" max="3068" width="16.6640625" style="302" customWidth="1"/>
    <col min="3069" max="3069" width="11.21875" style="302" customWidth="1"/>
    <col min="3070" max="3070" width="8.21875" style="302" bestFit="1" customWidth="1"/>
    <col min="3071" max="3071" width="7.21875" style="302" customWidth="1"/>
    <col min="3072" max="3076" width="7" style="302" customWidth="1"/>
    <col min="3077" max="3077" width="27.5546875" style="302" customWidth="1"/>
    <col min="3078" max="3323" width="8.88671875" style="302"/>
    <col min="3324" max="3324" width="16.6640625" style="302" customWidth="1"/>
    <col min="3325" max="3325" width="11.21875" style="302" customWidth="1"/>
    <col min="3326" max="3326" width="8.21875" style="302" bestFit="1" customWidth="1"/>
    <col min="3327" max="3327" width="7.21875" style="302" customWidth="1"/>
    <col min="3328" max="3332" width="7" style="302" customWidth="1"/>
    <col min="3333" max="3333" width="27.5546875" style="302" customWidth="1"/>
    <col min="3334" max="3579" width="8.88671875" style="302"/>
    <col min="3580" max="3580" width="16.6640625" style="302" customWidth="1"/>
    <col min="3581" max="3581" width="11.21875" style="302" customWidth="1"/>
    <col min="3582" max="3582" width="8.21875" style="302" bestFit="1" customWidth="1"/>
    <col min="3583" max="3583" width="7.21875" style="302" customWidth="1"/>
    <col min="3584" max="3588" width="7" style="302" customWidth="1"/>
    <col min="3589" max="3589" width="27.5546875" style="302" customWidth="1"/>
    <col min="3590" max="3835" width="8.88671875" style="302"/>
    <col min="3836" max="3836" width="16.6640625" style="302" customWidth="1"/>
    <col min="3837" max="3837" width="11.21875" style="302" customWidth="1"/>
    <col min="3838" max="3838" width="8.21875" style="302" bestFit="1" customWidth="1"/>
    <col min="3839" max="3839" width="7.21875" style="302" customWidth="1"/>
    <col min="3840" max="3844" width="7" style="302" customWidth="1"/>
    <col min="3845" max="3845" width="27.5546875" style="302" customWidth="1"/>
    <col min="3846" max="4091" width="8.88671875" style="302"/>
    <col min="4092" max="4092" width="16.6640625" style="302" customWidth="1"/>
    <col min="4093" max="4093" width="11.21875" style="302" customWidth="1"/>
    <col min="4094" max="4094" width="8.21875" style="302" bestFit="1" customWidth="1"/>
    <col min="4095" max="4095" width="7.21875" style="302" customWidth="1"/>
    <col min="4096" max="4100" width="7" style="302" customWidth="1"/>
    <col min="4101" max="4101" width="27.5546875" style="302" customWidth="1"/>
    <col min="4102" max="4347" width="8.88671875" style="302"/>
    <col min="4348" max="4348" width="16.6640625" style="302" customWidth="1"/>
    <col min="4349" max="4349" width="11.21875" style="302" customWidth="1"/>
    <col min="4350" max="4350" width="8.21875" style="302" bestFit="1" customWidth="1"/>
    <col min="4351" max="4351" width="7.21875" style="302" customWidth="1"/>
    <col min="4352" max="4356" width="7" style="302" customWidth="1"/>
    <col min="4357" max="4357" width="27.5546875" style="302" customWidth="1"/>
    <col min="4358" max="4603" width="8.88671875" style="302"/>
    <col min="4604" max="4604" width="16.6640625" style="302" customWidth="1"/>
    <col min="4605" max="4605" width="11.21875" style="302" customWidth="1"/>
    <col min="4606" max="4606" width="8.21875" style="302" bestFit="1" customWidth="1"/>
    <col min="4607" max="4607" width="7.21875" style="302" customWidth="1"/>
    <col min="4608" max="4612" width="7" style="302" customWidth="1"/>
    <col min="4613" max="4613" width="27.5546875" style="302" customWidth="1"/>
    <col min="4614" max="4859" width="8.88671875" style="302"/>
    <col min="4860" max="4860" width="16.6640625" style="302" customWidth="1"/>
    <col min="4861" max="4861" width="11.21875" style="302" customWidth="1"/>
    <col min="4862" max="4862" width="8.21875" style="302" bestFit="1" customWidth="1"/>
    <col min="4863" max="4863" width="7.21875" style="302" customWidth="1"/>
    <col min="4864" max="4868" width="7" style="302" customWidth="1"/>
    <col min="4869" max="4869" width="27.5546875" style="302" customWidth="1"/>
    <col min="4870" max="5115" width="8.88671875" style="302"/>
    <col min="5116" max="5116" width="16.6640625" style="302" customWidth="1"/>
    <col min="5117" max="5117" width="11.21875" style="302" customWidth="1"/>
    <col min="5118" max="5118" width="8.21875" style="302" bestFit="1" customWidth="1"/>
    <col min="5119" max="5119" width="7.21875" style="302" customWidth="1"/>
    <col min="5120" max="5124" width="7" style="302" customWidth="1"/>
    <col min="5125" max="5125" width="27.5546875" style="302" customWidth="1"/>
    <col min="5126" max="5371" width="8.88671875" style="302"/>
    <col min="5372" max="5372" width="16.6640625" style="302" customWidth="1"/>
    <col min="5373" max="5373" width="11.21875" style="302" customWidth="1"/>
    <col min="5374" max="5374" width="8.21875" style="302" bestFit="1" customWidth="1"/>
    <col min="5375" max="5375" width="7.21875" style="302" customWidth="1"/>
    <col min="5376" max="5380" width="7" style="302" customWidth="1"/>
    <col min="5381" max="5381" width="27.5546875" style="302" customWidth="1"/>
    <col min="5382" max="5627" width="8.88671875" style="302"/>
    <col min="5628" max="5628" width="16.6640625" style="302" customWidth="1"/>
    <col min="5629" max="5629" width="11.21875" style="302" customWidth="1"/>
    <col min="5630" max="5630" width="8.21875" style="302" bestFit="1" customWidth="1"/>
    <col min="5631" max="5631" width="7.21875" style="302" customWidth="1"/>
    <col min="5632" max="5636" width="7" style="302" customWidth="1"/>
    <col min="5637" max="5637" width="27.5546875" style="302" customWidth="1"/>
    <col min="5638" max="5883" width="8.88671875" style="302"/>
    <col min="5884" max="5884" width="16.6640625" style="302" customWidth="1"/>
    <col min="5885" max="5885" width="11.21875" style="302" customWidth="1"/>
    <col min="5886" max="5886" width="8.21875" style="302" bestFit="1" customWidth="1"/>
    <col min="5887" max="5887" width="7.21875" style="302" customWidth="1"/>
    <col min="5888" max="5892" width="7" style="302" customWidth="1"/>
    <col min="5893" max="5893" width="27.5546875" style="302" customWidth="1"/>
    <col min="5894" max="6139" width="8.88671875" style="302"/>
    <col min="6140" max="6140" width="16.6640625" style="302" customWidth="1"/>
    <col min="6141" max="6141" width="11.21875" style="302" customWidth="1"/>
    <col min="6142" max="6142" width="8.21875" style="302" bestFit="1" customWidth="1"/>
    <col min="6143" max="6143" width="7.21875" style="302" customWidth="1"/>
    <col min="6144" max="6148" width="7" style="302" customWidth="1"/>
    <col min="6149" max="6149" width="27.5546875" style="302" customWidth="1"/>
    <col min="6150" max="6395" width="8.88671875" style="302"/>
    <col min="6396" max="6396" width="16.6640625" style="302" customWidth="1"/>
    <col min="6397" max="6397" width="11.21875" style="302" customWidth="1"/>
    <col min="6398" max="6398" width="8.21875" style="302" bestFit="1" customWidth="1"/>
    <col min="6399" max="6399" width="7.21875" style="302" customWidth="1"/>
    <col min="6400" max="6404" width="7" style="302" customWidth="1"/>
    <col min="6405" max="6405" width="27.5546875" style="302" customWidth="1"/>
    <col min="6406" max="6651" width="8.88671875" style="302"/>
    <col min="6652" max="6652" width="16.6640625" style="302" customWidth="1"/>
    <col min="6653" max="6653" width="11.21875" style="302" customWidth="1"/>
    <col min="6654" max="6654" width="8.21875" style="302" bestFit="1" customWidth="1"/>
    <col min="6655" max="6655" width="7.21875" style="302" customWidth="1"/>
    <col min="6656" max="6660" width="7" style="302" customWidth="1"/>
    <col min="6661" max="6661" width="27.5546875" style="302" customWidth="1"/>
    <col min="6662" max="6907" width="8.88671875" style="302"/>
    <col min="6908" max="6908" width="16.6640625" style="302" customWidth="1"/>
    <col min="6909" max="6909" width="11.21875" style="302" customWidth="1"/>
    <col min="6910" max="6910" width="8.21875" style="302" bestFit="1" customWidth="1"/>
    <col min="6911" max="6911" width="7.21875" style="302" customWidth="1"/>
    <col min="6912" max="6916" width="7" style="302" customWidth="1"/>
    <col min="6917" max="6917" width="27.5546875" style="302" customWidth="1"/>
    <col min="6918" max="7163" width="8.88671875" style="302"/>
    <col min="7164" max="7164" width="16.6640625" style="302" customWidth="1"/>
    <col min="7165" max="7165" width="11.21875" style="302" customWidth="1"/>
    <col min="7166" max="7166" width="8.21875" style="302" bestFit="1" customWidth="1"/>
    <col min="7167" max="7167" width="7.21875" style="302" customWidth="1"/>
    <col min="7168" max="7172" width="7" style="302" customWidth="1"/>
    <col min="7173" max="7173" width="27.5546875" style="302" customWidth="1"/>
    <col min="7174" max="7419" width="8.88671875" style="302"/>
    <col min="7420" max="7420" width="16.6640625" style="302" customWidth="1"/>
    <col min="7421" max="7421" width="11.21875" style="302" customWidth="1"/>
    <col min="7422" max="7422" width="8.21875" style="302" bestFit="1" customWidth="1"/>
    <col min="7423" max="7423" width="7.21875" style="302" customWidth="1"/>
    <col min="7424" max="7428" width="7" style="302" customWidth="1"/>
    <col min="7429" max="7429" width="27.5546875" style="302" customWidth="1"/>
    <col min="7430" max="7675" width="8.88671875" style="302"/>
    <col min="7676" max="7676" width="16.6640625" style="302" customWidth="1"/>
    <col min="7677" max="7677" width="11.21875" style="302" customWidth="1"/>
    <col min="7678" max="7678" width="8.21875" style="302" bestFit="1" customWidth="1"/>
    <col min="7679" max="7679" width="7.21875" style="302" customWidth="1"/>
    <col min="7680" max="7684" width="7" style="302" customWidth="1"/>
    <col min="7685" max="7685" width="27.5546875" style="302" customWidth="1"/>
    <col min="7686" max="7931" width="8.88671875" style="302"/>
    <col min="7932" max="7932" width="16.6640625" style="302" customWidth="1"/>
    <col min="7933" max="7933" width="11.21875" style="302" customWidth="1"/>
    <col min="7934" max="7934" width="8.21875" style="302" bestFit="1" customWidth="1"/>
    <col min="7935" max="7935" width="7.21875" style="302" customWidth="1"/>
    <col min="7936" max="7940" width="7" style="302" customWidth="1"/>
    <col min="7941" max="7941" width="27.5546875" style="302" customWidth="1"/>
    <col min="7942" max="8187" width="8.88671875" style="302"/>
    <col min="8188" max="8188" width="16.6640625" style="302" customWidth="1"/>
    <col min="8189" max="8189" width="11.21875" style="302" customWidth="1"/>
    <col min="8190" max="8190" width="8.21875" style="302" bestFit="1" customWidth="1"/>
    <col min="8191" max="8191" width="7.21875" style="302" customWidth="1"/>
    <col min="8192" max="8196" width="7" style="302" customWidth="1"/>
    <col min="8197" max="8197" width="27.5546875" style="302" customWidth="1"/>
    <col min="8198" max="8443" width="8.88671875" style="302"/>
    <col min="8444" max="8444" width="16.6640625" style="302" customWidth="1"/>
    <col min="8445" max="8445" width="11.21875" style="302" customWidth="1"/>
    <col min="8446" max="8446" width="8.21875" style="302" bestFit="1" customWidth="1"/>
    <col min="8447" max="8447" width="7.21875" style="302" customWidth="1"/>
    <col min="8448" max="8452" width="7" style="302" customWidth="1"/>
    <col min="8453" max="8453" width="27.5546875" style="302" customWidth="1"/>
    <col min="8454" max="8699" width="8.88671875" style="302"/>
    <col min="8700" max="8700" width="16.6640625" style="302" customWidth="1"/>
    <col min="8701" max="8701" width="11.21875" style="302" customWidth="1"/>
    <col min="8702" max="8702" width="8.21875" style="302" bestFit="1" customWidth="1"/>
    <col min="8703" max="8703" width="7.21875" style="302" customWidth="1"/>
    <col min="8704" max="8708" width="7" style="302" customWidth="1"/>
    <col min="8709" max="8709" width="27.5546875" style="302" customWidth="1"/>
    <col min="8710" max="8955" width="8.88671875" style="302"/>
    <col min="8956" max="8956" width="16.6640625" style="302" customWidth="1"/>
    <col min="8957" max="8957" width="11.21875" style="302" customWidth="1"/>
    <col min="8958" max="8958" width="8.21875" style="302" bestFit="1" customWidth="1"/>
    <col min="8959" max="8959" width="7.21875" style="302" customWidth="1"/>
    <col min="8960" max="8964" width="7" style="302" customWidth="1"/>
    <col min="8965" max="8965" width="27.5546875" style="302" customWidth="1"/>
    <col min="8966" max="9211" width="8.88671875" style="302"/>
    <col min="9212" max="9212" width="16.6640625" style="302" customWidth="1"/>
    <col min="9213" max="9213" width="11.21875" style="302" customWidth="1"/>
    <col min="9214" max="9214" width="8.21875" style="302" bestFit="1" customWidth="1"/>
    <col min="9215" max="9215" width="7.21875" style="302" customWidth="1"/>
    <col min="9216" max="9220" width="7" style="302" customWidth="1"/>
    <col min="9221" max="9221" width="27.5546875" style="302" customWidth="1"/>
    <col min="9222" max="9467" width="8.88671875" style="302"/>
    <col min="9468" max="9468" width="16.6640625" style="302" customWidth="1"/>
    <col min="9469" max="9469" width="11.21875" style="302" customWidth="1"/>
    <col min="9470" max="9470" width="8.21875" style="302" bestFit="1" customWidth="1"/>
    <col min="9471" max="9471" width="7.21875" style="302" customWidth="1"/>
    <col min="9472" max="9476" width="7" style="302" customWidth="1"/>
    <col min="9477" max="9477" width="27.5546875" style="302" customWidth="1"/>
    <col min="9478" max="9723" width="8.88671875" style="302"/>
    <col min="9724" max="9724" width="16.6640625" style="302" customWidth="1"/>
    <col min="9725" max="9725" width="11.21875" style="302" customWidth="1"/>
    <col min="9726" max="9726" width="8.21875" style="302" bestFit="1" customWidth="1"/>
    <col min="9727" max="9727" width="7.21875" style="302" customWidth="1"/>
    <col min="9728" max="9732" width="7" style="302" customWidth="1"/>
    <col min="9733" max="9733" width="27.5546875" style="302" customWidth="1"/>
    <col min="9734" max="9979" width="8.88671875" style="302"/>
    <col min="9980" max="9980" width="16.6640625" style="302" customWidth="1"/>
    <col min="9981" max="9981" width="11.21875" style="302" customWidth="1"/>
    <col min="9982" max="9982" width="8.21875" style="302" bestFit="1" customWidth="1"/>
    <col min="9983" max="9983" width="7.21875" style="302" customWidth="1"/>
    <col min="9984" max="9988" width="7" style="302" customWidth="1"/>
    <col min="9989" max="9989" width="27.5546875" style="302" customWidth="1"/>
    <col min="9990" max="10235" width="8.88671875" style="302"/>
    <col min="10236" max="10236" width="16.6640625" style="302" customWidth="1"/>
    <col min="10237" max="10237" width="11.21875" style="302" customWidth="1"/>
    <col min="10238" max="10238" width="8.21875" style="302" bestFit="1" customWidth="1"/>
    <col min="10239" max="10239" width="7.21875" style="302" customWidth="1"/>
    <col min="10240" max="10244" width="7" style="302" customWidth="1"/>
    <col min="10245" max="10245" width="27.5546875" style="302" customWidth="1"/>
    <col min="10246" max="10491" width="8.88671875" style="302"/>
    <col min="10492" max="10492" width="16.6640625" style="302" customWidth="1"/>
    <col min="10493" max="10493" width="11.21875" style="302" customWidth="1"/>
    <col min="10494" max="10494" width="8.21875" style="302" bestFit="1" customWidth="1"/>
    <col min="10495" max="10495" width="7.21875" style="302" customWidth="1"/>
    <col min="10496" max="10500" width="7" style="302" customWidth="1"/>
    <col min="10501" max="10501" width="27.5546875" style="302" customWidth="1"/>
    <col min="10502" max="10747" width="8.88671875" style="302"/>
    <col min="10748" max="10748" width="16.6640625" style="302" customWidth="1"/>
    <col min="10749" max="10749" width="11.21875" style="302" customWidth="1"/>
    <col min="10750" max="10750" width="8.21875" style="302" bestFit="1" customWidth="1"/>
    <col min="10751" max="10751" width="7.21875" style="302" customWidth="1"/>
    <col min="10752" max="10756" width="7" style="302" customWidth="1"/>
    <col min="10757" max="10757" width="27.5546875" style="302" customWidth="1"/>
    <col min="10758" max="11003" width="8.88671875" style="302"/>
    <col min="11004" max="11004" width="16.6640625" style="302" customWidth="1"/>
    <col min="11005" max="11005" width="11.21875" style="302" customWidth="1"/>
    <col min="11006" max="11006" width="8.21875" style="302" bestFit="1" customWidth="1"/>
    <col min="11007" max="11007" width="7.21875" style="302" customWidth="1"/>
    <col min="11008" max="11012" width="7" style="302" customWidth="1"/>
    <col min="11013" max="11013" width="27.5546875" style="302" customWidth="1"/>
    <col min="11014" max="11259" width="8.88671875" style="302"/>
    <col min="11260" max="11260" width="16.6640625" style="302" customWidth="1"/>
    <col min="11261" max="11261" width="11.21875" style="302" customWidth="1"/>
    <col min="11262" max="11262" width="8.21875" style="302" bestFit="1" customWidth="1"/>
    <col min="11263" max="11263" width="7.21875" style="302" customWidth="1"/>
    <col min="11264" max="11268" width="7" style="302" customWidth="1"/>
    <col min="11269" max="11269" width="27.5546875" style="302" customWidth="1"/>
    <col min="11270" max="11515" width="8.88671875" style="302"/>
    <col min="11516" max="11516" width="16.6640625" style="302" customWidth="1"/>
    <col min="11517" max="11517" width="11.21875" style="302" customWidth="1"/>
    <col min="11518" max="11518" width="8.21875" style="302" bestFit="1" customWidth="1"/>
    <col min="11519" max="11519" width="7.21875" style="302" customWidth="1"/>
    <col min="11520" max="11524" width="7" style="302" customWidth="1"/>
    <col min="11525" max="11525" width="27.5546875" style="302" customWidth="1"/>
    <col min="11526" max="11771" width="8.88671875" style="302"/>
    <col min="11772" max="11772" width="16.6640625" style="302" customWidth="1"/>
    <col min="11773" max="11773" width="11.21875" style="302" customWidth="1"/>
    <col min="11774" max="11774" width="8.21875" style="302" bestFit="1" customWidth="1"/>
    <col min="11775" max="11775" width="7.21875" style="302" customWidth="1"/>
    <col min="11776" max="11780" width="7" style="302" customWidth="1"/>
    <col min="11781" max="11781" width="27.5546875" style="302" customWidth="1"/>
    <col min="11782" max="12027" width="8.88671875" style="302"/>
    <col min="12028" max="12028" width="16.6640625" style="302" customWidth="1"/>
    <col min="12029" max="12029" width="11.21875" style="302" customWidth="1"/>
    <col min="12030" max="12030" width="8.21875" style="302" bestFit="1" customWidth="1"/>
    <col min="12031" max="12031" width="7.21875" style="302" customWidth="1"/>
    <col min="12032" max="12036" width="7" style="302" customWidth="1"/>
    <col min="12037" max="12037" width="27.5546875" style="302" customWidth="1"/>
    <col min="12038" max="12283" width="8.88671875" style="302"/>
    <col min="12284" max="12284" width="16.6640625" style="302" customWidth="1"/>
    <col min="12285" max="12285" width="11.21875" style="302" customWidth="1"/>
    <col min="12286" max="12286" width="8.21875" style="302" bestFit="1" customWidth="1"/>
    <col min="12287" max="12287" width="7.21875" style="302" customWidth="1"/>
    <col min="12288" max="12292" width="7" style="302" customWidth="1"/>
    <col min="12293" max="12293" width="27.5546875" style="302" customWidth="1"/>
    <col min="12294" max="12539" width="8.88671875" style="302"/>
    <col min="12540" max="12540" width="16.6640625" style="302" customWidth="1"/>
    <col min="12541" max="12541" width="11.21875" style="302" customWidth="1"/>
    <col min="12542" max="12542" width="8.21875" style="302" bestFit="1" customWidth="1"/>
    <col min="12543" max="12543" width="7.21875" style="302" customWidth="1"/>
    <col min="12544" max="12548" width="7" style="302" customWidth="1"/>
    <col min="12549" max="12549" width="27.5546875" style="302" customWidth="1"/>
    <col min="12550" max="12795" width="8.88671875" style="302"/>
    <col min="12796" max="12796" width="16.6640625" style="302" customWidth="1"/>
    <col min="12797" max="12797" width="11.21875" style="302" customWidth="1"/>
    <col min="12798" max="12798" width="8.21875" style="302" bestFit="1" customWidth="1"/>
    <col min="12799" max="12799" width="7.21875" style="302" customWidth="1"/>
    <col min="12800" max="12804" width="7" style="302" customWidth="1"/>
    <col min="12805" max="12805" width="27.5546875" style="302" customWidth="1"/>
    <col min="12806" max="13051" width="8.88671875" style="302"/>
    <col min="13052" max="13052" width="16.6640625" style="302" customWidth="1"/>
    <col min="13053" max="13053" width="11.21875" style="302" customWidth="1"/>
    <col min="13054" max="13054" width="8.21875" style="302" bestFit="1" customWidth="1"/>
    <col min="13055" max="13055" width="7.21875" style="302" customWidth="1"/>
    <col min="13056" max="13060" width="7" style="302" customWidth="1"/>
    <col min="13061" max="13061" width="27.5546875" style="302" customWidth="1"/>
    <col min="13062" max="13307" width="8.88671875" style="302"/>
    <col min="13308" max="13308" width="16.6640625" style="302" customWidth="1"/>
    <col min="13309" max="13309" width="11.21875" style="302" customWidth="1"/>
    <col min="13310" max="13310" width="8.21875" style="302" bestFit="1" customWidth="1"/>
    <col min="13311" max="13311" width="7.21875" style="302" customWidth="1"/>
    <col min="13312" max="13316" width="7" style="302" customWidth="1"/>
    <col min="13317" max="13317" width="27.5546875" style="302" customWidth="1"/>
    <col min="13318" max="13563" width="8.88671875" style="302"/>
    <col min="13564" max="13564" width="16.6640625" style="302" customWidth="1"/>
    <col min="13565" max="13565" width="11.21875" style="302" customWidth="1"/>
    <col min="13566" max="13566" width="8.21875" style="302" bestFit="1" customWidth="1"/>
    <col min="13567" max="13567" width="7.21875" style="302" customWidth="1"/>
    <col min="13568" max="13572" width="7" style="302" customWidth="1"/>
    <col min="13573" max="13573" width="27.5546875" style="302" customWidth="1"/>
    <col min="13574" max="13819" width="8.88671875" style="302"/>
    <col min="13820" max="13820" width="16.6640625" style="302" customWidth="1"/>
    <col min="13821" max="13821" width="11.21875" style="302" customWidth="1"/>
    <col min="13822" max="13822" width="8.21875" style="302" bestFit="1" customWidth="1"/>
    <col min="13823" max="13823" width="7.21875" style="302" customWidth="1"/>
    <col min="13824" max="13828" width="7" style="302" customWidth="1"/>
    <col min="13829" max="13829" width="27.5546875" style="302" customWidth="1"/>
    <col min="13830" max="14075" width="8.88671875" style="302"/>
    <col min="14076" max="14076" width="16.6640625" style="302" customWidth="1"/>
    <col min="14077" max="14077" width="11.21875" style="302" customWidth="1"/>
    <col min="14078" max="14078" width="8.21875" style="302" bestFit="1" customWidth="1"/>
    <col min="14079" max="14079" width="7.21875" style="302" customWidth="1"/>
    <col min="14080" max="14084" width="7" style="302" customWidth="1"/>
    <col min="14085" max="14085" width="27.5546875" style="302" customWidth="1"/>
    <col min="14086" max="14331" width="8.88671875" style="302"/>
    <col min="14332" max="14332" width="16.6640625" style="302" customWidth="1"/>
    <col min="14333" max="14333" width="11.21875" style="302" customWidth="1"/>
    <col min="14334" max="14334" width="8.21875" style="302" bestFit="1" customWidth="1"/>
    <col min="14335" max="14335" width="7.21875" style="302" customWidth="1"/>
    <col min="14336" max="14340" width="7" style="302" customWidth="1"/>
    <col min="14341" max="14341" width="27.5546875" style="302" customWidth="1"/>
    <col min="14342" max="14587" width="8.88671875" style="302"/>
    <col min="14588" max="14588" width="16.6640625" style="302" customWidth="1"/>
    <col min="14589" max="14589" width="11.21875" style="302" customWidth="1"/>
    <col min="14590" max="14590" width="8.21875" style="302" bestFit="1" customWidth="1"/>
    <col min="14591" max="14591" width="7.21875" style="302" customWidth="1"/>
    <col min="14592" max="14596" width="7" style="302" customWidth="1"/>
    <col min="14597" max="14597" width="27.5546875" style="302" customWidth="1"/>
    <col min="14598" max="14843" width="8.88671875" style="302"/>
    <col min="14844" max="14844" width="16.6640625" style="302" customWidth="1"/>
    <col min="14845" max="14845" width="11.21875" style="302" customWidth="1"/>
    <col min="14846" max="14846" width="8.21875" style="302" bestFit="1" customWidth="1"/>
    <col min="14847" max="14847" width="7.21875" style="302" customWidth="1"/>
    <col min="14848" max="14852" width="7" style="302" customWidth="1"/>
    <col min="14853" max="14853" width="27.5546875" style="302" customWidth="1"/>
    <col min="14854" max="15099" width="8.88671875" style="302"/>
    <col min="15100" max="15100" width="16.6640625" style="302" customWidth="1"/>
    <col min="15101" max="15101" width="11.21875" style="302" customWidth="1"/>
    <col min="15102" max="15102" width="8.21875" style="302" bestFit="1" customWidth="1"/>
    <col min="15103" max="15103" width="7.21875" style="302" customWidth="1"/>
    <col min="15104" max="15108" width="7" style="302" customWidth="1"/>
    <col min="15109" max="15109" width="27.5546875" style="302" customWidth="1"/>
    <col min="15110" max="15355" width="8.88671875" style="302"/>
    <col min="15356" max="15356" width="16.6640625" style="302" customWidth="1"/>
    <col min="15357" max="15357" width="11.21875" style="302" customWidth="1"/>
    <col min="15358" max="15358" width="8.21875" style="302" bestFit="1" customWidth="1"/>
    <col min="15359" max="15359" width="7.21875" style="302" customWidth="1"/>
    <col min="15360" max="15364" width="7" style="302" customWidth="1"/>
    <col min="15365" max="15365" width="27.5546875" style="302" customWidth="1"/>
    <col min="15366" max="15611" width="8.88671875" style="302"/>
    <col min="15612" max="15612" width="16.6640625" style="302" customWidth="1"/>
    <col min="15613" max="15613" width="11.21875" style="302" customWidth="1"/>
    <col min="15614" max="15614" width="8.21875" style="302" bestFit="1" customWidth="1"/>
    <col min="15615" max="15615" width="7.21875" style="302" customWidth="1"/>
    <col min="15616" max="15620" width="7" style="302" customWidth="1"/>
    <col min="15621" max="15621" width="27.5546875" style="302" customWidth="1"/>
    <col min="15622" max="15867" width="8.88671875" style="302"/>
    <col min="15868" max="15868" width="16.6640625" style="302" customWidth="1"/>
    <col min="15869" max="15869" width="11.21875" style="302" customWidth="1"/>
    <col min="15870" max="15870" width="8.21875" style="302" bestFit="1" customWidth="1"/>
    <col min="15871" max="15871" width="7.21875" style="302" customWidth="1"/>
    <col min="15872" max="15876" width="7" style="302" customWidth="1"/>
    <col min="15877" max="15877" width="27.5546875" style="302" customWidth="1"/>
    <col min="15878" max="16123" width="8.88671875" style="302"/>
    <col min="16124" max="16124" width="16.6640625" style="302" customWidth="1"/>
    <col min="16125" max="16125" width="11.21875" style="302" customWidth="1"/>
    <col min="16126" max="16126" width="8.21875" style="302" bestFit="1" customWidth="1"/>
    <col min="16127" max="16127" width="7.21875" style="302" customWidth="1"/>
    <col min="16128" max="16132" width="7" style="302" customWidth="1"/>
    <col min="16133" max="16133" width="27.5546875" style="302" customWidth="1"/>
    <col min="16134" max="16384" width="8.88671875" style="302"/>
  </cols>
  <sheetData>
    <row r="1" spans="1:10" ht="21.2" customHeight="1">
      <c r="A1" s="526" t="s">
        <v>419</v>
      </c>
    </row>
    <row r="2" spans="1:10" ht="21.2" customHeight="1">
      <c r="A2" s="1513" t="s">
        <v>22</v>
      </c>
      <c r="B2" s="1514"/>
      <c r="C2" s="1514"/>
      <c r="D2" s="1260" t="s">
        <v>409</v>
      </c>
      <c r="E2" s="1261" t="s">
        <v>1524</v>
      </c>
      <c r="F2" s="1262" t="s">
        <v>56</v>
      </c>
      <c r="G2" s="1261" t="s">
        <v>57</v>
      </c>
      <c r="H2" s="1262" t="s">
        <v>289</v>
      </c>
      <c r="I2" s="1262" t="s">
        <v>278</v>
      </c>
      <c r="J2" s="1263" t="s">
        <v>27</v>
      </c>
    </row>
    <row r="3" spans="1:10" ht="21.2" customHeight="1">
      <c r="A3" s="1515" t="s">
        <v>4</v>
      </c>
      <c r="B3" s="1518" t="s">
        <v>1492</v>
      </c>
      <c r="C3" s="1518"/>
      <c r="D3" s="1250"/>
      <c r="E3" s="1251">
        <f>+'7.생활오수량 원단위'!D36</f>
        <v>309</v>
      </c>
      <c r="F3" s="1251">
        <f>+'7.생활오수량 원단위'!E36</f>
        <v>306</v>
      </c>
      <c r="G3" s="1251">
        <f>+'7.생활오수량 원단위'!F36</f>
        <v>302</v>
      </c>
      <c r="H3" s="1251">
        <f>+'7.생활오수량 원단위'!G36</f>
        <v>296</v>
      </c>
      <c r="I3" s="1251">
        <f>+'7.생활오수량 원단위'!H36</f>
        <v>296</v>
      </c>
      <c r="J3" s="1252"/>
    </row>
    <row r="4" spans="1:10" ht="21.2" customHeight="1">
      <c r="A4" s="1516"/>
      <c r="B4" s="1519" t="s">
        <v>1494</v>
      </c>
      <c r="C4" s="1519"/>
      <c r="D4" s="1055"/>
      <c r="E4" s="1056">
        <f>+'7.생활오수량 원단위'!D37</f>
        <v>333</v>
      </c>
      <c r="F4" s="1056">
        <f>+'7.생활오수량 원단위'!E37</f>
        <v>329</v>
      </c>
      <c r="G4" s="1056">
        <f>+'7.생활오수량 원단위'!F37</f>
        <v>325</v>
      </c>
      <c r="H4" s="1056">
        <f>+'7.생활오수량 원단위'!G37</f>
        <v>318</v>
      </c>
      <c r="I4" s="1056">
        <f>+'7.생활오수량 원단위'!H37</f>
        <v>318</v>
      </c>
      <c r="J4" s="1238"/>
    </row>
    <row r="5" spans="1:10" ht="21.2" customHeight="1">
      <c r="A5" s="1516"/>
      <c r="B5" s="1520" t="s">
        <v>1496</v>
      </c>
      <c r="C5" s="1520"/>
      <c r="D5" s="1055"/>
      <c r="E5" s="1056">
        <f>+'7.생활오수량 원단위'!D38</f>
        <v>321</v>
      </c>
      <c r="F5" s="1056">
        <f>+'7.생활오수량 원단위'!E38</f>
        <v>317</v>
      </c>
      <c r="G5" s="1056">
        <f>+'7.생활오수량 원단위'!F38</f>
        <v>314</v>
      </c>
      <c r="H5" s="1056">
        <f>+'7.생활오수량 원단위'!G38</f>
        <v>307</v>
      </c>
      <c r="I5" s="1056">
        <f>+'7.생활오수량 원단위'!H38</f>
        <v>307</v>
      </c>
      <c r="J5" s="1238"/>
    </row>
    <row r="6" spans="1:10" ht="21.2" customHeight="1">
      <c r="A6" s="1516"/>
      <c r="B6" s="1520" t="s">
        <v>1582</v>
      </c>
      <c r="C6" s="1520"/>
      <c r="D6" s="1055"/>
      <c r="E6" s="1056">
        <f>+'7.생활오수량 원단위'!D39</f>
        <v>271</v>
      </c>
      <c r="F6" s="1056">
        <f>+'7.생활오수량 원단위'!E39</f>
        <v>268</v>
      </c>
      <c r="G6" s="1056">
        <f>+'7.생활오수량 원단위'!F39</f>
        <v>265</v>
      </c>
      <c r="H6" s="1056">
        <f>+'7.생활오수량 원단위'!G39</f>
        <v>259</v>
      </c>
      <c r="I6" s="1056">
        <f>+'7.생활오수량 원단위'!H39</f>
        <v>259</v>
      </c>
      <c r="J6" s="1238"/>
    </row>
    <row r="7" spans="1:10" ht="21.2" customHeight="1">
      <c r="A7" s="1516"/>
      <c r="B7" s="1520" t="s">
        <v>1583</v>
      </c>
      <c r="C7" s="1520"/>
      <c r="D7" s="1055"/>
      <c r="E7" s="1056">
        <f>+'7.생활오수량 원단위'!D40</f>
        <v>328</v>
      </c>
      <c r="F7" s="1056">
        <f>+'7.생활오수량 원단위'!E40</f>
        <v>324</v>
      </c>
      <c r="G7" s="1056">
        <f>+'7.생활오수량 원단위'!F40</f>
        <v>320</v>
      </c>
      <c r="H7" s="1056">
        <f>+'7.생활오수량 원단위'!G40</f>
        <v>313</v>
      </c>
      <c r="I7" s="1056">
        <f>+'7.생활오수량 원단위'!H40</f>
        <v>313</v>
      </c>
      <c r="J7" s="1238"/>
    </row>
    <row r="8" spans="1:10" ht="21.2" customHeight="1">
      <c r="A8" s="1517"/>
      <c r="B8" s="1521" t="s">
        <v>1580</v>
      </c>
      <c r="C8" s="1521"/>
      <c r="D8" s="1254"/>
      <c r="E8" s="1255">
        <f>+'7.생활오수량 원단위'!D41</f>
        <v>264</v>
      </c>
      <c r="F8" s="1255">
        <f>+'7.생활오수량 원단위'!E41</f>
        <v>261</v>
      </c>
      <c r="G8" s="1255">
        <f>+'7.생활오수량 원단위'!F41</f>
        <v>258</v>
      </c>
      <c r="H8" s="1255">
        <f>+'7.생활오수량 원단위'!G41</f>
        <v>252</v>
      </c>
      <c r="I8" s="1255">
        <f>+'7.생활오수량 원단위'!H41</f>
        <v>252</v>
      </c>
      <c r="J8" s="1256"/>
    </row>
    <row r="9" spans="1:10" ht="21.2" customHeight="1">
      <c r="A9" s="1564" t="s">
        <v>421</v>
      </c>
      <c r="B9" s="1584" t="s">
        <v>944</v>
      </c>
      <c r="C9" s="1584"/>
      <c r="D9" s="776"/>
      <c r="E9" s="1264">
        <f>+'7.생활오수량 원단위'!D43</f>
        <v>0.86</v>
      </c>
      <c r="F9" s="1264">
        <f>+'7.생활오수량 원단위'!E43</f>
        <v>0.87</v>
      </c>
      <c r="G9" s="1264">
        <f>+'7.생활오수량 원단위'!F43</f>
        <v>0.88</v>
      </c>
      <c r="H9" s="1264">
        <f>+'7.생활오수량 원단위'!G43</f>
        <v>0.9</v>
      </c>
      <c r="I9" s="1264">
        <f>+'7.생활오수량 원단위'!H43</f>
        <v>0.9</v>
      </c>
      <c r="J9" s="1239"/>
    </row>
    <row r="10" spans="1:10" ht="21.2" customHeight="1">
      <c r="A10" s="1547"/>
      <c r="B10" s="1585" t="s">
        <v>945</v>
      </c>
      <c r="C10" s="1585"/>
      <c r="D10" s="527"/>
      <c r="E10" s="529">
        <f>+'7.생활오수량 원단위'!D44</f>
        <v>0.86</v>
      </c>
      <c r="F10" s="529">
        <f>+'7.생활오수량 원단위'!E44</f>
        <v>0.87</v>
      </c>
      <c r="G10" s="529">
        <f>+'7.생활오수량 원단위'!F44</f>
        <v>0.88</v>
      </c>
      <c r="H10" s="529">
        <f>+'7.생활오수량 원단위'!G44</f>
        <v>0.9</v>
      </c>
      <c r="I10" s="529">
        <f>+'7.생활오수량 원단위'!H44</f>
        <v>0.9</v>
      </c>
      <c r="J10" s="614"/>
    </row>
    <row r="11" spans="1:10" ht="21.2" customHeight="1">
      <c r="A11" s="1547"/>
      <c r="B11" s="1581" t="s">
        <v>949</v>
      </c>
      <c r="C11" s="1581"/>
      <c r="D11" s="527"/>
      <c r="E11" s="529">
        <f>+'7.생활오수량 원단위'!D45</f>
        <v>0.86</v>
      </c>
      <c r="F11" s="529">
        <f>+'7.생활오수량 원단위'!E45</f>
        <v>0.87</v>
      </c>
      <c r="G11" s="529">
        <f>+'7.생활오수량 원단위'!F45</f>
        <v>0.88</v>
      </c>
      <c r="H11" s="529">
        <f>+'7.생활오수량 원단위'!G45</f>
        <v>0.9</v>
      </c>
      <c r="I11" s="529">
        <f>+'7.생활오수량 원단위'!H45</f>
        <v>0.9</v>
      </c>
      <c r="J11" s="614"/>
    </row>
    <row r="12" spans="1:10" ht="21.2" customHeight="1">
      <c r="A12" s="1547"/>
      <c r="B12" s="1581" t="s">
        <v>1582</v>
      </c>
      <c r="C12" s="1581"/>
      <c r="D12" s="527"/>
      <c r="E12" s="529">
        <f>+'7.생활오수량 원단위'!D46</f>
        <v>0.86</v>
      </c>
      <c r="F12" s="529">
        <f>+'7.생활오수량 원단위'!E46</f>
        <v>0.87</v>
      </c>
      <c r="G12" s="529">
        <f>+'7.생활오수량 원단위'!F46</f>
        <v>0.88</v>
      </c>
      <c r="H12" s="529">
        <f>+'7.생활오수량 원단위'!G46</f>
        <v>0.9</v>
      </c>
      <c r="I12" s="529">
        <f>+'7.생활오수량 원단위'!H46</f>
        <v>0.9</v>
      </c>
      <c r="J12" s="919"/>
    </row>
    <row r="13" spans="1:10" ht="21.2" customHeight="1">
      <c r="A13" s="1547"/>
      <c r="B13" s="1581" t="s">
        <v>1583</v>
      </c>
      <c r="C13" s="1581"/>
      <c r="D13" s="527"/>
      <c r="E13" s="529">
        <f>+'7.생활오수량 원단위'!D47</f>
        <v>0.86</v>
      </c>
      <c r="F13" s="529">
        <f>+'7.생활오수량 원단위'!E47</f>
        <v>0.87</v>
      </c>
      <c r="G13" s="529">
        <f>+'7.생활오수량 원단위'!F47</f>
        <v>0.88</v>
      </c>
      <c r="H13" s="529">
        <f>+'7.생활오수량 원단위'!G47</f>
        <v>0.9</v>
      </c>
      <c r="I13" s="529">
        <f>+'7.생활오수량 원단위'!H47</f>
        <v>0.9</v>
      </c>
      <c r="J13" s="919"/>
    </row>
    <row r="14" spans="1:10" ht="21.2" customHeight="1">
      <c r="A14" s="1578"/>
      <c r="B14" s="1583" t="s">
        <v>1580</v>
      </c>
      <c r="C14" s="1583"/>
      <c r="D14" s="1257"/>
      <c r="E14" s="1258">
        <f>+'7.생활오수량 원단위'!D48</f>
        <v>0.86</v>
      </c>
      <c r="F14" s="1258">
        <f>+'7.생활오수량 원단위'!E48</f>
        <v>0.87</v>
      </c>
      <c r="G14" s="1258">
        <f>+'7.생활오수량 원단위'!F48</f>
        <v>0.88</v>
      </c>
      <c r="H14" s="1258">
        <f>+'7.생활오수량 원단위'!G48</f>
        <v>0.9</v>
      </c>
      <c r="I14" s="1258">
        <f>+'7.생활오수량 원단위'!H48</f>
        <v>0.9</v>
      </c>
      <c r="J14" s="1241"/>
    </row>
    <row r="15" spans="1:10" ht="21.2" customHeight="1">
      <c r="A15" s="1515" t="s">
        <v>6</v>
      </c>
      <c r="B15" s="1518" t="s">
        <v>944</v>
      </c>
      <c r="C15" s="1518"/>
      <c r="D15" s="1250"/>
      <c r="E15" s="1251">
        <f>+'7.생활오수량 원단위'!D50</f>
        <v>266</v>
      </c>
      <c r="F15" s="1251">
        <f>+'7.생활오수량 원단위'!E50</f>
        <v>266</v>
      </c>
      <c r="G15" s="1251">
        <f>+'7.생활오수량 원단위'!F50</f>
        <v>266</v>
      </c>
      <c r="H15" s="1251">
        <f>+'7.생활오수량 원단위'!G50</f>
        <v>266</v>
      </c>
      <c r="I15" s="1251">
        <f>+'7.생활오수량 원단위'!H50</f>
        <v>266</v>
      </c>
      <c r="J15" s="1252"/>
    </row>
    <row r="16" spans="1:10" ht="21.2" customHeight="1">
      <c r="A16" s="1516"/>
      <c r="B16" s="1519" t="s">
        <v>945</v>
      </c>
      <c r="C16" s="1519"/>
      <c r="D16" s="1055"/>
      <c r="E16" s="1056">
        <f>+'7.생활오수량 원단위'!D51</f>
        <v>286</v>
      </c>
      <c r="F16" s="1056">
        <f>+'7.생활오수량 원단위'!E51</f>
        <v>286</v>
      </c>
      <c r="G16" s="1056">
        <f>+'7.생활오수량 원단위'!F51</f>
        <v>286</v>
      </c>
      <c r="H16" s="1056">
        <f>+'7.생활오수량 원단위'!G51</f>
        <v>286</v>
      </c>
      <c r="I16" s="1056">
        <f>+'7.생활오수량 원단위'!H51</f>
        <v>286</v>
      </c>
      <c r="J16" s="1238"/>
    </row>
    <row r="17" spans="1:10" ht="21.2" customHeight="1">
      <c r="A17" s="1516"/>
      <c r="B17" s="1520" t="s">
        <v>949</v>
      </c>
      <c r="C17" s="1520"/>
      <c r="D17" s="1055"/>
      <c r="E17" s="1056">
        <f>+'7.생활오수량 원단위'!D52</f>
        <v>276</v>
      </c>
      <c r="F17" s="1056">
        <f>+'7.생활오수량 원단위'!E52</f>
        <v>276</v>
      </c>
      <c r="G17" s="1056">
        <f>+'7.생활오수량 원단위'!F52</f>
        <v>276</v>
      </c>
      <c r="H17" s="1056">
        <f>+'7.생활오수량 원단위'!G52</f>
        <v>276</v>
      </c>
      <c r="I17" s="1056">
        <f>+'7.생활오수량 원단위'!H52</f>
        <v>276</v>
      </c>
      <c r="J17" s="1238"/>
    </row>
    <row r="18" spans="1:10" ht="21.2" customHeight="1">
      <c r="A18" s="1516"/>
      <c r="B18" s="1520" t="s">
        <v>1582</v>
      </c>
      <c r="C18" s="1520"/>
      <c r="D18" s="1055"/>
      <c r="E18" s="1056">
        <f>+'7.생활오수량 원단위'!D53</f>
        <v>233</v>
      </c>
      <c r="F18" s="1056">
        <f>+'7.생활오수량 원단위'!E53</f>
        <v>233</v>
      </c>
      <c r="G18" s="1056">
        <f>+'7.생활오수량 원단위'!F53</f>
        <v>233</v>
      </c>
      <c r="H18" s="1056">
        <f>+'7.생활오수량 원단위'!G53</f>
        <v>233</v>
      </c>
      <c r="I18" s="1056">
        <f>+'7.생활오수량 원단위'!H53</f>
        <v>233</v>
      </c>
      <c r="J18" s="1238"/>
    </row>
    <row r="19" spans="1:10" ht="21.2" customHeight="1">
      <c r="A19" s="1516"/>
      <c r="B19" s="1520" t="s">
        <v>1583</v>
      </c>
      <c r="C19" s="1520"/>
      <c r="D19" s="1055"/>
      <c r="E19" s="1056">
        <f>+'7.생활오수량 원단위'!D54</f>
        <v>282</v>
      </c>
      <c r="F19" s="1056">
        <f>+'7.생활오수량 원단위'!E54</f>
        <v>282</v>
      </c>
      <c r="G19" s="1056">
        <f>+'7.생활오수량 원단위'!F54</f>
        <v>282</v>
      </c>
      <c r="H19" s="1056">
        <f>+'7.생활오수량 원단위'!G54</f>
        <v>282</v>
      </c>
      <c r="I19" s="1056">
        <f>+'7.생활오수량 원단위'!H54</f>
        <v>282</v>
      </c>
      <c r="J19" s="1238"/>
    </row>
    <row r="20" spans="1:10" ht="21.2" customHeight="1">
      <c r="A20" s="1517"/>
      <c r="B20" s="1521" t="s">
        <v>1580</v>
      </c>
      <c r="C20" s="1521"/>
      <c r="D20" s="1254"/>
      <c r="E20" s="1255">
        <f>+'7.생활오수량 원단위'!D55</f>
        <v>227</v>
      </c>
      <c r="F20" s="1255">
        <f>+'7.생활오수량 원단위'!E55</f>
        <v>227</v>
      </c>
      <c r="G20" s="1255">
        <f>+'7.생활오수량 원단위'!F55</f>
        <v>227</v>
      </c>
      <c r="H20" s="1255">
        <f>+'7.생활오수량 원단위'!G55</f>
        <v>227</v>
      </c>
      <c r="I20" s="1255">
        <f>+'7.생활오수량 원단위'!H55</f>
        <v>227</v>
      </c>
      <c r="J20" s="1256"/>
    </row>
    <row r="21" spans="1:10" ht="21.2" customHeight="1">
      <c r="A21" s="1564" t="s">
        <v>7</v>
      </c>
      <c r="B21" s="1584" t="s">
        <v>944</v>
      </c>
      <c r="C21" s="1584"/>
      <c r="D21" s="776"/>
      <c r="E21" s="1259">
        <f>+'7.생활오수량 원단위'!D57</f>
        <v>90</v>
      </c>
      <c r="F21" s="1259">
        <f>+'7.생활오수량 원단위'!E57</f>
        <v>90</v>
      </c>
      <c r="G21" s="1259">
        <f>+'7.생활오수량 원단위'!F57</f>
        <v>90</v>
      </c>
      <c r="H21" s="1259">
        <f>+'7.생활오수량 원단위'!G57</f>
        <v>90</v>
      </c>
      <c r="I21" s="1259">
        <f>+'7.생활오수량 원단위'!H57</f>
        <v>90</v>
      </c>
      <c r="J21" s="1239"/>
    </row>
    <row r="22" spans="1:10" ht="21.2" customHeight="1">
      <c r="A22" s="1547"/>
      <c r="B22" s="1585" t="s">
        <v>945</v>
      </c>
      <c r="C22" s="1585"/>
      <c r="D22" s="527"/>
      <c r="E22" s="528">
        <f>+'7.생활오수량 원단위'!D58</f>
        <v>90</v>
      </c>
      <c r="F22" s="528">
        <f>+'7.생활오수량 원단위'!E58</f>
        <v>90</v>
      </c>
      <c r="G22" s="528">
        <f>+'7.생활오수량 원단위'!F58</f>
        <v>90</v>
      </c>
      <c r="H22" s="528">
        <f>+'7.생활오수량 원단위'!G58</f>
        <v>90</v>
      </c>
      <c r="I22" s="528">
        <f>+'7.생활오수량 원단위'!H58</f>
        <v>90</v>
      </c>
      <c r="J22" s="614"/>
    </row>
    <row r="23" spans="1:10" ht="21.2" customHeight="1">
      <c r="A23" s="1547"/>
      <c r="B23" s="1581" t="s">
        <v>949</v>
      </c>
      <c r="C23" s="1581"/>
      <c r="D23" s="527"/>
      <c r="E23" s="528">
        <f>+'7.생활오수량 원단위'!D59</f>
        <v>90</v>
      </c>
      <c r="F23" s="528">
        <f>+'7.생활오수량 원단위'!E59</f>
        <v>90</v>
      </c>
      <c r="G23" s="528">
        <f>+'7.생활오수량 원단위'!F59</f>
        <v>90</v>
      </c>
      <c r="H23" s="528">
        <f>+'7.생활오수량 원단위'!G59</f>
        <v>90</v>
      </c>
      <c r="I23" s="528">
        <f>+'7.생활오수량 원단위'!H59</f>
        <v>90</v>
      </c>
      <c r="J23" s="614"/>
    </row>
    <row r="24" spans="1:10" ht="21.2" customHeight="1">
      <c r="A24" s="1547"/>
      <c r="B24" s="1581" t="s">
        <v>1582</v>
      </c>
      <c r="C24" s="1581"/>
      <c r="D24" s="527"/>
      <c r="E24" s="528">
        <f>+'7.생활오수량 원단위'!D60</f>
        <v>90</v>
      </c>
      <c r="F24" s="528">
        <f>+'7.생활오수량 원단위'!E60</f>
        <v>90</v>
      </c>
      <c r="G24" s="528">
        <f>+'7.생활오수량 원단위'!F60</f>
        <v>90</v>
      </c>
      <c r="H24" s="528">
        <f>+'7.생활오수량 원단위'!G60</f>
        <v>90</v>
      </c>
      <c r="I24" s="528">
        <f>+'7.생활오수량 원단위'!H60</f>
        <v>90</v>
      </c>
      <c r="J24" s="919"/>
    </row>
    <row r="25" spans="1:10" ht="21.2" customHeight="1">
      <c r="A25" s="1547"/>
      <c r="B25" s="1581" t="s">
        <v>1583</v>
      </c>
      <c r="C25" s="1581"/>
      <c r="D25" s="527"/>
      <c r="E25" s="528">
        <f>+'7.생활오수량 원단위'!D61</f>
        <v>90</v>
      </c>
      <c r="F25" s="528">
        <f>+'7.생활오수량 원단위'!E61</f>
        <v>90</v>
      </c>
      <c r="G25" s="528">
        <f>+'7.생활오수량 원단위'!F61</f>
        <v>90</v>
      </c>
      <c r="H25" s="528">
        <f>+'7.생활오수량 원단위'!G61</f>
        <v>90</v>
      </c>
      <c r="I25" s="528">
        <f>+'7.생활오수량 원단위'!H61</f>
        <v>90</v>
      </c>
      <c r="J25" s="919"/>
    </row>
    <row r="26" spans="1:10" ht="21.2" customHeight="1">
      <c r="A26" s="1579"/>
      <c r="B26" s="1586" t="s">
        <v>1580</v>
      </c>
      <c r="C26" s="1586"/>
      <c r="D26" s="1004"/>
      <c r="E26" s="1054">
        <f>+'7.생활오수량 원단위'!D62</f>
        <v>90</v>
      </c>
      <c r="F26" s="1054">
        <f>+'7.생활오수량 원단위'!E62</f>
        <v>90</v>
      </c>
      <c r="G26" s="1054">
        <f>+'7.생활오수량 원단위'!F62</f>
        <v>90</v>
      </c>
      <c r="H26" s="1054">
        <f>+'7.생활오수량 원단위'!G62</f>
        <v>90</v>
      </c>
      <c r="I26" s="1054">
        <f>+'7.생활오수량 원단위'!H62</f>
        <v>90</v>
      </c>
      <c r="J26" s="1003"/>
    </row>
    <row r="27" spans="1:10" ht="21.2" customHeight="1">
      <c r="A27" s="1535" t="s">
        <v>1784</v>
      </c>
      <c r="B27" s="1528" t="s">
        <v>1750</v>
      </c>
      <c r="C27" s="1249" t="s">
        <v>1751</v>
      </c>
      <c r="D27" s="1250">
        <v>0.8</v>
      </c>
      <c r="E27" s="1251">
        <f>+'7.생활오수량 원단위'!D64</f>
        <v>239</v>
      </c>
      <c r="F27" s="1251">
        <f>+'7.생활오수량 원단위'!E64</f>
        <v>239</v>
      </c>
      <c r="G27" s="1251">
        <f>+'7.생활오수량 원단위'!F64</f>
        <v>239</v>
      </c>
      <c r="H27" s="1251">
        <f>+'7.생활오수량 원단위'!G64</f>
        <v>239</v>
      </c>
      <c r="I27" s="1251">
        <f>+'7.생활오수량 원단위'!H64</f>
        <v>239</v>
      </c>
      <c r="J27" s="1252"/>
    </row>
    <row r="28" spans="1:10" ht="21.2" customHeight="1">
      <c r="A28" s="1536"/>
      <c r="B28" s="1526"/>
      <c r="C28" s="1237" t="s">
        <v>1752</v>
      </c>
      <c r="D28" s="1055">
        <v>1</v>
      </c>
      <c r="E28" s="1056">
        <f>+'7.생활오수량 원단위'!D65</f>
        <v>299</v>
      </c>
      <c r="F28" s="1056">
        <f>+'7.생활오수량 원단위'!E65</f>
        <v>299</v>
      </c>
      <c r="G28" s="1056">
        <f>+'7.생활오수량 원단위'!F65</f>
        <v>299</v>
      </c>
      <c r="H28" s="1056">
        <f>+'7.생활오수량 원단위'!G65</f>
        <v>299</v>
      </c>
      <c r="I28" s="1056">
        <f>+'7.생활오수량 원단위'!H65</f>
        <v>299</v>
      </c>
      <c r="J28" s="1238"/>
    </row>
    <row r="29" spans="1:10" ht="21.2" customHeight="1">
      <c r="A29" s="1536"/>
      <c r="B29" s="1526"/>
      <c r="C29" s="1237" t="s">
        <v>1753</v>
      </c>
      <c r="D29" s="1055">
        <v>1.5</v>
      </c>
      <c r="E29" s="1056">
        <f>+'7.생활오수량 원단위'!D66</f>
        <v>449</v>
      </c>
      <c r="F29" s="1056">
        <f>+'7.생활오수량 원단위'!E66</f>
        <v>449</v>
      </c>
      <c r="G29" s="1056">
        <f>+'7.생활오수량 원단위'!F66</f>
        <v>449</v>
      </c>
      <c r="H29" s="1056">
        <f>+'7.생활오수량 원단위'!G66</f>
        <v>449</v>
      </c>
      <c r="I29" s="1056">
        <f>+'7.생활오수량 원단위'!H66</f>
        <v>449</v>
      </c>
      <c r="J29" s="1238"/>
    </row>
    <row r="30" spans="1:10" ht="21.2" customHeight="1">
      <c r="A30" s="1536"/>
      <c r="B30" s="1526" t="s">
        <v>1754</v>
      </c>
      <c r="C30" s="1237" t="s">
        <v>1751</v>
      </c>
      <c r="D30" s="1055">
        <v>0.8</v>
      </c>
      <c r="E30" s="1056">
        <f>+'7.생활오수량 원단위'!D67</f>
        <v>257</v>
      </c>
      <c r="F30" s="1056">
        <f>+'7.생활오수량 원단위'!E67</f>
        <v>257</v>
      </c>
      <c r="G30" s="1056">
        <f>+'7.생활오수량 원단위'!F67</f>
        <v>257</v>
      </c>
      <c r="H30" s="1056">
        <f>+'7.생활오수량 원단위'!G67</f>
        <v>257</v>
      </c>
      <c r="I30" s="1056">
        <f>+'7.생활오수량 원단위'!H67</f>
        <v>257</v>
      </c>
      <c r="J30" s="1238"/>
    </row>
    <row r="31" spans="1:10" ht="21.2" customHeight="1">
      <c r="A31" s="1536"/>
      <c r="B31" s="1526"/>
      <c r="C31" s="1237" t="s">
        <v>1752</v>
      </c>
      <c r="D31" s="1055">
        <v>1</v>
      </c>
      <c r="E31" s="1056">
        <f>+'7.생활오수량 원단위'!D68</f>
        <v>321</v>
      </c>
      <c r="F31" s="1056">
        <f>+'7.생활오수량 원단위'!E68</f>
        <v>321</v>
      </c>
      <c r="G31" s="1056">
        <f>+'7.생활오수량 원단위'!F68</f>
        <v>321</v>
      </c>
      <c r="H31" s="1056">
        <f>+'7.생활오수량 원단위'!G68</f>
        <v>321</v>
      </c>
      <c r="I31" s="1056">
        <f>+'7.생활오수량 원단위'!H68</f>
        <v>321</v>
      </c>
      <c r="J31" s="1238"/>
    </row>
    <row r="32" spans="1:10" ht="21.2" customHeight="1">
      <c r="A32" s="1536"/>
      <c r="B32" s="1526"/>
      <c r="C32" s="1237" t="s">
        <v>1753</v>
      </c>
      <c r="D32" s="1055">
        <v>1.5</v>
      </c>
      <c r="E32" s="1056">
        <f>+'7.생활오수량 원단위'!D69</f>
        <v>482</v>
      </c>
      <c r="F32" s="1056">
        <f>+'7.생활오수량 원단위'!E69</f>
        <v>482</v>
      </c>
      <c r="G32" s="1056">
        <f>+'7.생활오수량 원단위'!F69</f>
        <v>482</v>
      </c>
      <c r="H32" s="1056">
        <f>+'7.생활오수량 원단위'!G69</f>
        <v>482</v>
      </c>
      <c r="I32" s="1056">
        <f>+'7.생활오수량 원단위'!H69</f>
        <v>482</v>
      </c>
      <c r="J32" s="1238"/>
    </row>
    <row r="33" spans="1:10" ht="21.2" customHeight="1">
      <c r="A33" s="1536"/>
      <c r="B33" s="1526" t="s">
        <v>1755</v>
      </c>
      <c r="C33" s="1237" t="s">
        <v>1751</v>
      </c>
      <c r="D33" s="1055">
        <v>0.8</v>
      </c>
      <c r="E33" s="1056">
        <f>+'7.생활오수량 원단위'!D70</f>
        <v>248</v>
      </c>
      <c r="F33" s="1056">
        <f>+'7.생활오수량 원단위'!E70</f>
        <v>248</v>
      </c>
      <c r="G33" s="1056">
        <f>+'7.생활오수량 원단위'!F70</f>
        <v>248</v>
      </c>
      <c r="H33" s="1056">
        <f>+'7.생활오수량 원단위'!G70</f>
        <v>248</v>
      </c>
      <c r="I33" s="1056">
        <f>+'7.생활오수량 원단위'!H70</f>
        <v>248</v>
      </c>
      <c r="J33" s="1238"/>
    </row>
    <row r="34" spans="1:10" ht="21.2" customHeight="1">
      <c r="A34" s="1536"/>
      <c r="B34" s="1526"/>
      <c r="C34" s="1237" t="s">
        <v>1752</v>
      </c>
      <c r="D34" s="1055">
        <v>1</v>
      </c>
      <c r="E34" s="1056">
        <f>+'7.생활오수량 원단위'!D71</f>
        <v>310</v>
      </c>
      <c r="F34" s="1056">
        <f>+'7.생활오수량 원단위'!E71</f>
        <v>310</v>
      </c>
      <c r="G34" s="1056">
        <f>+'7.생활오수량 원단위'!F71</f>
        <v>310</v>
      </c>
      <c r="H34" s="1056">
        <f>+'7.생활오수량 원단위'!G71</f>
        <v>310</v>
      </c>
      <c r="I34" s="1056">
        <f>+'7.생활오수량 원단위'!H71</f>
        <v>310</v>
      </c>
      <c r="J34" s="1238"/>
    </row>
    <row r="35" spans="1:10" ht="21.2" customHeight="1">
      <c r="A35" s="1536"/>
      <c r="B35" s="1526"/>
      <c r="C35" s="1237" t="s">
        <v>1753</v>
      </c>
      <c r="D35" s="1055">
        <v>1.5</v>
      </c>
      <c r="E35" s="1056">
        <f>+'7.생활오수량 원단위'!D72</f>
        <v>465</v>
      </c>
      <c r="F35" s="1056">
        <f>+'7.생활오수량 원단위'!E72</f>
        <v>465</v>
      </c>
      <c r="G35" s="1056">
        <f>+'7.생활오수량 원단위'!F72</f>
        <v>465</v>
      </c>
      <c r="H35" s="1056">
        <f>+'7.생활오수량 원단위'!G72</f>
        <v>465</v>
      </c>
      <c r="I35" s="1056">
        <f>+'7.생활오수량 원단위'!H72</f>
        <v>465</v>
      </c>
      <c r="J35" s="1238"/>
    </row>
    <row r="36" spans="1:10" ht="21.2" customHeight="1">
      <c r="A36" s="1536"/>
      <c r="B36" s="1526" t="s">
        <v>1756</v>
      </c>
      <c r="C36" s="1237" t="s">
        <v>1751</v>
      </c>
      <c r="D36" s="1055">
        <v>0.8</v>
      </c>
      <c r="E36" s="1056">
        <f>+'7.생활오수량 원단위'!D73</f>
        <v>210</v>
      </c>
      <c r="F36" s="1056">
        <f>+'7.생활오수량 원단위'!E73</f>
        <v>210</v>
      </c>
      <c r="G36" s="1056">
        <f>+'7.생활오수량 원단위'!F73</f>
        <v>210</v>
      </c>
      <c r="H36" s="1056">
        <f>+'7.생활오수량 원단위'!G73</f>
        <v>210</v>
      </c>
      <c r="I36" s="1056">
        <f>+'7.생활오수량 원단위'!H73</f>
        <v>210</v>
      </c>
      <c r="J36" s="1238"/>
    </row>
    <row r="37" spans="1:10" ht="21.2" customHeight="1">
      <c r="A37" s="1536"/>
      <c r="B37" s="1526"/>
      <c r="C37" s="1237" t="s">
        <v>1752</v>
      </c>
      <c r="D37" s="1055">
        <v>1</v>
      </c>
      <c r="E37" s="1056">
        <f>+'7.생활오수량 원단위'!D74</f>
        <v>262</v>
      </c>
      <c r="F37" s="1056">
        <f>+'7.생활오수량 원단위'!E74</f>
        <v>262</v>
      </c>
      <c r="G37" s="1056">
        <f>+'7.생활오수량 원단위'!F74</f>
        <v>262</v>
      </c>
      <c r="H37" s="1056">
        <f>+'7.생활오수량 원단위'!G74</f>
        <v>262</v>
      </c>
      <c r="I37" s="1056">
        <f>+'7.생활오수량 원단위'!H74</f>
        <v>262</v>
      </c>
      <c r="J37" s="1238"/>
    </row>
    <row r="38" spans="1:10" ht="21.2" customHeight="1">
      <c r="A38" s="1536"/>
      <c r="B38" s="1526"/>
      <c r="C38" s="1237" t="s">
        <v>1753</v>
      </c>
      <c r="D38" s="1055">
        <v>1.5</v>
      </c>
      <c r="E38" s="1056">
        <f>+'7.생활오수량 원단위'!D75</f>
        <v>393</v>
      </c>
      <c r="F38" s="1056">
        <f>+'7.생활오수량 원단위'!E75</f>
        <v>393</v>
      </c>
      <c r="G38" s="1056">
        <f>+'7.생활오수량 원단위'!F75</f>
        <v>393</v>
      </c>
      <c r="H38" s="1056">
        <f>+'7.생활오수량 원단위'!G75</f>
        <v>393</v>
      </c>
      <c r="I38" s="1056">
        <f>+'7.생활오수량 원단위'!H75</f>
        <v>393</v>
      </c>
      <c r="J38" s="1238"/>
    </row>
    <row r="39" spans="1:10" ht="21.2" customHeight="1">
      <c r="A39" s="1536"/>
      <c r="B39" s="1526" t="s">
        <v>1757</v>
      </c>
      <c r="C39" s="1237" t="s">
        <v>1751</v>
      </c>
      <c r="D39" s="1055">
        <v>0.8</v>
      </c>
      <c r="E39" s="1056">
        <f>+'7.생활오수량 원단위'!D76</f>
        <v>254</v>
      </c>
      <c r="F39" s="1056">
        <f>+'7.생활오수량 원단위'!E76</f>
        <v>254</v>
      </c>
      <c r="G39" s="1056">
        <f>+'7.생활오수량 원단위'!F76</f>
        <v>254</v>
      </c>
      <c r="H39" s="1056">
        <f>+'7.생활오수량 원단위'!G76</f>
        <v>254</v>
      </c>
      <c r="I39" s="1056">
        <f>+'7.생활오수량 원단위'!H76</f>
        <v>254</v>
      </c>
      <c r="J39" s="1238"/>
    </row>
    <row r="40" spans="1:10" ht="21.2" customHeight="1">
      <c r="A40" s="1536"/>
      <c r="B40" s="1526"/>
      <c r="C40" s="1237" t="s">
        <v>1752</v>
      </c>
      <c r="D40" s="1055">
        <v>1</v>
      </c>
      <c r="E40" s="1056">
        <f>+'7.생활오수량 원단위'!D77</f>
        <v>317</v>
      </c>
      <c r="F40" s="1056">
        <f>+'7.생활오수량 원단위'!E77</f>
        <v>317</v>
      </c>
      <c r="G40" s="1056">
        <f>+'7.생활오수량 원단위'!F77</f>
        <v>317</v>
      </c>
      <c r="H40" s="1056">
        <f>+'7.생활오수량 원단위'!G77</f>
        <v>317</v>
      </c>
      <c r="I40" s="1056">
        <f>+'7.생활오수량 원단위'!H77</f>
        <v>317</v>
      </c>
      <c r="J40" s="1238"/>
    </row>
    <row r="41" spans="1:10" ht="21.2" customHeight="1">
      <c r="A41" s="1536"/>
      <c r="B41" s="1526"/>
      <c r="C41" s="1237" t="s">
        <v>1753</v>
      </c>
      <c r="D41" s="1055">
        <v>1.5</v>
      </c>
      <c r="E41" s="1056">
        <f>+'7.생활오수량 원단위'!D78</f>
        <v>476</v>
      </c>
      <c r="F41" s="1056">
        <f>+'7.생활오수량 원단위'!E78</f>
        <v>476</v>
      </c>
      <c r="G41" s="1056">
        <f>+'7.생활오수량 원단위'!F78</f>
        <v>476</v>
      </c>
      <c r="H41" s="1056">
        <f>+'7.생활오수량 원단위'!G78</f>
        <v>476</v>
      </c>
      <c r="I41" s="1056">
        <f>+'7.생활오수량 원단위'!H78</f>
        <v>476</v>
      </c>
      <c r="J41" s="1238"/>
    </row>
    <row r="42" spans="1:10" ht="21.2" customHeight="1">
      <c r="A42" s="1536"/>
      <c r="B42" s="1526" t="s">
        <v>1758</v>
      </c>
      <c r="C42" s="1237" t="s">
        <v>1751</v>
      </c>
      <c r="D42" s="1055">
        <v>0.8</v>
      </c>
      <c r="E42" s="1056">
        <f>+'7.생활오수량 원단위'!D79</f>
        <v>204</v>
      </c>
      <c r="F42" s="1056">
        <f>+'7.생활오수량 원단위'!E79</f>
        <v>204</v>
      </c>
      <c r="G42" s="1056">
        <f>+'7.생활오수량 원단위'!F79</f>
        <v>204</v>
      </c>
      <c r="H42" s="1056">
        <f>+'7.생활오수량 원단위'!G79</f>
        <v>204</v>
      </c>
      <c r="I42" s="1056">
        <f>+'7.생활오수량 원단위'!H79</f>
        <v>204</v>
      </c>
      <c r="J42" s="1238"/>
    </row>
    <row r="43" spans="1:10" ht="21.2" customHeight="1">
      <c r="A43" s="1536"/>
      <c r="B43" s="1526"/>
      <c r="C43" s="1237" t="s">
        <v>1752</v>
      </c>
      <c r="D43" s="1055">
        <v>1</v>
      </c>
      <c r="E43" s="1056">
        <f>+'7.생활오수량 원단위'!D80</f>
        <v>255</v>
      </c>
      <c r="F43" s="1056">
        <f>+'7.생활오수량 원단위'!E80</f>
        <v>255</v>
      </c>
      <c r="G43" s="1056">
        <f>+'7.생활오수량 원단위'!F80</f>
        <v>255</v>
      </c>
      <c r="H43" s="1056">
        <f>+'7.생활오수량 원단위'!G80</f>
        <v>255</v>
      </c>
      <c r="I43" s="1056">
        <f>+'7.생활오수량 원단위'!H80</f>
        <v>255</v>
      </c>
      <c r="J43" s="1238"/>
    </row>
    <row r="44" spans="1:10" ht="21.2" customHeight="1">
      <c r="A44" s="1537"/>
      <c r="B44" s="1575"/>
      <c r="C44" s="1253" t="s">
        <v>1753</v>
      </c>
      <c r="D44" s="1254">
        <v>1.5</v>
      </c>
      <c r="E44" s="1255">
        <f>+'7.생활오수량 원단위'!D81</f>
        <v>383</v>
      </c>
      <c r="F44" s="1255">
        <f>+'7.생활오수량 원단위'!E81</f>
        <v>383</v>
      </c>
      <c r="G44" s="1255">
        <f>+'7.생활오수량 원단위'!F81</f>
        <v>383</v>
      </c>
      <c r="H44" s="1255">
        <f>+'7.생활오수량 원단위'!G81</f>
        <v>383</v>
      </c>
      <c r="I44" s="1255">
        <f>+'7.생활오수량 원단위'!H81</f>
        <v>383</v>
      </c>
      <c r="J44" s="1256"/>
    </row>
    <row r="45" spans="1:10" ht="21.2" hidden="1" customHeight="1" outlineLevel="1">
      <c r="A45" s="1225"/>
      <c r="B45" s="1525" t="s">
        <v>1759</v>
      </c>
      <c r="C45" s="1224" t="s">
        <v>1760</v>
      </c>
      <c r="D45" s="527">
        <v>0.8</v>
      </c>
      <c r="E45" s="528">
        <f>+'7.1소규모원단위'!D59</f>
        <v>146</v>
      </c>
      <c r="F45" s="528">
        <f>+'7.1소규모원단위'!E59</f>
        <v>146</v>
      </c>
      <c r="G45" s="528">
        <f>+'7.1소규모원단위'!F59</f>
        <v>146</v>
      </c>
      <c r="H45" s="528">
        <f>+'7.1소규모원단위'!G59</f>
        <v>146</v>
      </c>
      <c r="I45" s="528">
        <f>+'7.1소규모원단위'!H59</f>
        <v>146</v>
      </c>
      <c r="J45" s="919"/>
    </row>
    <row r="46" spans="1:10" ht="21.2" hidden="1" customHeight="1" outlineLevel="1">
      <c r="A46" s="1225"/>
      <c r="B46" s="1526"/>
      <c r="C46" s="1223" t="s">
        <v>1761</v>
      </c>
      <c r="D46" s="527">
        <v>1</v>
      </c>
      <c r="E46" s="528">
        <f>+'7.1소규모원단위'!D60</f>
        <v>182</v>
      </c>
      <c r="F46" s="528">
        <f>+'7.1소규모원단위'!E60</f>
        <v>182</v>
      </c>
      <c r="G46" s="528">
        <f>+'7.1소규모원단위'!F60</f>
        <v>182</v>
      </c>
      <c r="H46" s="528">
        <f>+'7.1소규모원단위'!G60</f>
        <v>182</v>
      </c>
      <c r="I46" s="528">
        <f>+'7.1소규모원단위'!H60</f>
        <v>182</v>
      </c>
      <c r="J46" s="919"/>
    </row>
    <row r="47" spans="1:10" ht="21.2" hidden="1" customHeight="1" outlineLevel="1">
      <c r="A47" s="1225"/>
      <c r="B47" s="1526"/>
      <c r="C47" s="1223" t="s">
        <v>1762</v>
      </c>
      <c r="D47" s="527">
        <v>1.8</v>
      </c>
      <c r="E47" s="528">
        <f>+'7.1소규모원단위'!D61</f>
        <v>328</v>
      </c>
      <c r="F47" s="528">
        <f>+'7.1소규모원단위'!E61</f>
        <v>328</v>
      </c>
      <c r="G47" s="528">
        <f>+'7.1소규모원단위'!F61</f>
        <v>328</v>
      </c>
      <c r="H47" s="528">
        <f>+'7.1소규모원단위'!G61</f>
        <v>328</v>
      </c>
      <c r="I47" s="528">
        <f>+'7.1소규모원단위'!H61</f>
        <v>328</v>
      </c>
      <c r="J47" s="919"/>
    </row>
    <row r="48" spans="1:10" ht="21.2" hidden="1" customHeight="1" outlineLevel="1">
      <c r="A48" s="1225"/>
      <c r="B48" s="1525" t="s">
        <v>1763</v>
      </c>
      <c r="C48" s="1224" t="s">
        <v>1760</v>
      </c>
      <c r="D48" s="527">
        <v>0.8</v>
      </c>
      <c r="E48" s="528">
        <f>+'7.1소규모원단위'!D62</f>
        <v>146</v>
      </c>
      <c r="F48" s="528">
        <f>+'7.1소규모원단위'!E62</f>
        <v>146</v>
      </c>
      <c r="G48" s="528">
        <f>+'7.1소규모원단위'!F62</f>
        <v>146</v>
      </c>
      <c r="H48" s="528">
        <f>+'7.1소규모원단위'!G62</f>
        <v>146</v>
      </c>
      <c r="I48" s="528">
        <f>+'7.1소규모원단위'!H62</f>
        <v>146</v>
      </c>
      <c r="J48" s="919"/>
    </row>
    <row r="49" spans="1:16" ht="21.2" hidden="1" customHeight="1" outlineLevel="1">
      <c r="A49" s="1225"/>
      <c r="B49" s="1526"/>
      <c r="C49" s="1223" t="s">
        <v>1761</v>
      </c>
      <c r="D49" s="527">
        <v>1</v>
      </c>
      <c r="E49" s="528">
        <f>+'7.1소규모원단위'!D63</f>
        <v>182</v>
      </c>
      <c r="F49" s="528">
        <f>+'7.1소규모원단위'!E63</f>
        <v>182</v>
      </c>
      <c r="G49" s="528">
        <f>+'7.1소규모원단위'!F63</f>
        <v>182</v>
      </c>
      <c r="H49" s="528">
        <f>+'7.1소규모원단위'!G63</f>
        <v>182</v>
      </c>
      <c r="I49" s="528">
        <f>+'7.1소규모원단위'!H63</f>
        <v>182</v>
      </c>
      <c r="J49" s="919"/>
    </row>
    <row r="50" spans="1:16" ht="21.2" hidden="1" customHeight="1" outlineLevel="1">
      <c r="A50" s="1225"/>
      <c r="B50" s="1526"/>
      <c r="C50" s="1223" t="s">
        <v>1762</v>
      </c>
      <c r="D50" s="527">
        <v>1.8</v>
      </c>
      <c r="E50" s="528">
        <f>+'7.1소규모원단위'!D64</f>
        <v>328</v>
      </c>
      <c r="F50" s="528">
        <f>+'7.1소규모원단위'!E64</f>
        <v>328</v>
      </c>
      <c r="G50" s="528">
        <f>+'7.1소규모원단위'!F64</f>
        <v>328</v>
      </c>
      <c r="H50" s="528">
        <f>+'7.1소규모원단위'!G64</f>
        <v>328</v>
      </c>
      <c r="I50" s="528">
        <f>+'7.1소규모원단위'!H64</f>
        <v>328</v>
      </c>
      <c r="J50" s="919"/>
    </row>
    <row r="51" spans="1:16" ht="21.2" hidden="1" customHeight="1" outlineLevel="1">
      <c r="A51" s="1225"/>
      <c r="B51" s="1525" t="s">
        <v>1764</v>
      </c>
      <c r="C51" s="1224" t="s">
        <v>1760</v>
      </c>
      <c r="D51" s="527">
        <v>0.8</v>
      </c>
      <c r="E51" s="528">
        <f>+'7.1소규모원단위'!D65</f>
        <v>146</v>
      </c>
      <c r="F51" s="528">
        <f>+'7.1소규모원단위'!E65</f>
        <v>146</v>
      </c>
      <c r="G51" s="528">
        <f>+'7.1소규모원단위'!F65</f>
        <v>146</v>
      </c>
      <c r="H51" s="528">
        <f>+'7.1소규모원단위'!G65</f>
        <v>146</v>
      </c>
      <c r="I51" s="528">
        <f>+'7.1소규모원단위'!H65</f>
        <v>146</v>
      </c>
      <c r="J51" s="919"/>
    </row>
    <row r="52" spans="1:16" ht="21.2" hidden="1" customHeight="1" outlineLevel="1">
      <c r="A52" s="1225"/>
      <c r="B52" s="1526"/>
      <c r="C52" s="1223" t="s">
        <v>1761</v>
      </c>
      <c r="D52" s="527">
        <v>1</v>
      </c>
      <c r="E52" s="528">
        <f>+'7.1소규모원단위'!D66</f>
        <v>182</v>
      </c>
      <c r="F52" s="528">
        <f>+'7.1소규모원단위'!E66</f>
        <v>182</v>
      </c>
      <c r="G52" s="528">
        <f>+'7.1소규모원단위'!F66</f>
        <v>182</v>
      </c>
      <c r="H52" s="528">
        <f>+'7.1소규모원단위'!G66</f>
        <v>182</v>
      </c>
      <c r="I52" s="528">
        <f>+'7.1소규모원단위'!H66</f>
        <v>182</v>
      </c>
      <c r="J52" s="919"/>
    </row>
    <row r="53" spans="1:16" ht="21.2" hidden="1" customHeight="1" outlineLevel="1">
      <c r="A53" s="1225"/>
      <c r="B53" s="1526"/>
      <c r="C53" s="1223" t="s">
        <v>1762</v>
      </c>
      <c r="D53" s="527">
        <v>1.8</v>
      </c>
      <c r="E53" s="528">
        <f>+'7.1소규모원단위'!D67</f>
        <v>328</v>
      </c>
      <c r="F53" s="528">
        <f>+'7.1소규모원단위'!E67</f>
        <v>328</v>
      </c>
      <c r="G53" s="528">
        <f>+'7.1소규모원단위'!F67</f>
        <v>328</v>
      </c>
      <c r="H53" s="528">
        <f>+'7.1소규모원단위'!G67</f>
        <v>328</v>
      </c>
      <c r="I53" s="528">
        <f>+'7.1소규모원단위'!H67</f>
        <v>328</v>
      </c>
      <c r="J53" s="919"/>
    </row>
    <row r="54" spans="1:16" ht="21.2" hidden="1" customHeight="1" outlineLevel="1">
      <c r="A54" s="1225"/>
      <c r="B54" s="1525" t="s">
        <v>1765</v>
      </c>
      <c r="C54" s="1224" t="s">
        <v>1760</v>
      </c>
      <c r="D54" s="527">
        <v>0.8</v>
      </c>
      <c r="E54" s="528">
        <f>+'7.1소규모원단위'!D68</f>
        <v>146</v>
      </c>
      <c r="F54" s="528">
        <f>+'7.1소규모원단위'!E68</f>
        <v>146</v>
      </c>
      <c r="G54" s="528">
        <f>+'7.1소규모원단위'!F68</f>
        <v>146</v>
      </c>
      <c r="H54" s="528">
        <f>+'7.1소규모원단위'!G68</f>
        <v>146</v>
      </c>
      <c r="I54" s="528">
        <f>+'7.1소규모원단위'!H68</f>
        <v>146</v>
      </c>
      <c r="J54" s="919"/>
    </row>
    <row r="55" spans="1:16" ht="21.2" hidden="1" customHeight="1" outlineLevel="1">
      <c r="A55" s="1225"/>
      <c r="B55" s="1526"/>
      <c r="C55" s="1223" t="s">
        <v>1761</v>
      </c>
      <c r="D55" s="527">
        <v>1</v>
      </c>
      <c r="E55" s="528">
        <f>+'7.1소규모원단위'!D69</f>
        <v>182</v>
      </c>
      <c r="F55" s="528">
        <f>+'7.1소규모원단위'!E69</f>
        <v>182</v>
      </c>
      <c r="G55" s="528">
        <f>+'7.1소규모원단위'!F69</f>
        <v>182</v>
      </c>
      <c r="H55" s="528">
        <f>+'7.1소규모원단위'!G69</f>
        <v>182</v>
      </c>
      <c r="I55" s="528">
        <f>+'7.1소규모원단위'!H69</f>
        <v>182</v>
      </c>
      <c r="J55" s="919"/>
    </row>
    <row r="56" spans="1:16" ht="21.2" hidden="1" customHeight="1" outlineLevel="1">
      <c r="A56" s="1265"/>
      <c r="B56" s="1527"/>
      <c r="C56" s="1266" t="s">
        <v>1762</v>
      </c>
      <c r="D56" s="1257">
        <v>1.8</v>
      </c>
      <c r="E56" s="1267">
        <f>+'7.1소규모원단위'!D70</f>
        <v>328</v>
      </c>
      <c r="F56" s="1267">
        <f>+'7.1소규모원단위'!E70</f>
        <v>328</v>
      </c>
      <c r="G56" s="1267">
        <f>+'7.1소규모원단위'!F70</f>
        <v>328</v>
      </c>
      <c r="H56" s="1267">
        <f>+'7.1소규모원단위'!G70</f>
        <v>328</v>
      </c>
      <c r="I56" s="1267">
        <f>+'7.1소규모원단위'!H70</f>
        <v>328</v>
      </c>
      <c r="J56" s="1241"/>
    </row>
    <row r="57" spans="1:16" ht="20.100000000000001" hidden="1" customHeight="1" outlineLevel="1">
      <c r="A57" s="1465" t="s">
        <v>1785</v>
      </c>
      <c r="B57" s="1525" t="s">
        <v>1766</v>
      </c>
      <c r="C57" s="1445" t="s">
        <v>1760</v>
      </c>
      <c r="D57" s="1119">
        <v>0.8</v>
      </c>
      <c r="E57" s="1461">
        <f>+'7.1소규모원단위'!D71</f>
        <v>146</v>
      </c>
      <c r="F57" s="1461">
        <f>+'7.1소규모원단위'!E71</f>
        <v>146</v>
      </c>
      <c r="G57" s="1461">
        <f>+'7.1소규모원단위'!F71</f>
        <v>146</v>
      </c>
      <c r="H57" s="1461">
        <f>+'7.1소규모원단위'!G71</f>
        <v>146</v>
      </c>
      <c r="I57" s="1461">
        <f>+'7.1소규모원단위'!H71</f>
        <v>146</v>
      </c>
      <c r="J57" s="1449"/>
    </row>
    <row r="58" spans="1:16" ht="20.100000000000001" hidden="1" customHeight="1" outlineLevel="1">
      <c r="A58" s="1466"/>
      <c r="B58" s="1526"/>
      <c r="C58" s="1446" t="s">
        <v>1761</v>
      </c>
      <c r="D58" s="1055">
        <v>1</v>
      </c>
      <c r="E58" s="1358">
        <f>+'7.1소규모원단위'!D72</f>
        <v>182</v>
      </c>
      <c r="F58" s="1358">
        <f>+'7.1소규모원단위'!E72</f>
        <v>182</v>
      </c>
      <c r="G58" s="1358">
        <f>+'7.1소규모원단위'!F72</f>
        <v>182</v>
      </c>
      <c r="H58" s="1358">
        <f>+'7.1소규모원단위'!G72</f>
        <v>182</v>
      </c>
      <c r="I58" s="1358">
        <f>+'7.1소규모원단위'!H72</f>
        <v>182</v>
      </c>
      <c r="J58" s="1450"/>
    </row>
    <row r="59" spans="1:16" ht="20.100000000000001" hidden="1" customHeight="1" outlineLevel="1">
      <c r="A59" s="1467"/>
      <c r="B59" s="1527"/>
      <c r="C59" s="1447" t="s">
        <v>1762</v>
      </c>
      <c r="D59" s="1268">
        <v>1.8</v>
      </c>
      <c r="E59" s="1359">
        <f>+'7.1소규모원단위'!D73</f>
        <v>328</v>
      </c>
      <c r="F59" s="1359">
        <f>+'7.1소규모원단위'!E73</f>
        <v>328</v>
      </c>
      <c r="G59" s="1359">
        <f>+'7.1소규모원단위'!F73</f>
        <v>328</v>
      </c>
      <c r="H59" s="1359">
        <f>+'7.1소규모원단위'!G73</f>
        <v>328</v>
      </c>
      <c r="I59" s="1359">
        <f>+'7.1소규모원단위'!H73</f>
        <v>328</v>
      </c>
      <c r="J59" s="1462"/>
    </row>
    <row r="60" spans="1:16" ht="20.100000000000001" customHeight="1" collapsed="1">
      <c r="A60" s="1538" t="s">
        <v>560</v>
      </c>
      <c r="B60" s="1557" t="s">
        <v>1918</v>
      </c>
      <c r="C60" s="1445" t="s">
        <v>1760</v>
      </c>
      <c r="D60" s="1119">
        <v>0.8</v>
      </c>
      <c r="E60" s="1461">
        <f>'7.생활오수량 원단위'!D82</f>
        <v>244</v>
      </c>
      <c r="F60" s="1461">
        <f>'7.생활오수량 원단위'!E82</f>
        <v>244</v>
      </c>
      <c r="G60" s="1461">
        <f>'7.생활오수량 원단위'!F82</f>
        <v>244</v>
      </c>
      <c r="H60" s="1461">
        <f>'7.생활오수량 원단위'!G82</f>
        <v>244</v>
      </c>
      <c r="I60" s="1461">
        <f>'7.생활오수량 원단위'!H82</f>
        <v>244</v>
      </c>
      <c r="J60" s="1588" t="s">
        <v>1773</v>
      </c>
    </row>
    <row r="61" spans="1:16" ht="20.100000000000001" customHeight="1">
      <c r="A61" s="1539"/>
      <c r="B61" s="1526"/>
      <c r="C61" s="1446" t="s">
        <v>1761</v>
      </c>
      <c r="D61" s="1055">
        <v>1</v>
      </c>
      <c r="E61" s="1358">
        <f>'7.생활오수량 원단위'!D83</f>
        <v>305</v>
      </c>
      <c r="F61" s="1358">
        <f>'7.생활오수량 원단위'!E83</f>
        <v>305</v>
      </c>
      <c r="G61" s="1358">
        <f>'7.생활오수량 원단위'!F83</f>
        <v>305</v>
      </c>
      <c r="H61" s="1358">
        <f>'7.생활오수량 원단위'!G83</f>
        <v>305</v>
      </c>
      <c r="I61" s="1358">
        <f>'7.생활오수량 원단위'!H83</f>
        <v>305</v>
      </c>
      <c r="J61" s="1533"/>
      <c r="L61" s="528">
        <v>376</v>
      </c>
      <c r="M61" s="528">
        <v>376</v>
      </c>
      <c r="N61" s="528">
        <v>376</v>
      </c>
      <c r="O61" s="528">
        <v>376</v>
      </c>
      <c r="P61" s="528">
        <v>376</v>
      </c>
    </row>
    <row r="62" spans="1:16" ht="20.100000000000001" customHeight="1">
      <c r="A62" s="1539"/>
      <c r="B62" s="1526"/>
      <c r="C62" s="1446" t="s">
        <v>1762</v>
      </c>
      <c r="D62" s="1055">
        <v>1.5</v>
      </c>
      <c r="E62" s="1358">
        <f>'7.생활오수량 원단위'!D84</f>
        <v>458</v>
      </c>
      <c r="F62" s="1358">
        <f>'7.생활오수량 원단위'!E84</f>
        <v>458</v>
      </c>
      <c r="G62" s="1358">
        <f>'7.생활오수량 원단위'!F84</f>
        <v>458</v>
      </c>
      <c r="H62" s="1358">
        <f>'7.생활오수량 원단위'!G84</f>
        <v>458</v>
      </c>
      <c r="I62" s="1358">
        <f>'7.생활오수량 원단위'!H84</f>
        <v>458</v>
      </c>
      <c r="J62" s="1533"/>
    </row>
    <row r="63" spans="1:16" ht="20.100000000000001" customHeight="1">
      <c r="A63" s="1539"/>
      <c r="B63" s="1526" t="s">
        <v>1767</v>
      </c>
      <c r="C63" s="1446" t="s">
        <v>1760</v>
      </c>
      <c r="D63" s="1055">
        <v>0.8</v>
      </c>
      <c r="E63" s="1358">
        <f>ROUND(E64*$D63,0)</f>
        <v>271</v>
      </c>
      <c r="F63" s="1358">
        <f t="shared" ref="F63:I63" si="0">ROUND(F64*$D63,0)</f>
        <v>271</v>
      </c>
      <c r="G63" s="1358">
        <f t="shared" si="0"/>
        <v>271</v>
      </c>
      <c r="H63" s="1358">
        <f t="shared" si="0"/>
        <v>271</v>
      </c>
      <c r="I63" s="1358">
        <f t="shared" si="0"/>
        <v>271</v>
      </c>
      <c r="J63" s="1587" t="s">
        <v>1749</v>
      </c>
    </row>
    <row r="64" spans="1:16" ht="20.100000000000001" customHeight="1">
      <c r="A64" s="1539"/>
      <c r="B64" s="1526"/>
      <c r="C64" s="1446" t="s">
        <v>1761</v>
      </c>
      <c r="D64" s="1055">
        <v>1</v>
      </c>
      <c r="E64" s="1358">
        <f>L64*0.9</f>
        <v>338.40000000000003</v>
      </c>
      <c r="F64" s="1358">
        <f t="shared" ref="F64:I64" si="1">M64*0.9</f>
        <v>338.40000000000003</v>
      </c>
      <c r="G64" s="1358">
        <f t="shared" si="1"/>
        <v>338.40000000000003</v>
      </c>
      <c r="H64" s="1358">
        <f t="shared" si="1"/>
        <v>338.40000000000003</v>
      </c>
      <c r="I64" s="1358">
        <f t="shared" si="1"/>
        <v>338.40000000000003</v>
      </c>
      <c r="J64" s="1533"/>
      <c r="L64" s="528">
        <v>376</v>
      </c>
      <c r="M64" s="528">
        <v>376</v>
      </c>
      <c r="N64" s="528">
        <v>376</v>
      </c>
      <c r="O64" s="528">
        <v>376</v>
      </c>
      <c r="P64" s="528">
        <v>376</v>
      </c>
    </row>
    <row r="65" spans="1:16" ht="20.100000000000001" customHeight="1">
      <c r="A65" s="1539"/>
      <c r="B65" s="1526"/>
      <c r="C65" s="1446" t="s">
        <v>1762</v>
      </c>
      <c r="D65" s="1055">
        <v>1.8</v>
      </c>
      <c r="E65" s="1358">
        <f>ROUND(E64*$D65,0)</f>
        <v>609</v>
      </c>
      <c r="F65" s="1358">
        <f t="shared" ref="F65:I65" si="2">ROUND(F64*$D65,0)</f>
        <v>609</v>
      </c>
      <c r="G65" s="1358">
        <f t="shared" si="2"/>
        <v>609</v>
      </c>
      <c r="H65" s="1358">
        <f t="shared" si="2"/>
        <v>609</v>
      </c>
      <c r="I65" s="1358">
        <f t="shared" si="2"/>
        <v>609</v>
      </c>
      <c r="J65" s="1533"/>
    </row>
    <row r="66" spans="1:16" ht="20.100000000000001" customHeight="1">
      <c r="A66" s="1539"/>
      <c r="B66" s="1526" t="s">
        <v>1768</v>
      </c>
      <c r="C66" s="1446" t="s">
        <v>1760</v>
      </c>
      <c r="D66" s="1055">
        <v>0.8</v>
      </c>
      <c r="E66" s="1358">
        <f>ROUND(E67*$D66,0)</f>
        <v>230</v>
      </c>
      <c r="F66" s="1358">
        <f t="shared" ref="F66" si="3">ROUND(F67*$D66,0)</f>
        <v>230</v>
      </c>
      <c r="G66" s="1358">
        <f t="shared" ref="G66" si="4">ROUND(G67*$D66,0)</f>
        <v>230</v>
      </c>
      <c r="H66" s="1358">
        <f t="shared" ref="H66" si="5">ROUND(H67*$D66,0)</f>
        <v>230</v>
      </c>
      <c r="I66" s="1358">
        <f t="shared" ref="I66" si="6">ROUND(I67*$D66,0)</f>
        <v>230</v>
      </c>
      <c r="J66" s="1587" t="s">
        <v>1749</v>
      </c>
    </row>
    <row r="67" spans="1:16" ht="20.100000000000001" customHeight="1">
      <c r="A67" s="1539"/>
      <c r="B67" s="1526"/>
      <c r="C67" s="1446" t="s">
        <v>1761</v>
      </c>
      <c r="D67" s="1055">
        <v>1</v>
      </c>
      <c r="E67" s="1358">
        <f>L67*0.9</f>
        <v>288</v>
      </c>
      <c r="F67" s="1358">
        <f t="shared" ref="F67" si="7">M67*0.9</f>
        <v>288</v>
      </c>
      <c r="G67" s="1358">
        <f t="shared" ref="G67" si="8">N67*0.9</f>
        <v>288</v>
      </c>
      <c r="H67" s="1358">
        <f t="shared" ref="H67" si="9">O67*0.9</f>
        <v>288</v>
      </c>
      <c r="I67" s="1358">
        <f t="shared" ref="I67" si="10">P67*0.9</f>
        <v>288</v>
      </c>
      <c r="J67" s="1533"/>
      <c r="L67" s="528">
        <v>320</v>
      </c>
      <c r="M67" s="528">
        <v>320</v>
      </c>
      <c r="N67" s="528">
        <v>320</v>
      </c>
      <c r="O67" s="528">
        <v>320</v>
      </c>
      <c r="P67" s="528">
        <v>320</v>
      </c>
    </row>
    <row r="68" spans="1:16" ht="20.100000000000001" customHeight="1">
      <c r="A68" s="1539"/>
      <c r="B68" s="1526"/>
      <c r="C68" s="1446" t="s">
        <v>1762</v>
      </c>
      <c r="D68" s="1055">
        <v>1.8</v>
      </c>
      <c r="E68" s="1358">
        <f>ROUND(E67*$D68,0)</f>
        <v>518</v>
      </c>
      <c r="F68" s="1358">
        <f t="shared" ref="F68" si="11">ROUND(F67*$D68,0)</f>
        <v>518</v>
      </c>
      <c r="G68" s="1358">
        <f t="shared" ref="G68" si="12">ROUND(G67*$D68,0)</f>
        <v>518</v>
      </c>
      <c r="H68" s="1358">
        <f t="shared" ref="H68" si="13">ROUND(H67*$D68,0)</f>
        <v>518</v>
      </c>
      <c r="I68" s="1358">
        <f t="shared" ref="I68" si="14">ROUND(I67*$D68,0)</f>
        <v>518</v>
      </c>
      <c r="J68" s="1533"/>
    </row>
    <row r="69" spans="1:16" ht="20.100000000000001" customHeight="1">
      <c r="A69" s="1539"/>
      <c r="B69" s="1526" t="s">
        <v>1940</v>
      </c>
      <c r="C69" s="1446" t="s">
        <v>1769</v>
      </c>
      <c r="D69" s="1055">
        <v>0.8</v>
      </c>
      <c r="E69" s="1358">
        <f>+'7.1소규모원단위'!D74</f>
        <v>146</v>
      </c>
      <c r="F69" s="1358">
        <f>+'7.1소규모원단위'!E74</f>
        <v>146</v>
      </c>
      <c r="G69" s="1358">
        <f>+'7.1소규모원단위'!F74</f>
        <v>146</v>
      </c>
      <c r="H69" s="1358">
        <f>+'7.1소규모원단위'!G74</f>
        <v>146</v>
      </c>
      <c r="I69" s="1358">
        <f>+'7.1소규모원단위'!H74</f>
        <v>146</v>
      </c>
      <c r="J69" s="1363"/>
    </row>
    <row r="70" spans="1:16" ht="20.100000000000001" customHeight="1">
      <c r="A70" s="1539"/>
      <c r="B70" s="1526"/>
      <c r="C70" s="1446" t="s">
        <v>1770</v>
      </c>
      <c r="D70" s="1055">
        <v>1</v>
      </c>
      <c r="E70" s="1358">
        <f>+'7.1소규모원단위'!D75</f>
        <v>182</v>
      </c>
      <c r="F70" s="1358">
        <f>+'7.1소규모원단위'!E75</f>
        <v>182</v>
      </c>
      <c r="G70" s="1358">
        <f>+'7.1소규모원단위'!F75</f>
        <v>182</v>
      </c>
      <c r="H70" s="1358">
        <f>+'7.1소규모원단위'!G75</f>
        <v>182</v>
      </c>
      <c r="I70" s="1358">
        <f>+'7.1소규모원단위'!H75</f>
        <v>182</v>
      </c>
      <c r="J70" s="1450"/>
    </row>
    <row r="71" spans="1:16" ht="20.100000000000001" customHeight="1">
      <c r="A71" s="1540"/>
      <c r="B71" s="1560"/>
      <c r="C71" s="1453" t="s">
        <v>1771</v>
      </c>
      <c r="D71" s="1062">
        <v>1.8</v>
      </c>
      <c r="E71" s="1468">
        <f>+'7.1소규모원단위'!D76</f>
        <v>328</v>
      </c>
      <c r="F71" s="1468">
        <f>+'7.1소규모원단위'!E76</f>
        <v>328</v>
      </c>
      <c r="G71" s="1468">
        <f>+'7.1소규모원단위'!F76</f>
        <v>328</v>
      </c>
      <c r="H71" s="1468">
        <f>+'7.1소규모원단위'!G76</f>
        <v>328</v>
      </c>
      <c r="I71" s="1468">
        <f>+'7.1소규모원단위'!H76</f>
        <v>328</v>
      </c>
      <c r="J71" s="1451"/>
    </row>
    <row r="72" spans="1:16" ht="20.100000000000001" customHeight="1">
      <c r="A72" s="1522" t="s">
        <v>702</v>
      </c>
      <c r="B72" s="1525" t="s">
        <v>1492</v>
      </c>
      <c r="C72" s="1445" t="s">
        <v>425</v>
      </c>
      <c r="D72" s="1119">
        <v>1</v>
      </c>
      <c r="E72" s="1120">
        <f>+'7.생활오수량 원단위'!D87</f>
        <v>30</v>
      </c>
      <c r="F72" s="1120">
        <f>+'7.생활오수량 원단위'!E87</f>
        <v>30</v>
      </c>
      <c r="G72" s="1120">
        <f>+'7.생활오수량 원단위'!F87</f>
        <v>30</v>
      </c>
      <c r="H72" s="1120">
        <f>+'7.생활오수량 원단위'!G87</f>
        <v>30</v>
      </c>
      <c r="I72" s="1120">
        <f>+'7.생활오수량 원단위'!H87</f>
        <v>30</v>
      </c>
      <c r="J72" s="1449"/>
    </row>
    <row r="73" spans="1:16" ht="20.100000000000001" customHeight="1">
      <c r="A73" s="1523"/>
      <c r="B73" s="1526"/>
      <c r="C73" s="1446" t="s">
        <v>426</v>
      </c>
      <c r="D73" s="1055">
        <v>1</v>
      </c>
      <c r="E73" s="1056">
        <f>+'7.생활오수량 원단위'!D88</f>
        <v>30</v>
      </c>
      <c r="F73" s="1056">
        <f>+'7.생활오수량 원단위'!E88</f>
        <v>30</v>
      </c>
      <c r="G73" s="1056">
        <f>+'7.생활오수량 원단위'!F88</f>
        <v>30</v>
      </c>
      <c r="H73" s="1056">
        <f>+'7.생활오수량 원단위'!G88</f>
        <v>30</v>
      </c>
      <c r="I73" s="1056">
        <f>+'7.생활오수량 원단위'!H88</f>
        <v>30</v>
      </c>
      <c r="J73" s="1450"/>
    </row>
    <row r="74" spans="1:16" ht="20.100000000000001" customHeight="1">
      <c r="A74" s="1523"/>
      <c r="B74" s="1526"/>
      <c r="C74" s="1446" t="s">
        <v>427</v>
      </c>
      <c r="D74" s="1055">
        <v>1</v>
      </c>
      <c r="E74" s="1056">
        <f>+'7.생활오수량 원단위'!D89</f>
        <v>30</v>
      </c>
      <c r="F74" s="1056">
        <f>+'7.생활오수량 원단위'!E89</f>
        <v>30</v>
      </c>
      <c r="G74" s="1056">
        <f>+'7.생활오수량 원단위'!F89</f>
        <v>30</v>
      </c>
      <c r="H74" s="1056">
        <f>+'7.생활오수량 원단위'!G89</f>
        <v>30</v>
      </c>
      <c r="I74" s="1056">
        <f>+'7.생활오수량 원단위'!H89</f>
        <v>30</v>
      </c>
      <c r="J74" s="1450"/>
    </row>
    <row r="75" spans="1:16" ht="20.100000000000001" customHeight="1">
      <c r="A75" s="1523"/>
      <c r="B75" s="1526" t="s">
        <v>1494</v>
      </c>
      <c r="C75" s="1446" t="s">
        <v>422</v>
      </c>
      <c r="D75" s="1055">
        <v>1</v>
      </c>
      <c r="E75" s="1056">
        <f>+'7.생활오수량 원단위'!D90</f>
        <v>32</v>
      </c>
      <c r="F75" s="1056">
        <f>+'7.생활오수량 원단위'!E90</f>
        <v>32</v>
      </c>
      <c r="G75" s="1056">
        <f>+'7.생활오수량 원단위'!F90</f>
        <v>32</v>
      </c>
      <c r="H75" s="1056">
        <f>+'7.생활오수량 원단위'!G90</f>
        <v>32</v>
      </c>
      <c r="I75" s="1056">
        <f>+'7.생활오수량 원단위'!H90</f>
        <v>32</v>
      </c>
      <c r="J75" s="1450"/>
    </row>
    <row r="76" spans="1:16" ht="20.100000000000001" customHeight="1">
      <c r="A76" s="1523"/>
      <c r="B76" s="1526"/>
      <c r="C76" s="1446" t="s">
        <v>428</v>
      </c>
      <c r="D76" s="1055">
        <v>1</v>
      </c>
      <c r="E76" s="1056">
        <f>+'7.생활오수량 원단위'!D91</f>
        <v>32</v>
      </c>
      <c r="F76" s="1056">
        <f>+'7.생활오수량 원단위'!E91</f>
        <v>32</v>
      </c>
      <c r="G76" s="1056">
        <f>+'7.생활오수량 원단위'!F91</f>
        <v>32</v>
      </c>
      <c r="H76" s="1056">
        <f>+'7.생활오수량 원단위'!G91</f>
        <v>32</v>
      </c>
      <c r="I76" s="1056">
        <f>+'7.생활오수량 원단위'!H91</f>
        <v>32</v>
      </c>
      <c r="J76" s="1450"/>
    </row>
    <row r="77" spans="1:16" ht="20.100000000000001" customHeight="1">
      <c r="A77" s="1523"/>
      <c r="B77" s="1526"/>
      <c r="C77" s="1446" t="s">
        <v>429</v>
      </c>
      <c r="D77" s="1055">
        <v>1</v>
      </c>
      <c r="E77" s="1056">
        <f>+'7.생활오수량 원단위'!D92</f>
        <v>32</v>
      </c>
      <c r="F77" s="1056">
        <f>+'7.생활오수량 원단위'!E92</f>
        <v>32</v>
      </c>
      <c r="G77" s="1056">
        <f>+'7.생활오수량 원단위'!F92</f>
        <v>32</v>
      </c>
      <c r="H77" s="1056">
        <f>+'7.생활오수량 원단위'!G92</f>
        <v>32</v>
      </c>
      <c r="I77" s="1056">
        <f>+'7.생활오수량 원단위'!H92</f>
        <v>32</v>
      </c>
      <c r="J77" s="1450"/>
    </row>
    <row r="78" spans="1:16" ht="20.100000000000001" customHeight="1">
      <c r="A78" s="1523"/>
      <c r="B78" s="1526" t="s">
        <v>1496</v>
      </c>
      <c r="C78" s="1446" t="s">
        <v>430</v>
      </c>
      <c r="D78" s="1055">
        <v>1</v>
      </c>
      <c r="E78" s="1056">
        <f>+'7.생활오수량 원단위'!D93</f>
        <v>31</v>
      </c>
      <c r="F78" s="1056">
        <f>+'7.생활오수량 원단위'!E93</f>
        <v>31</v>
      </c>
      <c r="G78" s="1056">
        <f>+'7.생활오수량 원단위'!F93</f>
        <v>31</v>
      </c>
      <c r="H78" s="1056">
        <f>+'7.생활오수량 원단위'!G93</f>
        <v>31</v>
      </c>
      <c r="I78" s="1056">
        <f>+'7.생활오수량 원단위'!H93</f>
        <v>31</v>
      </c>
      <c r="J78" s="1450"/>
    </row>
    <row r="79" spans="1:16" ht="20.100000000000001" customHeight="1">
      <c r="A79" s="1523"/>
      <c r="B79" s="1526"/>
      <c r="C79" s="1446" t="s">
        <v>426</v>
      </c>
      <c r="D79" s="1055">
        <v>1</v>
      </c>
      <c r="E79" s="1056">
        <f>+'7.생활오수량 원단위'!D94</f>
        <v>31</v>
      </c>
      <c r="F79" s="1056">
        <f>+'7.생활오수량 원단위'!E94</f>
        <v>31</v>
      </c>
      <c r="G79" s="1056">
        <f>+'7.생활오수량 원단위'!F94</f>
        <v>31</v>
      </c>
      <c r="H79" s="1056">
        <f>+'7.생활오수량 원단위'!G94</f>
        <v>31</v>
      </c>
      <c r="I79" s="1056">
        <f>+'7.생활오수량 원단위'!H94</f>
        <v>31</v>
      </c>
      <c r="J79" s="1450"/>
    </row>
    <row r="80" spans="1:16" ht="20.100000000000001" customHeight="1">
      <c r="A80" s="1523"/>
      <c r="B80" s="1526"/>
      <c r="C80" s="1446" t="s">
        <v>431</v>
      </c>
      <c r="D80" s="1055">
        <v>1</v>
      </c>
      <c r="E80" s="1056">
        <f>+'7.생활오수량 원단위'!D95</f>
        <v>31</v>
      </c>
      <c r="F80" s="1056">
        <f>+'7.생활오수량 원단위'!E95</f>
        <v>31</v>
      </c>
      <c r="G80" s="1056">
        <f>+'7.생활오수량 원단위'!F95</f>
        <v>31</v>
      </c>
      <c r="H80" s="1056">
        <f>+'7.생활오수량 원단위'!G95</f>
        <v>31</v>
      </c>
      <c r="I80" s="1056">
        <f>+'7.생활오수량 원단위'!H95</f>
        <v>31</v>
      </c>
      <c r="J80" s="1450"/>
    </row>
    <row r="81" spans="1:10" ht="20.100000000000001" customHeight="1">
      <c r="A81" s="1523"/>
      <c r="B81" s="1526" t="s">
        <v>1582</v>
      </c>
      <c r="C81" s="1446" t="s">
        <v>291</v>
      </c>
      <c r="D81" s="1055">
        <v>1</v>
      </c>
      <c r="E81" s="1056">
        <f>+'7.생활오수량 원단위'!D96</f>
        <v>26</v>
      </c>
      <c r="F81" s="1056">
        <f>+'7.생활오수량 원단위'!E96</f>
        <v>26</v>
      </c>
      <c r="G81" s="1056">
        <f>+'7.생활오수량 원단위'!F96</f>
        <v>26</v>
      </c>
      <c r="H81" s="1056">
        <f>+'7.생활오수량 원단위'!G96</f>
        <v>26</v>
      </c>
      <c r="I81" s="1056">
        <f>+'7.생활오수량 원단위'!H96</f>
        <v>26</v>
      </c>
      <c r="J81" s="1450"/>
    </row>
    <row r="82" spans="1:10" ht="20.100000000000001" customHeight="1">
      <c r="A82" s="1523"/>
      <c r="B82" s="1526"/>
      <c r="C82" s="1446" t="s">
        <v>292</v>
      </c>
      <c r="D82" s="1055">
        <v>1</v>
      </c>
      <c r="E82" s="1056">
        <f>+'7.생활오수량 원단위'!D97</f>
        <v>26</v>
      </c>
      <c r="F82" s="1056">
        <f>+'7.생활오수량 원단위'!E97</f>
        <v>26</v>
      </c>
      <c r="G82" s="1056">
        <f>+'7.생활오수량 원단위'!F97</f>
        <v>26</v>
      </c>
      <c r="H82" s="1056">
        <f>+'7.생활오수량 원단위'!G97</f>
        <v>26</v>
      </c>
      <c r="I82" s="1056">
        <f>+'7.생활오수량 원단위'!H97</f>
        <v>26</v>
      </c>
      <c r="J82" s="1450"/>
    </row>
    <row r="83" spans="1:10" ht="20.100000000000001" customHeight="1">
      <c r="A83" s="1523"/>
      <c r="B83" s="1526"/>
      <c r="C83" s="1446" t="s">
        <v>10</v>
      </c>
      <c r="D83" s="1055">
        <v>1</v>
      </c>
      <c r="E83" s="1056">
        <f>+'7.생활오수량 원단위'!D98</f>
        <v>26</v>
      </c>
      <c r="F83" s="1056">
        <f>+'7.생활오수량 원단위'!E98</f>
        <v>26</v>
      </c>
      <c r="G83" s="1056">
        <f>+'7.생활오수량 원단위'!F98</f>
        <v>26</v>
      </c>
      <c r="H83" s="1056">
        <f>+'7.생활오수량 원단위'!G98</f>
        <v>26</v>
      </c>
      <c r="I83" s="1056">
        <f>+'7.생활오수량 원단위'!H98</f>
        <v>26</v>
      </c>
      <c r="J83" s="1450"/>
    </row>
    <row r="84" spans="1:10" ht="20.100000000000001" customHeight="1">
      <c r="A84" s="1523"/>
      <c r="B84" s="1526" t="s">
        <v>1583</v>
      </c>
      <c r="C84" s="1446" t="s">
        <v>291</v>
      </c>
      <c r="D84" s="1055">
        <v>1</v>
      </c>
      <c r="E84" s="1056">
        <f>+'7.생활오수량 원단위'!D99</f>
        <v>32</v>
      </c>
      <c r="F84" s="1056">
        <f>+'7.생활오수량 원단위'!E99</f>
        <v>32</v>
      </c>
      <c r="G84" s="1056">
        <f>+'7.생활오수량 원단위'!F99</f>
        <v>32</v>
      </c>
      <c r="H84" s="1056">
        <f>+'7.생활오수량 원단위'!G99</f>
        <v>32</v>
      </c>
      <c r="I84" s="1056">
        <f>+'7.생활오수량 원단위'!H99</f>
        <v>32</v>
      </c>
      <c r="J84" s="1450"/>
    </row>
    <row r="85" spans="1:10" ht="20.100000000000001" customHeight="1">
      <c r="A85" s="1523"/>
      <c r="B85" s="1526"/>
      <c r="C85" s="1446" t="s">
        <v>292</v>
      </c>
      <c r="D85" s="1055">
        <v>1</v>
      </c>
      <c r="E85" s="1056">
        <f>+'7.생활오수량 원단위'!D100</f>
        <v>32</v>
      </c>
      <c r="F85" s="1056">
        <f>+'7.생활오수량 원단위'!E100</f>
        <v>32</v>
      </c>
      <c r="G85" s="1056">
        <f>+'7.생활오수량 원단위'!F100</f>
        <v>32</v>
      </c>
      <c r="H85" s="1056">
        <f>+'7.생활오수량 원단위'!G100</f>
        <v>32</v>
      </c>
      <c r="I85" s="1056">
        <f>+'7.생활오수량 원단위'!H100</f>
        <v>32</v>
      </c>
      <c r="J85" s="1450"/>
    </row>
    <row r="86" spans="1:10" ht="20.100000000000001" customHeight="1">
      <c r="A86" s="1523"/>
      <c r="B86" s="1526"/>
      <c r="C86" s="1446" t="s">
        <v>10</v>
      </c>
      <c r="D86" s="1055">
        <v>1</v>
      </c>
      <c r="E86" s="1056">
        <f>+'7.생활오수량 원단위'!D101</f>
        <v>32</v>
      </c>
      <c r="F86" s="1056">
        <f>+'7.생활오수량 원단위'!E101</f>
        <v>32</v>
      </c>
      <c r="G86" s="1056">
        <f>+'7.생활오수량 원단위'!F101</f>
        <v>32</v>
      </c>
      <c r="H86" s="1056">
        <f>+'7.생활오수량 원단위'!G101</f>
        <v>32</v>
      </c>
      <c r="I86" s="1056">
        <f>+'7.생활오수량 원단위'!H101</f>
        <v>32</v>
      </c>
      <c r="J86" s="1450"/>
    </row>
    <row r="87" spans="1:10" ht="20.100000000000001" customHeight="1">
      <c r="A87" s="1523"/>
      <c r="B87" s="1526" t="s">
        <v>1580</v>
      </c>
      <c r="C87" s="1446" t="s">
        <v>420</v>
      </c>
      <c r="D87" s="1055">
        <v>1</v>
      </c>
      <c r="E87" s="1056">
        <f>+'7.생활오수량 원단위'!D102</f>
        <v>26</v>
      </c>
      <c r="F87" s="1056">
        <f>+'7.생활오수량 원단위'!E102</f>
        <v>26</v>
      </c>
      <c r="G87" s="1056">
        <f>+'7.생활오수량 원단위'!F102</f>
        <v>26</v>
      </c>
      <c r="H87" s="1056">
        <f>+'7.생활오수량 원단위'!G102</f>
        <v>26</v>
      </c>
      <c r="I87" s="1056">
        <f>+'7.생활오수량 원단위'!H102</f>
        <v>26</v>
      </c>
      <c r="J87" s="1450"/>
    </row>
    <row r="88" spans="1:10" ht="20.100000000000001" customHeight="1">
      <c r="A88" s="1523"/>
      <c r="B88" s="1526"/>
      <c r="C88" s="1446" t="s">
        <v>432</v>
      </c>
      <c r="D88" s="1055">
        <v>1</v>
      </c>
      <c r="E88" s="1056">
        <f>+'7.생활오수량 원단위'!D103</f>
        <v>26</v>
      </c>
      <c r="F88" s="1056">
        <f>+'7.생활오수량 원단위'!E103</f>
        <v>26</v>
      </c>
      <c r="G88" s="1056">
        <f>+'7.생활오수량 원단위'!F103</f>
        <v>26</v>
      </c>
      <c r="H88" s="1056">
        <f>+'7.생활오수량 원단위'!G103</f>
        <v>26</v>
      </c>
      <c r="I88" s="1056">
        <f>+'7.생활오수량 원단위'!H103</f>
        <v>26</v>
      </c>
      <c r="J88" s="1450"/>
    </row>
    <row r="89" spans="1:10" ht="20.100000000000001" customHeight="1">
      <c r="A89" s="1523"/>
      <c r="B89" s="1526"/>
      <c r="C89" s="1446" t="s">
        <v>427</v>
      </c>
      <c r="D89" s="1055">
        <v>1</v>
      </c>
      <c r="E89" s="1056">
        <f>+'7.생활오수량 원단위'!D104</f>
        <v>26</v>
      </c>
      <c r="F89" s="1056">
        <f>+'7.생활오수량 원단위'!E104</f>
        <v>26</v>
      </c>
      <c r="G89" s="1056">
        <f>+'7.생활오수량 원단위'!F104</f>
        <v>26</v>
      </c>
      <c r="H89" s="1056">
        <f>+'7.생활오수량 원단위'!G104</f>
        <v>26</v>
      </c>
      <c r="I89" s="1056">
        <f>+'7.생활오수량 원단위'!H104</f>
        <v>26</v>
      </c>
      <c r="J89" s="1450"/>
    </row>
    <row r="90" spans="1:10" ht="20.100000000000001" hidden="1" customHeight="1" outlineLevel="1">
      <c r="A90" s="1523"/>
      <c r="B90" s="1558" t="s">
        <v>1553</v>
      </c>
      <c r="C90" s="1057" t="s">
        <v>384</v>
      </c>
      <c r="D90" s="1055">
        <v>1</v>
      </c>
      <c r="E90" s="1056">
        <f>+'7.1소규모원단위'!D79</f>
        <v>18</v>
      </c>
      <c r="F90" s="1056">
        <f>+'7.1소규모원단위'!E79</f>
        <v>18</v>
      </c>
      <c r="G90" s="1056">
        <f>+'7.1소규모원단위'!F79</f>
        <v>18</v>
      </c>
      <c r="H90" s="1056">
        <f>+'7.1소규모원단위'!G79</f>
        <v>18</v>
      </c>
      <c r="I90" s="1056">
        <f>+'7.1소규모원단위'!H79</f>
        <v>18</v>
      </c>
      <c r="J90" s="1450"/>
    </row>
    <row r="91" spans="1:10" ht="20.100000000000001" hidden="1" customHeight="1" outlineLevel="1">
      <c r="A91" s="1523"/>
      <c r="B91" s="1526"/>
      <c r="C91" s="1057" t="s">
        <v>385</v>
      </c>
      <c r="D91" s="1055">
        <v>1</v>
      </c>
      <c r="E91" s="1056">
        <f>+'7.1소규모원단위'!D80</f>
        <v>18</v>
      </c>
      <c r="F91" s="1056">
        <f>+'7.1소규모원단위'!E80</f>
        <v>18</v>
      </c>
      <c r="G91" s="1056">
        <f>+'7.1소규모원단위'!F80</f>
        <v>18</v>
      </c>
      <c r="H91" s="1056">
        <f>+'7.1소규모원단위'!G80</f>
        <v>18</v>
      </c>
      <c r="I91" s="1056">
        <f>+'7.1소규모원단위'!H80</f>
        <v>18</v>
      </c>
      <c r="J91" s="1450"/>
    </row>
    <row r="92" spans="1:10" ht="20.100000000000001" hidden="1" customHeight="1" outlineLevel="1">
      <c r="A92" s="1523"/>
      <c r="B92" s="1526"/>
      <c r="C92" s="1057" t="s">
        <v>386</v>
      </c>
      <c r="D92" s="1055">
        <v>1</v>
      </c>
      <c r="E92" s="1056">
        <f>+'7.1소규모원단위'!D81</f>
        <v>18</v>
      </c>
      <c r="F92" s="1056">
        <f>+'7.1소규모원단위'!E81</f>
        <v>18</v>
      </c>
      <c r="G92" s="1056">
        <f>+'7.1소규모원단위'!F81</f>
        <v>18</v>
      </c>
      <c r="H92" s="1056">
        <f>+'7.1소규모원단위'!G81</f>
        <v>18</v>
      </c>
      <c r="I92" s="1056">
        <f>+'7.1소규모원단위'!H81</f>
        <v>18</v>
      </c>
      <c r="J92" s="1450"/>
    </row>
    <row r="93" spans="1:10" ht="20.100000000000001" hidden="1" customHeight="1" outlineLevel="1">
      <c r="A93" s="1523"/>
      <c r="B93" s="1558" t="s">
        <v>1555</v>
      </c>
      <c r="C93" s="1057" t="s">
        <v>384</v>
      </c>
      <c r="D93" s="1055">
        <v>1</v>
      </c>
      <c r="E93" s="1056">
        <f>+'7.1소규모원단위'!D82</f>
        <v>18</v>
      </c>
      <c r="F93" s="1056">
        <f>+'7.1소규모원단위'!E82</f>
        <v>18</v>
      </c>
      <c r="G93" s="1056">
        <f>+'7.1소규모원단위'!F82</f>
        <v>18</v>
      </c>
      <c r="H93" s="1056">
        <f>+'7.1소규모원단위'!G82</f>
        <v>18</v>
      </c>
      <c r="I93" s="1056">
        <f>+'7.1소규모원단위'!H82</f>
        <v>18</v>
      </c>
      <c r="J93" s="1450"/>
    </row>
    <row r="94" spans="1:10" ht="20.100000000000001" hidden="1" customHeight="1" outlineLevel="1">
      <c r="A94" s="1523"/>
      <c r="B94" s="1526"/>
      <c r="C94" s="1057" t="s">
        <v>385</v>
      </c>
      <c r="D94" s="1055">
        <v>1</v>
      </c>
      <c r="E94" s="1056">
        <f>+'7.1소규모원단위'!D83</f>
        <v>18</v>
      </c>
      <c r="F94" s="1056">
        <f>+'7.1소규모원단위'!E83</f>
        <v>18</v>
      </c>
      <c r="G94" s="1056">
        <f>+'7.1소규모원단위'!F83</f>
        <v>18</v>
      </c>
      <c r="H94" s="1056">
        <f>+'7.1소규모원단위'!G83</f>
        <v>18</v>
      </c>
      <c r="I94" s="1056">
        <f>+'7.1소규모원단위'!H83</f>
        <v>18</v>
      </c>
      <c r="J94" s="1450"/>
    </row>
    <row r="95" spans="1:10" ht="20.100000000000001" hidden="1" customHeight="1" outlineLevel="1">
      <c r="A95" s="1523"/>
      <c r="B95" s="1526"/>
      <c r="C95" s="1057" t="s">
        <v>386</v>
      </c>
      <c r="D95" s="1055">
        <v>1</v>
      </c>
      <c r="E95" s="1056">
        <f>+'7.1소규모원단위'!D84</f>
        <v>18</v>
      </c>
      <c r="F95" s="1056">
        <f>+'7.1소규모원단위'!E84</f>
        <v>18</v>
      </c>
      <c r="G95" s="1056">
        <f>+'7.1소규모원단위'!F84</f>
        <v>18</v>
      </c>
      <c r="H95" s="1056">
        <f>+'7.1소규모원단위'!G84</f>
        <v>18</v>
      </c>
      <c r="I95" s="1056">
        <f>+'7.1소규모원단위'!H84</f>
        <v>18</v>
      </c>
      <c r="J95" s="1450"/>
    </row>
    <row r="96" spans="1:10" ht="20.100000000000001" hidden="1" customHeight="1" outlineLevel="1">
      <c r="A96" s="1523"/>
      <c r="B96" s="1558" t="s">
        <v>1557</v>
      </c>
      <c r="C96" s="1057" t="s">
        <v>384</v>
      </c>
      <c r="D96" s="1055">
        <v>1</v>
      </c>
      <c r="E96" s="1056">
        <f>+'7.1소규모원단위'!D85</f>
        <v>18</v>
      </c>
      <c r="F96" s="1056">
        <f>+'7.1소규모원단위'!E85</f>
        <v>18</v>
      </c>
      <c r="G96" s="1056">
        <f>+'7.1소규모원단위'!F85</f>
        <v>18</v>
      </c>
      <c r="H96" s="1056">
        <f>+'7.1소규모원단위'!G85</f>
        <v>18</v>
      </c>
      <c r="I96" s="1056">
        <f>+'7.1소규모원단위'!H85</f>
        <v>18</v>
      </c>
      <c r="J96" s="1450"/>
    </row>
    <row r="97" spans="1:10" ht="20.100000000000001" hidden="1" customHeight="1" outlineLevel="1">
      <c r="A97" s="1523"/>
      <c r="B97" s="1526"/>
      <c r="C97" s="1057" t="s">
        <v>385</v>
      </c>
      <c r="D97" s="1055">
        <v>1</v>
      </c>
      <c r="E97" s="1056">
        <f>+'7.1소규모원단위'!D86</f>
        <v>18</v>
      </c>
      <c r="F97" s="1056">
        <f>+'7.1소규모원단위'!E86</f>
        <v>18</v>
      </c>
      <c r="G97" s="1056">
        <f>+'7.1소규모원단위'!F86</f>
        <v>18</v>
      </c>
      <c r="H97" s="1056">
        <f>+'7.1소규모원단위'!G86</f>
        <v>18</v>
      </c>
      <c r="I97" s="1056">
        <f>+'7.1소규모원단위'!H86</f>
        <v>18</v>
      </c>
      <c r="J97" s="1450"/>
    </row>
    <row r="98" spans="1:10" ht="20.100000000000001" hidden="1" customHeight="1" outlineLevel="1">
      <c r="A98" s="1523"/>
      <c r="B98" s="1526"/>
      <c r="C98" s="1057" t="s">
        <v>386</v>
      </c>
      <c r="D98" s="1055">
        <v>1</v>
      </c>
      <c r="E98" s="1056">
        <f>+'7.1소규모원단위'!D87</f>
        <v>18</v>
      </c>
      <c r="F98" s="1056">
        <f>+'7.1소규모원단위'!E87</f>
        <v>18</v>
      </c>
      <c r="G98" s="1056">
        <f>+'7.1소규모원단위'!F87</f>
        <v>18</v>
      </c>
      <c r="H98" s="1056">
        <f>+'7.1소규모원단위'!G87</f>
        <v>18</v>
      </c>
      <c r="I98" s="1056">
        <f>+'7.1소규모원단위'!H87</f>
        <v>18</v>
      </c>
      <c r="J98" s="1450"/>
    </row>
    <row r="99" spans="1:10" ht="20.100000000000001" hidden="1" customHeight="1" outlineLevel="1">
      <c r="A99" s="1523"/>
      <c r="B99" s="1558" t="s">
        <v>1559</v>
      </c>
      <c r="C99" s="1057" t="s">
        <v>384</v>
      </c>
      <c r="D99" s="1055">
        <v>1</v>
      </c>
      <c r="E99" s="1056">
        <f>+'7.1소규모원단위'!D88</f>
        <v>18</v>
      </c>
      <c r="F99" s="1056">
        <f>+'7.1소규모원단위'!E88</f>
        <v>18</v>
      </c>
      <c r="G99" s="1056">
        <f>+'7.1소규모원단위'!F88</f>
        <v>18</v>
      </c>
      <c r="H99" s="1056">
        <f>+'7.1소규모원단위'!G88</f>
        <v>18</v>
      </c>
      <c r="I99" s="1056">
        <f>+'7.1소규모원단위'!H88</f>
        <v>18</v>
      </c>
      <c r="J99" s="1450"/>
    </row>
    <row r="100" spans="1:10" ht="20.100000000000001" hidden="1" customHeight="1" outlineLevel="1">
      <c r="A100" s="1523"/>
      <c r="B100" s="1526"/>
      <c r="C100" s="1057" t="s">
        <v>385</v>
      </c>
      <c r="D100" s="1055">
        <v>1</v>
      </c>
      <c r="E100" s="1056">
        <f>+'7.1소규모원단위'!D89</f>
        <v>18</v>
      </c>
      <c r="F100" s="1056">
        <f>+'7.1소규모원단위'!E89</f>
        <v>18</v>
      </c>
      <c r="G100" s="1056">
        <f>+'7.1소규모원단위'!F89</f>
        <v>18</v>
      </c>
      <c r="H100" s="1056">
        <f>+'7.1소규모원단위'!G89</f>
        <v>18</v>
      </c>
      <c r="I100" s="1056">
        <f>+'7.1소규모원단위'!H89</f>
        <v>18</v>
      </c>
      <c r="J100" s="1450"/>
    </row>
    <row r="101" spans="1:10" ht="20.100000000000001" hidden="1" customHeight="1" outlineLevel="1">
      <c r="A101" s="1523"/>
      <c r="B101" s="1526"/>
      <c r="C101" s="1057" t="s">
        <v>386</v>
      </c>
      <c r="D101" s="1055">
        <v>1</v>
      </c>
      <c r="E101" s="1056">
        <f>+'7.1소규모원단위'!D90</f>
        <v>18</v>
      </c>
      <c r="F101" s="1056">
        <f>+'7.1소규모원단위'!E90</f>
        <v>18</v>
      </c>
      <c r="G101" s="1056">
        <f>+'7.1소규모원단위'!F90</f>
        <v>18</v>
      </c>
      <c r="H101" s="1056">
        <f>+'7.1소규모원단위'!G90</f>
        <v>18</v>
      </c>
      <c r="I101" s="1056">
        <f>+'7.1소규모원단위'!H90</f>
        <v>18</v>
      </c>
      <c r="J101" s="1450"/>
    </row>
    <row r="102" spans="1:10" ht="20.100000000000001" hidden="1" customHeight="1" outlineLevel="1" collapsed="1">
      <c r="A102" s="1523"/>
      <c r="B102" s="1558" t="s">
        <v>1561</v>
      </c>
      <c r="C102" s="1057" t="s">
        <v>384</v>
      </c>
      <c r="D102" s="1055">
        <v>1</v>
      </c>
      <c r="E102" s="1056">
        <f>+'7.1소규모원단위'!D91</f>
        <v>18</v>
      </c>
      <c r="F102" s="1056">
        <f>+'7.1소규모원단위'!E91</f>
        <v>18</v>
      </c>
      <c r="G102" s="1056">
        <f>+'7.1소규모원단위'!F91</f>
        <v>18</v>
      </c>
      <c r="H102" s="1056">
        <f>+'7.1소규모원단위'!G91</f>
        <v>18</v>
      </c>
      <c r="I102" s="1056">
        <f>+'7.1소규모원단위'!H91</f>
        <v>18</v>
      </c>
      <c r="J102" s="1450"/>
    </row>
    <row r="103" spans="1:10" ht="20.100000000000001" hidden="1" customHeight="1" outlineLevel="1">
      <c r="A103" s="1523"/>
      <c r="B103" s="1526"/>
      <c r="C103" s="1057" t="s">
        <v>385</v>
      </c>
      <c r="D103" s="1055">
        <v>1</v>
      </c>
      <c r="E103" s="1056">
        <f>+'7.1소규모원단위'!D92</f>
        <v>18</v>
      </c>
      <c r="F103" s="1056">
        <f>+'7.1소규모원단위'!E92</f>
        <v>18</v>
      </c>
      <c r="G103" s="1056">
        <f>+'7.1소규모원단위'!F92</f>
        <v>18</v>
      </c>
      <c r="H103" s="1056">
        <f>+'7.1소규모원단위'!G92</f>
        <v>18</v>
      </c>
      <c r="I103" s="1056">
        <f>+'7.1소규모원단위'!H92</f>
        <v>18</v>
      </c>
      <c r="J103" s="1450"/>
    </row>
    <row r="104" spans="1:10" ht="20.100000000000001" hidden="1" customHeight="1" outlineLevel="1">
      <c r="A104" s="1523"/>
      <c r="B104" s="1526"/>
      <c r="C104" s="1057" t="s">
        <v>386</v>
      </c>
      <c r="D104" s="1055">
        <v>1</v>
      </c>
      <c r="E104" s="1056">
        <f>+'7.1소규모원단위'!D93</f>
        <v>18</v>
      </c>
      <c r="F104" s="1056">
        <f>+'7.1소규모원단위'!E93</f>
        <v>18</v>
      </c>
      <c r="G104" s="1056">
        <f>+'7.1소규모원단위'!F93</f>
        <v>18</v>
      </c>
      <c r="H104" s="1056">
        <f>+'7.1소규모원단위'!G93</f>
        <v>18</v>
      </c>
      <c r="I104" s="1056">
        <f>+'7.1소규모원단위'!H93</f>
        <v>18</v>
      </c>
      <c r="J104" s="1450"/>
    </row>
    <row r="105" spans="1:10" ht="20.100000000000001" customHeight="1" collapsed="1">
      <c r="A105" s="1523"/>
      <c r="B105" s="1558" t="s">
        <v>1774</v>
      </c>
      <c r="C105" s="1057" t="s">
        <v>384</v>
      </c>
      <c r="D105" s="1055">
        <v>1</v>
      </c>
      <c r="E105" s="1056">
        <v>24</v>
      </c>
      <c r="F105" s="1056">
        <v>24</v>
      </c>
      <c r="G105" s="1056">
        <v>24</v>
      </c>
      <c r="H105" s="1056">
        <v>24</v>
      </c>
      <c r="I105" s="1056">
        <v>24</v>
      </c>
      <c r="J105" s="1587" t="s">
        <v>1773</v>
      </c>
    </row>
    <row r="106" spans="1:10" ht="20.100000000000001" customHeight="1">
      <c r="A106" s="1523"/>
      <c r="B106" s="1526"/>
      <c r="C106" s="1057" t="s">
        <v>385</v>
      </c>
      <c r="D106" s="1055">
        <v>1</v>
      </c>
      <c r="E106" s="1056">
        <v>24</v>
      </c>
      <c r="F106" s="1056">
        <v>24</v>
      </c>
      <c r="G106" s="1056">
        <v>24</v>
      </c>
      <c r="H106" s="1056">
        <v>24</v>
      </c>
      <c r="I106" s="1056">
        <v>24</v>
      </c>
      <c r="J106" s="1533"/>
    </row>
    <row r="107" spans="1:10" ht="20.100000000000001" customHeight="1">
      <c r="A107" s="1523"/>
      <c r="B107" s="1526"/>
      <c r="C107" s="1057" t="s">
        <v>386</v>
      </c>
      <c r="D107" s="1055">
        <v>1</v>
      </c>
      <c r="E107" s="1056">
        <v>24</v>
      </c>
      <c r="F107" s="1056">
        <v>24</v>
      </c>
      <c r="G107" s="1056">
        <v>24</v>
      </c>
      <c r="H107" s="1056">
        <v>24</v>
      </c>
      <c r="I107" s="1056">
        <v>24</v>
      </c>
      <c r="J107" s="1533"/>
    </row>
    <row r="108" spans="1:10" ht="20.100000000000001" customHeight="1">
      <c r="A108" s="1523"/>
      <c r="B108" s="1558" t="s">
        <v>1747</v>
      </c>
      <c r="C108" s="1057" t="s">
        <v>384</v>
      </c>
      <c r="D108" s="1055">
        <v>1</v>
      </c>
      <c r="E108" s="1056">
        <f>E109</f>
        <v>37.599999999999966</v>
      </c>
      <c r="F108" s="1056">
        <f t="shared" ref="F108:I108" si="15">F109</f>
        <v>37.599999999999966</v>
      </c>
      <c r="G108" s="1056">
        <f t="shared" si="15"/>
        <v>37.599999999999966</v>
      </c>
      <c r="H108" s="1056">
        <f t="shared" si="15"/>
        <v>37.599999999999966</v>
      </c>
      <c r="I108" s="1056">
        <f t="shared" si="15"/>
        <v>37.599999999999966</v>
      </c>
      <c r="J108" s="1587" t="s">
        <v>1749</v>
      </c>
    </row>
    <row r="109" spans="1:10" ht="20.100000000000001" customHeight="1">
      <c r="A109" s="1523"/>
      <c r="B109" s="1526"/>
      <c r="C109" s="1057" t="s">
        <v>385</v>
      </c>
      <c r="D109" s="1055">
        <v>1</v>
      </c>
      <c r="E109" s="1056">
        <f>L64-E64</f>
        <v>37.599999999999966</v>
      </c>
      <c r="F109" s="1056">
        <f t="shared" ref="F109:I109" si="16">M64-F64</f>
        <v>37.599999999999966</v>
      </c>
      <c r="G109" s="1056">
        <f t="shared" si="16"/>
        <v>37.599999999999966</v>
      </c>
      <c r="H109" s="1056">
        <f t="shared" si="16"/>
        <v>37.599999999999966</v>
      </c>
      <c r="I109" s="1056">
        <f t="shared" si="16"/>
        <v>37.599999999999966</v>
      </c>
      <c r="J109" s="1533"/>
    </row>
    <row r="110" spans="1:10" ht="20.100000000000001" customHeight="1">
      <c r="A110" s="1523"/>
      <c r="B110" s="1526"/>
      <c r="C110" s="1057" t="s">
        <v>386</v>
      </c>
      <c r="D110" s="1055">
        <v>1</v>
      </c>
      <c r="E110" s="1056">
        <f>E109</f>
        <v>37.599999999999966</v>
      </c>
      <c r="F110" s="1056">
        <f t="shared" ref="F110:I110" si="17">F109</f>
        <v>37.599999999999966</v>
      </c>
      <c r="G110" s="1056">
        <f t="shared" si="17"/>
        <v>37.599999999999966</v>
      </c>
      <c r="H110" s="1056">
        <f t="shared" si="17"/>
        <v>37.599999999999966</v>
      </c>
      <c r="I110" s="1056">
        <f t="shared" si="17"/>
        <v>37.599999999999966</v>
      </c>
      <c r="J110" s="1533"/>
    </row>
    <row r="111" spans="1:10" ht="20.100000000000001" customHeight="1">
      <c r="A111" s="1523"/>
      <c r="B111" s="1558" t="s">
        <v>1748</v>
      </c>
      <c r="C111" s="1057" t="s">
        <v>384</v>
      </c>
      <c r="D111" s="1055">
        <v>1</v>
      </c>
      <c r="E111" s="1056">
        <f>E112</f>
        <v>32</v>
      </c>
      <c r="F111" s="1056">
        <f t="shared" ref="F111" si="18">F112</f>
        <v>32</v>
      </c>
      <c r="G111" s="1056">
        <f t="shared" ref="G111" si="19">G112</f>
        <v>32</v>
      </c>
      <c r="H111" s="1056">
        <f t="shared" ref="H111" si="20">H112</f>
        <v>32</v>
      </c>
      <c r="I111" s="1056">
        <f t="shared" ref="I111" si="21">I112</f>
        <v>32</v>
      </c>
      <c r="J111" s="1587" t="s">
        <v>1749</v>
      </c>
    </row>
    <row r="112" spans="1:10" ht="20.100000000000001" customHeight="1">
      <c r="A112" s="1523"/>
      <c r="B112" s="1526"/>
      <c r="C112" s="1057" t="s">
        <v>385</v>
      </c>
      <c r="D112" s="1055">
        <v>1</v>
      </c>
      <c r="E112" s="1056">
        <f>L67-E67</f>
        <v>32</v>
      </c>
      <c r="F112" s="1056">
        <f t="shared" ref="F112" si="22">M67-F67</f>
        <v>32</v>
      </c>
      <c r="G112" s="1056">
        <f t="shared" ref="G112" si="23">N67-G67</f>
        <v>32</v>
      </c>
      <c r="H112" s="1056">
        <f t="shared" ref="H112" si="24">O67-H67</f>
        <v>32</v>
      </c>
      <c r="I112" s="1056">
        <f t="shared" ref="I112" si="25">P67-I67</f>
        <v>32</v>
      </c>
      <c r="J112" s="1533"/>
    </row>
    <row r="113" spans="1:10" ht="20.100000000000001" customHeight="1">
      <c r="A113" s="1523"/>
      <c r="B113" s="1526"/>
      <c r="C113" s="1057" t="s">
        <v>386</v>
      </c>
      <c r="D113" s="1055">
        <v>1</v>
      </c>
      <c r="E113" s="1056">
        <f>E112</f>
        <v>32</v>
      </c>
      <c r="F113" s="1056">
        <f t="shared" ref="F113" si="26">F112</f>
        <v>32</v>
      </c>
      <c r="G113" s="1056">
        <f t="shared" ref="G113" si="27">G112</f>
        <v>32</v>
      </c>
      <c r="H113" s="1056">
        <f t="shared" ref="H113" si="28">H112</f>
        <v>32</v>
      </c>
      <c r="I113" s="1056">
        <f t="shared" ref="I113" si="29">I112</f>
        <v>32</v>
      </c>
      <c r="J113" s="1533"/>
    </row>
    <row r="114" spans="1:10" ht="20.100000000000001" customHeight="1">
      <c r="A114" s="1523"/>
      <c r="B114" s="1558" t="s">
        <v>1592</v>
      </c>
      <c r="C114" s="1057" t="s">
        <v>384</v>
      </c>
      <c r="D114" s="1055">
        <v>1</v>
      </c>
      <c r="E114" s="1056">
        <f>+'7.1소규모원단위'!D94</f>
        <v>18</v>
      </c>
      <c r="F114" s="1056">
        <f>+'7.1소규모원단위'!E94</f>
        <v>18</v>
      </c>
      <c r="G114" s="1056">
        <f>+'7.1소규모원단위'!F94</f>
        <v>18</v>
      </c>
      <c r="H114" s="1056">
        <f>+'7.1소규모원단위'!G94</f>
        <v>18</v>
      </c>
      <c r="I114" s="1056">
        <f>+'7.1소규모원단위'!H94</f>
        <v>18</v>
      </c>
      <c r="J114" s="1587"/>
    </row>
    <row r="115" spans="1:10" ht="20.100000000000001" customHeight="1">
      <c r="A115" s="1523"/>
      <c r="B115" s="1526"/>
      <c r="C115" s="1057" t="s">
        <v>385</v>
      </c>
      <c r="D115" s="1055">
        <v>1</v>
      </c>
      <c r="E115" s="1056">
        <f>+'7.1소규모원단위'!D95</f>
        <v>18</v>
      </c>
      <c r="F115" s="1056">
        <f>+'7.1소규모원단위'!E95</f>
        <v>18</v>
      </c>
      <c r="G115" s="1056">
        <f>+'7.1소규모원단위'!F95</f>
        <v>18</v>
      </c>
      <c r="H115" s="1056">
        <f>+'7.1소규모원단위'!G95</f>
        <v>18</v>
      </c>
      <c r="I115" s="1056">
        <f>+'7.1소규모원단위'!H95</f>
        <v>18</v>
      </c>
      <c r="J115" s="1533"/>
    </row>
    <row r="116" spans="1:10" ht="20.100000000000001" customHeight="1">
      <c r="A116" s="1524"/>
      <c r="B116" s="1560"/>
      <c r="C116" s="1463" t="s">
        <v>386</v>
      </c>
      <c r="D116" s="1062">
        <v>1</v>
      </c>
      <c r="E116" s="1464">
        <f>+'7.1소규모원단위'!D96</f>
        <v>18</v>
      </c>
      <c r="F116" s="1464">
        <f>+'7.1소규모원단위'!E96</f>
        <v>18</v>
      </c>
      <c r="G116" s="1464">
        <f>+'7.1소규모원단위'!F96</f>
        <v>18</v>
      </c>
      <c r="H116" s="1464">
        <f>+'7.1소규모원단위'!G96</f>
        <v>18</v>
      </c>
      <c r="I116" s="1464">
        <f>+'7.1소규모원단위'!H96</f>
        <v>18</v>
      </c>
      <c r="J116" s="1563"/>
    </row>
    <row r="117" spans="1:10" ht="18.95" customHeight="1">
      <c r="A117" s="1522" t="s">
        <v>433</v>
      </c>
      <c r="B117" s="1525" t="s">
        <v>1492</v>
      </c>
      <c r="C117" s="1445" t="s">
        <v>434</v>
      </c>
      <c r="D117" s="1119">
        <v>0.8</v>
      </c>
      <c r="E117" s="1272">
        <f>+'8.지하수사용량'!Q21</f>
        <v>340</v>
      </c>
      <c r="F117" s="1272">
        <f>+E117</f>
        <v>340</v>
      </c>
      <c r="G117" s="1272">
        <f>+F117</f>
        <v>340</v>
      </c>
      <c r="H117" s="1272">
        <f>+G117</f>
        <v>340</v>
      </c>
      <c r="I117" s="1272">
        <f>+H117</f>
        <v>340</v>
      </c>
      <c r="J117" s="1574" t="s">
        <v>435</v>
      </c>
    </row>
    <row r="118" spans="1:10" ht="18.95" customHeight="1">
      <c r="A118" s="1523"/>
      <c r="B118" s="1526"/>
      <c r="C118" s="1446" t="s">
        <v>436</v>
      </c>
      <c r="D118" s="1055">
        <v>1</v>
      </c>
      <c r="E118" s="1058">
        <f>ROUND(+E117*1.25,0)</f>
        <v>425</v>
      </c>
      <c r="F118" s="1058">
        <f>ROUND(+F117*1.25,0)</f>
        <v>425</v>
      </c>
      <c r="G118" s="1058">
        <f>ROUND(+G117*1.25,0)</f>
        <v>425</v>
      </c>
      <c r="H118" s="1058">
        <f>ROUND(+H117*1.25,0)</f>
        <v>425</v>
      </c>
      <c r="I118" s="1058">
        <f>ROUND(+I117*1.25,0)</f>
        <v>425</v>
      </c>
      <c r="J118" s="1533"/>
    </row>
    <row r="119" spans="1:10" ht="18.95" customHeight="1">
      <c r="A119" s="1523"/>
      <c r="B119" s="1526"/>
      <c r="C119" s="1446" t="s">
        <v>437</v>
      </c>
      <c r="D119" s="1055">
        <v>1.5</v>
      </c>
      <c r="E119" s="1058">
        <f>+E118*1.5</f>
        <v>637.5</v>
      </c>
      <c r="F119" s="1058">
        <f>+F118*1.5</f>
        <v>637.5</v>
      </c>
      <c r="G119" s="1058">
        <f>+G118*1.5</f>
        <v>637.5</v>
      </c>
      <c r="H119" s="1058">
        <f>+H118*1.5</f>
        <v>637.5</v>
      </c>
      <c r="I119" s="1058">
        <f>+I118*1.5</f>
        <v>637.5</v>
      </c>
      <c r="J119" s="1533"/>
    </row>
    <row r="120" spans="1:10" ht="18.95" customHeight="1">
      <c r="A120" s="1523"/>
      <c r="B120" s="1526" t="s">
        <v>1494</v>
      </c>
      <c r="C120" s="1446" t="s">
        <v>291</v>
      </c>
      <c r="D120" s="1055">
        <v>0.8</v>
      </c>
      <c r="E120" s="1058">
        <f>+'8.지하수사용량'!Q22</f>
        <v>424</v>
      </c>
      <c r="F120" s="1058">
        <f>+E120</f>
        <v>424</v>
      </c>
      <c r="G120" s="1058">
        <f>+F120</f>
        <v>424</v>
      </c>
      <c r="H120" s="1058">
        <f>+G120</f>
        <v>424</v>
      </c>
      <c r="I120" s="1058">
        <f>+H120</f>
        <v>424</v>
      </c>
      <c r="J120" s="1533" t="s">
        <v>435</v>
      </c>
    </row>
    <row r="121" spans="1:10" ht="18.95" customHeight="1">
      <c r="A121" s="1523"/>
      <c r="B121" s="1526"/>
      <c r="C121" s="1446" t="s">
        <v>436</v>
      </c>
      <c r="D121" s="1055">
        <v>1</v>
      </c>
      <c r="E121" s="1058">
        <f>ROUND(+E120*1.25,0)</f>
        <v>530</v>
      </c>
      <c r="F121" s="1058">
        <f>ROUND(+F120*1.25,0)</f>
        <v>530</v>
      </c>
      <c r="G121" s="1058">
        <f>ROUND(+G120*1.25,0)</f>
        <v>530</v>
      </c>
      <c r="H121" s="1058">
        <f>ROUND(+H120*1.25,0)</f>
        <v>530</v>
      </c>
      <c r="I121" s="1058">
        <f>ROUND(+I120*1.25,0)</f>
        <v>530</v>
      </c>
      <c r="J121" s="1533"/>
    </row>
    <row r="122" spans="1:10" ht="18.95" customHeight="1">
      <c r="A122" s="1523"/>
      <c r="B122" s="1526"/>
      <c r="C122" s="1446" t="s">
        <v>437</v>
      </c>
      <c r="D122" s="1055">
        <v>1.5</v>
      </c>
      <c r="E122" s="1058">
        <f>+E121*1.5</f>
        <v>795</v>
      </c>
      <c r="F122" s="1058">
        <f>+F121*1.5</f>
        <v>795</v>
      </c>
      <c r="G122" s="1058">
        <f>+G121*1.5</f>
        <v>795</v>
      </c>
      <c r="H122" s="1058">
        <f>+H121*1.5</f>
        <v>795</v>
      </c>
      <c r="I122" s="1058">
        <f>+I121*1.5</f>
        <v>795</v>
      </c>
      <c r="J122" s="1533"/>
    </row>
    <row r="123" spans="1:10" ht="18.95" customHeight="1">
      <c r="A123" s="1523"/>
      <c r="B123" s="1526" t="s">
        <v>1496</v>
      </c>
      <c r="C123" s="1446" t="s">
        <v>291</v>
      </c>
      <c r="D123" s="1055">
        <v>0.8</v>
      </c>
      <c r="E123" s="1058">
        <f>+'8.지하수사용량'!Q23</f>
        <v>122</v>
      </c>
      <c r="F123" s="1058">
        <f>+E123</f>
        <v>122</v>
      </c>
      <c r="G123" s="1058">
        <f>+F123</f>
        <v>122</v>
      </c>
      <c r="H123" s="1058">
        <f>+G123</f>
        <v>122</v>
      </c>
      <c r="I123" s="1058">
        <f>+H123</f>
        <v>122</v>
      </c>
      <c r="J123" s="1533" t="s">
        <v>435</v>
      </c>
    </row>
    <row r="124" spans="1:10" ht="18.95" customHeight="1">
      <c r="A124" s="1523"/>
      <c r="B124" s="1526"/>
      <c r="C124" s="1446" t="s">
        <v>436</v>
      </c>
      <c r="D124" s="1055">
        <v>1</v>
      </c>
      <c r="E124" s="1058">
        <f>ROUND(+E123*1.25,0)</f>
        <v>153</v>
      </c>
      <c r="F124" s="1058">
        <f>ROUND(+F123*1.25,0)</f>
        <v>153</v>
      </c>
      <c r="G124" s="1058">
        <f>ROUND(+G123*1.25,0)</f>
        <v>153</v>
      </c>
      <c r="H124" s="1058">
        <f>ROUND(+H123*1.25,0)</f>
        <v>153</v>
      </c>
      <c r="I124" s="1058">
        <f>ROUND(+I123*1.25,0)</f>
        <v>153</v>
      </c>
      <c r="J124" s="1533"/>
    </row>
    <row r="125" spans="1:10" ht="18.95" customHeight="1">
      <c r="A125" s="1523"/>
      <c r="B125" s="1526"/>
      <c r="C125" s="1446" t="s">
        <v>437</v>
      </c>
      <c r="D125" s="1055">
        <v>1.5</v>
      </c>
      <c r="E125" s="1058">
        <f>+E124*1.5</f>
        <v>229.5</v>
      </c>
      <c r="F125" s="1058">
        <f>+F124*1.5</f>
        <v>229.5</v>
      </c>
      <c r="G125" s="1058">
        <f>+G124*1.5</f>
        <v>229.5</v>
      </c>
      <c r="H125" s="1058">
        <f>+H124*1.5</f>
        <v>229.5</v>
      </c>
      <c r="I125" s="1058">
        <f>+I124*1.5</f>
        <v>229.5</v>
      </c>
      <c r="J125" s="1533"/>
    </row>
    <row r="126" spans="1:10" ht="18.95" customHeight="1">
      <c r="A126" s="1523"/>
      <c r="B126" s="1526" t="s">
        <v>1498</v>
      </c>
      <c r="C126" s="1446" t="s">
        <v>291</v>
      </c>
      <c r="D126" s="1055">
        <v>0.8</v>
      </c>
      <c r="E126" s="1058">
        <f>+'8.지하수사용량'!Q24</f>
        <v>121</v>
      </c>
      <c r="F126" s="1058">
        <f>+E126</f>
        <v>121</v>
      </c>
      <c r="G126" s="1058">
        <f>+F126</f>
        <v>121</v>
      </c>
      <c r="H126" s="1058">
        <f>+G126</f>
        <v>121</v>
      </c>
      <c r="I126" s="1058">
        <f>+H126</f>
        <v>121</v>
      </c>
      <c r="J126" s="1533" t="s">
        <v>435</v>
      </c>
    </row>
    <row r="127" spans="1:10" ht="18.95" customHeight="1">
      <c r="A127" s="1523"/>
      <c r="B127" s="1526"/>
      <c r="C127" s="1446" t="s">
        <v>436</v>
      </c>
      <c r="D127" s="1055">
        <v>1</v>
      </c>
      <c r="E127" s="1058">
        <f>ROUND(+E126*1.25,0)</f>
        <v>151</v>
      </c>
      <c r="F127" s="1058">
        <f>ROUND(+F126*1.25,0)</f>
        <v>151</v>
      </c>
      <c r="G127" s="1058">
        <f>ROUND(+G126*1.25,0)</f>
        <v>151</v>
      </c>
      <c r="H127" s="1058">
        <f>ROUND(+H126*1.25,0)</f>
        <v>151</v>
      </c>
      <c r="I127" s="1058">
        <f>ROUND(+I126*1.25,0)</f>
        <v>151</v>
      </c>
      <c r="J127" s="1533"/>
    </row>
    <row r="128" spans="1:10" ht="18.95" customHeight="1">
      <c r="A128" s="1580"/>
      <c r="B128" s="1575"/>
      <c r="C128" s="1448" t="s">
        <v>437</v>
      </c>
      <c r="D128" s="1254">
        <v>1.5</v>
      </c>
      <c r="E128" s="1269">
        <f>+E127*1.5</f>
        <v>226.5</v>
      </c>
      <c r="F128" s="1269">
        <f>+F127*1.5</f>
        <v>226.5</v>
      </c>
      <c r="G128" s="1269">
        <f>+G127*1.5</f>
        <v>226.5</v>
      </c>
      <c r="H128" s="1269">
        <f>+H127*1.5</f>
        <v>226.5</v>
      </c>
      <c r="I128" s="1269">
        <f>+I127*1.5</f>
        <v>226.5</v>
      </c>
      <c r="J128" s="1576"/>
    </row>
    <row r="129" spans="1:10" ht="18.95" customHeight="1">
      <c r="A129" s="1523" t="s">
        <v>1587</v>
      </c>
      <c r="B129" s="1558" t="s">
        <v>634</v>
      </c>
      <c r="C129" s="1446" t="s">
        <v>8</v>
      </c>
      <c r="D129" s="1055">
        <v>1</v>
      </c>
      <c r="E129" s="1060">
        <v>40</v>
      </c>
      <c r="F129" s="1060">
        <f t="shared" ref="F129:I134" si="30">+E129</f>
        <v>40</v>
      </c>
      <c r="G129" s="1060">
        <f t="shared" si="30"/>
        <v>40</v>
      </c>
      <c r="H129" s="1060">
        <f t="shared" si="30"/>
        <v>40</v>
      </c>
      <c r="I129" s="1060">
        <f t="shared" si="30"/>
        <v>40</v>
      </c>
      <c r="J129" s="1533" t="s">
        <v>438</v>
      </c>
    </row>
    <row r="130" spans="1:10" ht="18.95" customHeight="1">
      <c r="A130" s="1523"/>
      <c r="B130" s="1526"/>
      <c r="C130" s="1446" t="s">
        <v>9</v>
      </c>
      <c r="D130" s="1055">
        <v>1</v>
      </c>
      <c r="E130" s="1060">
        <f>+E129</f>
        <v>40</v>
      </c>
      <c r="F130" s="1060">
        <f t="shared" si="30"/>
        <v>40</v>
      </c>
      <c r="G130" s="1060">
        <f t="shared" si="30"/>
        <v>40</v>
      </c>
      <c r="H130" s="1060">
        <f t="shared" si="30"/>
        <v>40</v>
      </c>
      <c r="I130" s="1060">
        <f t="shared" si="30"/>
        <v>40</v>
      </c>
      <c r="J130" s="1533"/>
    </row>
    <row r="131" spans="1:10" ht="18.95" customHeight="1">
      <c r="A131" s="1532"/>
      <c r="B131" s="1527"/>
      <c r="C131" s="1447" t="s">
        <v>10</v>
      </c>
      <c r="D131" s="1268">
        <v>2</v>
      </c>
      <c r="E131" s="1270">
        <f>+ROUND(E130*D131,0)</f>
        <v>80</v>
      </c>
      <c r="F131" s="1270">
        <f t="shared" ref="F131:F134" si="31">+E131</f>
        <v>80</v>
      </c>
      <c r="G131" s="1270">
        <f t="shared" si="30"/>
        <v>80</v>
      </c>
      <c r="H131" s="1270">
        <f t="shared" si="30"/>
        <v>80</v>
      </c>
      <c r="I131" s="1270">
        <f t="shared" si="30"/>
        <v>80</v>
      </c>
      <c r="J131" s="1534"/>
    </row>
    <row r="132" spans="1:10" ht="18.95" customHeight="1">
      <c r="A132" s="1522" t="s">
        <v>1588</v>
      </c>
      <c r="B132" s="1557" t="s">
        <v>634</v>
      </c>
      <c r="C132" s="1445" t="s">
        <v>8</v>
      </c>
      <c r="D132" s="1119">
        <v>1</v>
      </c>
      <c r="E132" s="1272">
        <v>40</v>
      </c>
      <c r="F132" s="1272">
        <f t="shared" si="31"/>
        <v>40</v>
      </c>
      <c r="G132" s="1272">
        <f t="shared" si="30"/>
        <v>40</v>
      </c>
      <c r="H132" s="1272">
        <f t="shared" si="30"/>
        <v>40</v>
      </c>
      <c r="I132" s="1272">
        <f t="shared" si="30"/>
        <v>40</v>
      </c>
      <c r="J132" s="1574" t="s">
        <v>438</v>
      </c>
    </row>
    <row r="133" spans="1:10" ht="18.95" customHeight="1">
      <c r="A133" s="1523"/>
      <c r="B133" s="1526"/>
      <c r="C133" s="1446" t="s">
        <v>423</v>
      </c>
      <c r="D133" s="1055">
        <v>1</v>
      </c>
      <c r="E133" s="1058">
        <f>+E132</f>
        <v>40</v>
      </c>
      <c r="F133" s="1058">
        <f t="shared" si="31"/>
        <v>40</v>
      </c>
      <c r="G133" s="1058">
        <f t="shared" si="30"/>
        <v>40</v>
      </c>
      <c r="H133" s="1058">
        <f t="shared" si="30"/>
        <v>40</v>
      </c>
      <c r="I133" s="1058">
        <f t="shared" si="30"/>
        <v>40</v>
      </c>
      <c r="J133" s="1533"/>
    </row>
    <row r="134" spans="1:10" ht="18.95" customHeight="1">
      <c r="A134" s="1523"/>
      <c r="B134" s="1526"/>
      <c r="C134" s="1446" t="s">
        <v>10</v>
      </c>
      <c r="D134" s="1055">
        <v>2</v>
      </c>
      <c r="E134" s="1059">
        <f>+ROUND(E133*D134,0)</f>
        <v>80</v>
      </c>
      <c r="F134" s="1059">
        <f t="shared" si="31"/>
        <v>80</v>
      </c>
      <c r="G134" s="1059">
        <f t="shared" si="30"/>
        <v>80</v>
      </c>
      <c r="H134" s="1059">
        <f t="shared" si="30"/>
        <v>80</v>
      </c>
      <c r="I134" s="1059">
        <f t="shared" si="30"/>
        <v>80</v>
      </c>
      <c r="J134" s="1533"/>
    </row>
    <row r="135" spans="1:10" ht="18.95" customHeight="1">
      <c r="A135" s="1523"/>
      <c r="B135" s="1558" t="s">
        <v>1589</v>
      </c>
      <c r="C135" s="1446" t="s">
        <v>8</v>
      </c>
      <c r="D135" s="1055">
        <v>1</v>
      </c>
      <c r="E135" s="1058">
        <v>327</v>
      </c>
      <c r="F135" s="1058">
        <v>654</v>
      </c>
      <c r="G135" s="1058">
        <f t="shared" ref="G135:G137" si="32">+F135</f>
        <v>654</v>
      </c>
      <c r="H135" s="1058">
        <f t="shared" ref="H135:H137" si="33">+G135</f>
        <v>654</v>
      </c>
      <c r="I135" s="1058">
        <f t="shared" ref="I135:I137" si="34">+H135</f>
        <v>654</v>
      </c>
      <c r="J135" s="1533" t="s">
        <v>438</v>
      </c>
    </row>
    <row r="136" spans="1:10" ht="18.95" customHeight="1">
      <c r="A136" s="1523"/>
      <c r="B136" s="1526"/>
      <c r="C136" s="1446" t="s">
        <v>403</v>
      </c>
      <c r="D136" s="1055">
        <v>1</v>
      </c>
      <c r="E136" s="1058">
        <f>+E135</f>
        <v>327</v>
      </c>
      <c r="F136" s="1058">
        <v>654</v>
      </c>
      <c r="G136" s="1058">
        <f t="shared" si="32"/>
        <v>654</v>
      </c>
      <c r="H136" s="1058">
        <f t="shared" si="33"/>
        <v>654</v>
      </c>
      <c r="I136" s="1058">
        <f t="shared" si="34"/>
        <v>654</v>
      </c>
      <c r="J136" s="1533"/>
    </row>
    <row r="137" spans="1:10" ht="18.95" customHeight="1">
      <c r="A137" s="1523"/>
      <c r="B137" s="1526"/>
      <c r="C137" s="1446" t="s">
        <v>10</v>
      </c>
      <c r="D137" s="1055">
        <v>2</v>
      </c>
      <c r="E137" s="1059">
        <f>+ROUND(E136*D137,0)</f>
        <v>654</v>
      </c>
      <c r="F137" s="1059">
        <f>+ROUND(F136*D137,0)</f>
        <v>1308</v>
      </c>
      <c r="G137" s="1059">
        <f t="shared" si="32"/>
        <v>1308</v>
      </c>
      <c r="H137" s="1059">
        <f t="shared" si="33"/>
        <v>1308</v>
      </c>
      <c r="I137" s="1059">
        <f t="shared" si="34"/>
        <v>1308</v>
      </c>
      <c r="J137" s="1533"/>
    </row>
    <row r="138" spans="1:10" ht="18.95" customHeight="1">
      <c r="A138" s="1522" t="s">
        <v>1568</v>
      </c>
      <c r="B138" s="1525" t="s">
        <v>635</v>
      </c>
      <c r="C138" s="1445" t="s">
        <v>8</v>
      </c>
      <c r="D138" s="1119">
        <v>0.8</v>
      </c>
      <c r="E138" s="1273"/>
      <c r="F138" s="1273"/>
      <c r="G138" s="1273">
        <f t="shared" ref="G138:I138" si="35">+ROUND(G139*$D$138,0)</f>
        <v>116</v>
      </c>
      <c r="H138" s="1273">
        <f t="shared" si="35"/>
        <v>116</v>
      </c>
      <c r="I138" s="1273">
        <f t="shared" si="35"/>
        <v>116</v>
      </c>
      <c r="J138" s="1574" t="s">
        <v>435</v>
      </c>
    </row>
    <row r="139" spans="1:10" ht="18.95" customHeight="1">
      <c r="A139" s="1523"/>
      <c r="B139" s="1526"/>
      <c r="C139" s="1446" t="s">
        <v>423</v>
      </c>
      <c r="D139" s="1055">
        <v>1</v>
      </c>
      <c r="E139" s="1061"/>
      <c r="F139" s="1061"/>
      <c r="G139" s="1061">
        <f>+'12.기타하수량'!D4</f>
        <v>144.5</v>
      </c>
      <c r="H139" s="1061">
        <f>+G139</f>
        <v>144.5</v>
      </c>
      <c r="I139" s="1061">
        <f>+H139</f>
        <v>144.5</v>
      </c>
      <c r="J139" s="1533"/>
    </row>
    <row r="140" spans="1:10" ht="18.95" customHeight="1">
      <c r="A140" s="1524"/>
      <c r="B140" s="1560"/>
      <c r="C140" s="1453" t="s">
        <v>424</v>
      </c>
      <c r="D140" s="1062">
        <v>1.5</v>
      </c>
      <c r="E140" s="1063"/>
      <c r="F140" s="1063"/>
      <c r="G140" s="1063">
        <f>ROUND(+G139*$D140,0)</f>
        <v>217</v>
      </c>
      <c r="H140" s="1063">
        <f>ROUND(+H139*$D140,0)</f>
        <v>217</v>
      </c>
      <c r="I140" s="1063">
        <f>ROUND(+I139*$D140,0)</f>
        <v>217</v>
      </c>
      <c r="J140" s="1563"/>
    </row>
    <row r="141" spans="1:10" ht="18.95" customHeight="1">
      <c r="A141" s="1542" t="s">
        <v>1569</v>
      </c>
      <c r="B141" s="1582" t="s">
        <v>635</v>
      </c>
      <c r="C141" s="1454" t="s">
        <v>8</v>
      </c>
      <c r="D141" s="1118">
        <v>0.8</v>
      </c>
      <c r="E141" s="1271"/>
      <c r="F141" s="1273"/>
      <c r="G141" s="1273">
        <f t="shared" ref="G141:I141" si="36">+ROUND(G142*$D$141,0)</f>
        <v>48</v>
      </c>
      <c r="H141" s="1273">
        <f t="shared" si="36"/>
        <v>48</v>
      </c>
      <c r="I141" s="1273">
        <f t="shared" si="36"/>
        <v>48</v>
      </c>
      <c r="J141" s="1577" t="s">
        <v>435</v>
      </c>
    </row>
    <row r="142" spans="1:10" ht="18.95" customHeight="1">
      <c r="A142" s="1523"/>
      <c r="B142" s="1526"/>
      <c r="C142" s="1446" t="s">
        <v>423</v>
      </c>
      <c r="D142" s="1055">
        <v>1</v>
      </c>
      <c r="E142" s="1061"/>
      <c r="F142" s="1061"/>
      <c r="G142" s="1061">
        <f>'12.기타하수량'!D15</f>
        <v>59.833333333333336</v>
      </c>
      <c r="H142" s="1061">
        <f>+G142</f>
        <v>59.833333333333336</v>
      </c>
      <c r="I142" s="1061">
        <f>+H142</f>
        <v>59.833333333333336</v>
      </c>
      <c r="J142" s="1533"/>
    </row>
    <row r="143" spans="1:10" ht="18.95" customHeight="1">
      <c r="A143" s="1524"/>
      <c r="B143" s="1560"/>
      <c r="C143" s="1453" t="s">
        <v>424</v>
      </c>
      <c r="D143" s="1062">
        <v>1.5</v>
      </c>
      <c r="E143" s="1063"/>
      <c r="F143" s="1063"/>
      <c r="G143" s="1063">
        <f>ROUND(+G142*$D143,0)</f>
        <v>90</v>
      </c>
      <c r="H143" s="1063">
        <f>ROUND(+H142*$D143,0)</f>
        <v>90</v>
      </c>
      <c r="I143" s="1063">
        <f>ROUND(+I142*$D143,0)</f>
        <v>90</v>
      </c>
      <c r="J143" s="1563"/>
    </row>
    <row r="144" spans="1:10" ht="18.95" customHeight="1">
      <c r="A144" s="1572" t="s">
        <v>1570</v>
      </c>
      <c r="B144" s="1545"/>
      <c r="C144" s="1455" t="s">
        <v>8</v>
      </c>
      <c r="D144" s="1456">
        <v>0.8</v>
      </c>
      <c r="E144" s="1457"/>
      <c r="F144" s="1273"/>
      <c r="G144" s="1273">
        <f t="shared" ref="G144:I144" si="37">+ROUND(G145*$D$144,0)</f>
        <v>65</v>
      </c>
      <c r="H144" s="1273">
        <f t="shared" si="37"/>
        <v>65</v>
      </c>
      <c r="I144" s="1273">
        <f t="shared" si="37"/>
        <v>65</v>
      </c>
      <c r="J144" s="1529" t="s">
        <v>435</v>
      </c>
    </row>
    <row r="145" spans="1:10" ht="18.95" customHeight="1">
      <c r="A145" s="1572"/>
      <c r="B145" s="1546"/>
      <c r="C145" s="1452" t="s">
        <v>292</v>
      </c>
      <c r="D145" s="527">
        <v>1</v>
      </c>
      <c r="E145" s="530"/>
      <c r="F145" s="530"/>
      <c r="G145" s="530">
        <f>'12.기타하수량'!D26</f>
        <v>81.333333333333329</v>
      </c>
      <c r="H145" s="530">
        <f>+G145</f>
        <v>81.333333333333329</v>
      </c>
      <c r="I145" s="530">
        <f>+H145</f>
        <v>81.333333333333329</v>
      </c>
      <c r="J145" s="1530"/>
    </row>
    <row r="146" spans="1:10" ht="18.95" customHeight="1">
      <c r="A146" s="1572"/>
      <c r="B146" s="1573"/>
      <c r="C146" s="1458" t="s">
        <v>10</v>
      </c>
      <c r="D146" s="1459">
        <v>1.5</v>
      </c>
      <c r="E146" s="1460"/>
      <c r="F146" s="1460"/>
      <c r="G146" s="1460">
        <f>ROUND(+G145*$D146,0)</f>
        <v>122</v>
      </c>
      <c r="H146" s="1460">
        <f>ROUND(+H145*$D146,0)</f>
        <v>122</v>
      </c>
      <c r="I146" s="1460">
        <f>ROUND(+I145*$D146,0)</f>
        <v>122</v>
      </c>
      <c r="J146" s="1531"/>
    </row>
    <row r="147" spans="1:10" ht="18.95" customHeight="1">
      <c r="A147" s="1522" t="s">
        <v>1571</v>
      </c>
      <c r="B147" s="1525"/>
      <c r="C147" s="1445" t="s">
        <v>8</v>
      </c>
      <c r="D147" s="1119">
        <v>0.8</v>
      </c>
      <c r="E147" s="1273"/>
      <c r="F147" s="1273"/>
      <c r="G147" s="1273">
        <f t="shared" ref="G147:I147" si="38">+ROUND(G148*$D$147,0)</f>
        <v>167</v>
      </c>
      <c r="H147" s="1273">
        <f t="shared" si="38"/>
        <v>167</v>
      </c>
      <c r="I147" s="1273">
        <f t="shared" si="38"/>
        <v>167</v>
      </c>
      <c r="J147" s="1574" t="s">
        <v>435</v>
      </c>
    </row>
    <row r="148" spans="1:10" ht="18.95" customHeight="1">
      <c r="A148" s="1523"/>
      <c r="B148" s="1526"/>
      <c r="C148" s="1446" t="s">
        <v>292</v>
      </c>
      <c r="D148" s="1055">
        <v>1</v>
      </c>
      <c r="E148" s="1061"/>
      <c r="F148" s="1061"/>
      <c r="G148" s="1061">
        <f>'12.기타하수량'!D37</f>
        <v>208.83333333333334</v>
      </c>
      <c r="H148" s="1061">
        <f>+G148</f>
        <v>208.83333333333334</v>
      </c>
      <c r="I148" s="1061">
        <f>+H148</f>
        <v>208.83333333333334</v>
      </c>
      <c r="J148" s="1533"/>
    </row>
    <row r="149" spans="1:10" ht="18.95" customHeight="1">
      <c r="A149" s="1524"/>
      <c r="B149" s="1560"/>
      <c r="C149" s="1453" t="s">
        <v>10</v>
      </c>
      <c r="D149" s="1062">
        <v>1.5</v>
      </c>
      <c r="E149" s="1063"/>
      <c r="F149" s="1063"/>
      <c r="G149" s="1063">
        <f>ROUND(+G148*$D149,0)</f>
        <v>313</v>
      </c>
      <c r="H149" s="1063">
        <f>ROUND(+H148*$D149,0)</f>
        <v>313</v>
      </c>
      <c r="I149" s="1063">
        <f>ROUND(+I148*$D149,0)</f>
        <v>313</v>
      </c>
      <c r="J149" s="1563"/>
    </row>
    <row r="150" spans="1:10" ht="18.95" customHeight="1">
      <c r="A150" s="1572" t="s">
        <v>1595</v>
      </c>
      <c r="B150" s="1545"/>
      <c r="C150" s="1455" t="s">
        <v>8</v>
      </c>
      <c r="D150" s="1456">
        <v>0.8</v>
      </c>
      <c r="E150" s="1457"/>
      <c r="F150" s="1273">
        <f>+ROUND(F151*$D$150,0)</f>
        <v>98</v>
      </c>
      <c r="G150" s="1273">
        <f t="shared" ref="G150:I150" si="39">+ROUND(G151*$D$150,0)</f>
        <v>98</v>
      </c>
      <c r="H150" s="1273">
        <f t="shared" si="39"/>
        <v>98</v>
      </c>
      <c r="I150" s="1273">
        <f t="shared" si="39"/>
        <v>98</v>
      </c>
      <c r="J150" s="1529" t="s">
        <v>1590</v>
      </c>
    </row>
    <row r="151" spans="1:10" ht="18.95" customHeight="1">
      <c r="A151" s="1572"/>
      <c r="B151" s="1546"/>
      <c r="C151" s="1452" t="s">
        <v>292</v>
      </c>
      <c r="D151" s="527">
        <v>1</v>
      </c>
      <c r="E151" s="530"/>
      <c r="F151" s="530">
        <f>'12.기타하수량'!D58</f>
        <v>123</v>
      </c>
      <c r="G151" s="530">
        <f>+F151</f>
        <v>123</v>
      </c>
      <c r="H151" s="530">
        <f>+G151</f>
        <v>123</v>
      </c>
      <c r="I151" s="530">
        <f>+H151</f>
        <v>123</v>
      </c>
      <c r="J151" s="1530"/>
    </row>
    <row r="152" spans="1:10" ht="18.95" customHeight="1">
      <c r="A152" s="1572"/>
      <c r="B152" s="1573"/>
      <c r="C152" s="1458" t="s">
        <v>10</v>
      </c>
      <c r="D152" s="1459">
        <v>1.5</v>
      </c>
      <c r="E152" s="1460"/>
      <c r="F152" s="1460">
        <f>ROUND(+F151*$D152,0)</f>
        <v>185</v>
      </c>
      <c r="G152" s="1460">
        <f>ROUND(+G151*$D152,0)</f>
        <v>185</v>
      </c>
      <c r="H152" s="1460">
        <f>ROUND(+H151*$D152,0)</f>
        <v>185</v>
      </c>
      <c r="I152" s="1460">
        <f>ROUND(+I151*$D152,0)</f>
        <v>185</v>
      </c>
      <c r="J152" s="1531"/>
    </row>
    <row r="153" spans="1:10" ht="18.95" customHeight="1">
      <c r="A153" s="1522" t="s">
        <v>1596</v>
      </c>
      <c r="B153" s="1525"/>
      <c r="C153" s="1445" t="s">
        <v>8</v>
      </c>
      <c r="D153" s="1119">
        <v>0.8</v>
      </c>
      <c r="E153" s="1273"/>
      <c r="F153" s="1273"/>
      <c r="G153" s="1273">
        <f t="shared" ref="G153:I153" si="40">+ROUND(G154*$D$153,0)</f>
        <v>7</v>
      </c>
      <c r="H153" s="1273">
        <f t="shared" si="40"/>
        <v>7</v>
      </c>
      <c r="I153" s="1273">
        <f t="shared" si="40"/>
        <v>7</v>
      </c>
      <c r="J153" s="1574" t="s">
        <v>435</v>
      </c>
    </row>
    <row r="154" spans="1:10" ht="18.95" customHeight="1">
      <c r="A154" s="1523"/>
      <c r="B154" s="1526"/>
      <c r="C154" s="1446" t="s">
        <v>292</v>
      </c>
      <c r="D154" s="1055">
        <v>1</v>
      </c>
      <c r="E154" s="1061"/>
      <c r="F154" s="1061"/>
      <c r="G154" s="1061">
        <f>'12.기타하수량'!D48</f>
        <v>8.75</v>
      </c>
      <c r="H154" s="1061">
        <f>+G154</f>
        <v>8.75</v>
      </c>
      <c r="I154" s="1061">
        <f>+H154</f>
        <v>8.75</v>
      </c>
      <c r="J154" s="1533"/>
    </row>
    <row r="155" spans="1:10" ht="18.95" customHeight="1">
      <c r="A155" s="1524"/>
      <c r="B155" s="1560"/>
      <c r="C155" s="1453" t="s">
        <v>10</v>
      </c>
      <c r="D155" s="1062">
        <v>1.5</v>
      </c>
      <c r="E155" s="1063"/>
      <c r="F155" s="1063"/>
      <c r="G155" s="1063">
        <f>ROUND(+G154*$D155,0)</f>
        <v>13</v>
      </c>
      <c r="H155" s="1063">
        <f>ROUND(+H154*$D155,0)</f>
        <v>13</v>
      </c>
      <c r="I155" s="1063">
        <f>ROUND(+I154*$D155,0)</f>
        <v>13</v>
      </c>
      <c r="J155" s="1563"/>
    </row>
    <row r="156" spans="1:10" ht="18.95" customHeight="1">
      <c r="A156" s="1543" t="s">
        <v>1935</v>
      </c>
      <c r="B156" s="1545" t="s">
        <v>1936</v>
      </c>
      <c r="C156" s="1455" t="s">
        <v>8</v>
      </c>
      <c r="D156" s="1456">
        <v>0.8</v>
      </c>
      <c r="E156" s="1457"/>
      <c r="F156" s="1457">
        <f>+ROUND(F157*$D$156,0)</f>
        <v>74</v>
      </c>
      <c r="G156" s="1457">
        <f>+ROUND(G157*$D$156,0)</f>
        <v>74</v>
      </c>
      <c r="H156" s="1457">
        <f>+ROUND(H157*$D$156,0)</f>
        <v>74</v>
      </c>
      <c r="I156" s="1457">
        <f>+ROUND(I157*$D$156,0)</f>
        <v>74</v>
      </c>
      <c r="J156" s="1541" t="s">
        <v>1938</v>
      </c>
    </row>
    <row r="157" spans="1:10" ht="18.95" customHeight="1">
      <c r="A157" s="1544"/>
      <c r="B157" s="1546"/>
      <c r="C157" s="1452" t="s">
        <v>9</v>
      </c>
      <c r="D157" s="527">
        <v>1</v>
      </c>
      <c r="E157" s="530"/>
      <c r="F157" s="530">
        <f>'12.기타하수량'!G74</f>
        <v>92</v>
      </c>
      <c r="G157" s="530">
        <f>+F157</f>
        <v>92</v>
      </c>
      <c r="H157" s="530">
        <f>+G157</f>
        <v>92</v>
      </c>
      <c r="I157" s="530">
        <f>+H157</f>
        <v>92</v>
      </c>
      <c r="J157" s="1541"/>
    </row>
    <row r="158" spans="1:10" ht="18.95" customHeight="1">
      <c r="A158" s="1544"/>
      <c r="B158" s="1546"/>
      <c r="C158" s="1452" t="s">
        <v>10</v>
      </c>
      <c r="D158" s="527">
        <v>1.5</v>
      </c>
      <c r="E158" s="530"/>
      <c r="F158" s="530">
        <f>ROUND(+F157*$D158,0)</f>
        <v>138</v>
      </c>
      <c r="G158" s="530">
        <f>ROUND(+G157*$D158,0)</f>
        <v>138</v>
      </c>
      <c r="H158" s="530">
        <f>ROUND(+H157*$D158,0)</f>
        <v>138</v>
      </c>
      <c r="I158" s="530">
        <f>ROUND(+I157*$D158,0)</f>
        <v>138</v>
      </c>
      <c r="J158" s="1529"/>
    </row>
    <row r="159" spans="1:10" ht="18.95" customHeight="1">
      <c r="A159" s="1566" t="s">
        <v>650</v>
      </c>
      <c r="B159" s="1557" t="s">
        <v>656</v>
      </c>
      <c r="C159" s="1445" t="s">
        <v>291</v>
      </c>
      <c r="D159" s="1119">
        <v>0.8</v>
      </c>
      <c r="E159" s="1274">
        <f>+ROUND(E160*$D$159,0)</f>
        <v>231</v>
      </c>
      <c r="F159" s="1274">
        <f t="shared" ref="F159:I159" si="41">+ROUND(F160*$D$159,0)</f>
        <v>231</v>
      </c>
      <c r="G159" s="1274">
        <f t="shared" si="41"/>
        <v>231</v>
      </c>
      <c r="H159" s="1274">
        <f t="shared" si="41"/>
        <v>231</v>
      </c>
      <c r="I159" s="1274">
        <f t="shared" si="41"/>
        <v>231</v>
      </c>
      <c r="J159" s="1569" t="s">
        <v>654</v>
      </c>
    </row>
    <row r="160" spans="1:10" ht="18.95" customHeight="1">
      <c r="A160" s="1567"/>
      <c r="B160" s="1526"/>
      <c r="C160" s="1446" t="s">
        <v>292</v>
      </c>
      <c r="D160" s="1055">
        <v>1</v>
      </c>
      <c r="E160" s="1275">
        <v>289</v>
      </c>
      <c r="F160" s="1275">
        <v>289</v>
      </c>
      <c r="G160" s="1275">
        <v>289</v>
      </c>
      <c r="H160" s="1275">
        <v>289</v>
      </c>
      <c r="I160" s="1275">
        <v>289</v>
      </c>
      <c r="J160" s="1570"/>
    </row>
    <row r="161" spans="1:13" ht="18.95" customHeight="1">
      <c r="A161" s="1567"/>
      <c r="B161" s="1526"/>
      <c r="C161" s="1446" t="s">
        <v>293</v>
      </c>
      <c r="D161" s="1055">
        <v>1.5</v>
      </c>
      <c r="E161" s="1275">
        <f>ROUND(+E160*$D161,0)</f>
        <v>434</v>
      </c>
      <c r="F161" s="1275">
        <f>ROUND(+F160*$D161,0)</f>
        <v>434</v>
      </c>
      <c r="G161" s="1275">
        <f>ROUND(+G160*$D161,0)</f>
        <v>434</v>
      </c>
      <c r="H161" s="1275">
        <f>ROUND(+H160*$D161,0)</f>
        <v>434</v>
      </c>
      <c r="I161" s="1275">
        <f>ROUND(+I160*$D161,0)</f>
        <v>434</v>
      </c>
      <c r="J161" s="1570"/>
    </row>
    <row r="162" spans="1:13" ht="18.95" customHeight="1">
      <c r="A162" s="1567"/>
      <c r="B162" s="1558" t="s">
        <v>655</v>
      </c>
      <c r="C162" s="1446" t="s">
        <v>291</v>
      </c>
      <c r="D162" s="1055">
        <v>1</v>
      </c>
      <c r="E162" s="1275"/>
      <c r="F162" s="1275">
        <v>1682</v>
      </c>
      <c r="G162" s="1275">
        <v>1682</v>
      </c>
      <c r="H162" s="1275">
        <v>1682</v>
      </c>
      <c r="I162" s="1275">
        <v>1682</v>
      </c>
      <c r="J162" s="1570"/>
    </row>
    <row r="163" spans="1:13" ht="18.95" customHeight="1">
      <c r="A163" s="1567"/>
      <c r="B163" s="1526"/>
      <c r="C163" s="1446" t="s">
        <v>292</v>
      </c>
      <c r="D163" s="1055">
        <v>1</v>
      </c>
      <c r="E163" s="1275"/>
      <c r="F163" s="1275">
        <v>1682</v>
      </c>
      <c r="G163" s="1275">
        <v>1682</v>
      </c>
      <c r="H163" s="1275">
        <v>1682</v>
      </c>
      <c r="I163" s="1275">
        <v>1682</v>
      </c>
      <c r="J163" s="1570"/>
    </row>
    <row r="164" spans="1:13" ht="18.95" customHeight="1">
      <c r="A164" s="1567"/>
      <c r="B164" s="1526"/>
      <c r="C164" s="1446" t="s">
        <v>293</v>
      </c>
      <c r="D164" s="1055">
        <v>1</v>
      </c>
      <c r="E164" s="1275"/>
      <c r="F164" s="1275">
        <v>1682</v>
      </c>
      <c r="G164" s="1275">
        <v>1682</v>
      </c>
      <c r="H164" s="1275">
        <v>1682</v>
      </c>
      <c r="I164" s="1275">
        <v>1682</v>
      </c>
      <c r="J164" s="1570"/>
    </row>
    <row r="165" spans="1:13" ht="18.95" customHeight="1">
      <c r="A165" s="1567"/>
      <c r="B165" s="1558" t="s">
        <v>657</v>
      </c>
      <c r="C165" s="1446" t="s">
        <v>291</v>
      </c>
      <c r="D165" s="1055"/>
      <c r="E165" s="1275">
        <v>341.4</v>
      </c>
      <c r="F165" s="1275">
        <f>F168*0.3</f>
        <v>341.4</v>
      </c>
      <c r="G165" s="1275">
        <f t="shared" ref="G165:I165" si="42">G168*0.3</f>
        <v>341.4</v>
      </c>
      <c r="H165" s="1275">
        <f t="shared" si="42"/>
        <v>341.4</v>
      </c>
      <c r="I165" s="1275">
        <f t="shared" si="42"/>
        <v>341.4</v>
      </c>
      <c r="J165" s="1570"/>
      <c r="K165" s="302">
        <v>42000</v>
      </c>
      <c r="L165" s="302">
        <v>12230</v>
      </c>
      <c r="M165" s="1366">
        <f>L165/K165</f>
        <v>0.29119047619047617</v>
      </c>
    </row>
    <row r="166" spans="1:13" ht="18.95" customHeight="1">
      <c r="A166" s="1567"/>
      <c r="B166" s="1526"/>
      <c r="C166" s="1446" t="s">
        <v>292</v>
      </c>
      <c r="D166" s="1055"/>
      <c r="E166" s="1275">
        <v>414.59999999999997</v>
      </c>
      <c r="F166" s="1275">
        <f t="shared" ref="F166:I166" si="43">F169*0.3</f>
        <v>414.59999999999997</v>
      </c>
      <c r="G166" s="1275">
        <f t="shared" si="43"/>
        <v>414.59999999999997</v>
      </c>
      <c r="H166" s="1275">
        <f t="shared" si="43"/>
        <v>414.59999999999997</v>
      </c>
      <c r="I166" s="1275">
        <f t="shared" si="43"/>
        <v>414.59999999999997</v>
      </c>
      <c r="J166" s="1570"/>
    </row>
    <row r="167" spans="1:13" ht="18.95" customHeight="1">
      <c r="A167" s="1568"/>
      <c r="B167" s="1560"/>
      <c r="C167" s="1453" t="s">
        <v>293</v>
      </c>
      <c r="D167" s="1062"/>
      <c r="E167" s="1368">
        <v>594.9</v>
      </c>
      <c r="F167" s="1368">
        <f t="shared" ref="F167:I167" si="44">F170*0.3</f>
        <v>594.9</v>
      </c>
      <c r="G167" s="1368">
        <f t="shared" si="44"/>
        <v>594.9</v>
      </c>
      <c r="H167" s="1368">
        <f t="shared" si="44"/>
        <v>594.9</v>
      </c>
      <c r="I167" s="1368">
        <f t="shared" si="44"/>
        <v>594.9</v>
      </c>
      <c r="J167" s="1571"/>
    </row>
    <row r="168" spans="1:13" ht="18.95" hidden="1" customHeight="1" outlineLevel="1">
      <c r="A168" s="1367"/>
      <c r="B168" s="1559" t="s">
        <v>657</v>
      </c>
      <c r="C168" s="1365" t="s">
        <v>291</v>
      </c>
      <c r="D168" s="1118"/>
      <c r="E168" s="1370"/>
      <c r="F168" s="1370">
        <v>1138</v>
      </c>
      <c r="G168" s="1370">
        <v>1138</v>
      </c>
      <c r="H168" s="1370">
        <v>1138</v>
      </c>
      <c r="I168" s="1370">
        <v>1138</v>
      </c>
      <c r="J168" s="1371"/>
    </row>
    <row r="169" spans="1:13" ht="18.95" hidden="1" customHeight="1" outlineLevel="1">
      <c r="A169" s="1361"/>
      <c r="B169" s="1526"/>
      <c r="C169" s="1360" t="s">
        <v>292</v>
      </c>
      <c r="D169" s="1055"/>
      <c r="E169" s="1275"/>
      <c r="F169" s="1275">
        <v>1382</v>
      </c>
      <c r="G169" s="1275">
        <v>1382</v>
      </c>
      <c r="H169" s="1275">
        <v>1382</v>
      </c>
      <c r="I169" s="1275">
        <v>1382</v>
      </c>
      <c r="J169" s="1363"/>
    </row>
    <row r="170" spans="1:13" ht="18.95" hidden="1" customHeight="1" outlineLevel="1">
      <c r="A170" s="1362"/>
      <c r="B170" s="1560"/>
      <c r="C170" s="1364" t="s">
        <v>293</v>
      </c>
      <c r="D170" s="1062"/>
      <c r="E170" s="1368"/>
      <c r="F170" s="1368">
        <v>1983</v>
      </c>
      <c r="G170" s="1368">
        <v>1983</v>
      </c>
      <c r="H170" s="1368">
        <v>1983</v>
      </c>
      <c r="I170" s="1368">
        <v>1983</v>
      </c>
      <c r="J170" s="1369"/>
    </row>
    <row r="171" spans="1:13" ht="18.95" hidden="1" customHeight="1" outlineLevel="1">
      <c r="A171" s="1367"/>
      <c r="B171" s="1559" t="s">
        <v>658</v>
      </c>
      <c r="C171" s="1365" t="s">
        <v>652</v>
      </c>
      <c r="D171" s="1118">
        <v>0.8</v>
      </c>
      <c r="E171" s="1271"/>
      <c r="F171" s="1271" t="e">
        <f>+ROUND(F172*#REF!,0)</f>
        <v>#REF!</v>
      </c>
      <c r="G171" s="1271" t="e">
        <f>+ROUND(G172*#REF!,0)</f>
        <v>#REF!</v>
      </c>
      <c r="H171" s="1271" t="e">
        <f>+ROUND(H172*#REF!,0)</f>
        <v>#REF!</v>
      </c>
      <c r="I171" s="1271" t="e">
        <f>+ROUND(I172*#REF!,0)</f>
        <v>#REF!</v>
      </c>
      <c r="J171" s="1562" t="s">
        <v>1772</v>
      </c>
    </row>
    <row r="172" spans="1:13" ht="18.95" hidden="1" customHeight="1" outlineLevel="1">
      <c r="A172" s="1301"/>
      <c r="B172" s="1558"/>
      <c r="C172" s="1237" t="s">
        <v>653</v>
      </c>
      <c r="D172" s="1055">
        <v>1</v>
      </c>
      <c r="E172" s="1061"/>
      <c r="F172" s="1061">
        <f>+'12.기타하수량'!D159</f>
        <v>390</v>
      </c>
      <c r="G172" s="1061">
        <f>+F172</f>
        <v>390</v>
      </c>
      <c r="H172" s="1061">
        <f>+G172</f>
        <v>390</v>
      </c>
      <c r="I172" s="1061">
        <f>+H172</f>
        <v>390</v>
      </c>
      <c r="J172" s="1533"/>
    </row>
    <row r="173" spans="1:13" ht="18.95" hidden="1" customHeight="1" outlineLevel="1">
      <c r="A173" s="1302"/>
      <c r="B173" s="1561"/>
      <c r="C173" s="1240" t="s">
        <v>651</v>
      </c>
      <c r="D173" s="1062">
        <v>1.8</v>
      </c>
      <c r="E173" s="1063"/>
      <c r="F173" s="1063">
        <f>ROUND(+F172*$D173,0)</f>
        <v>702</v>
      </c>
      <c r="G173" s="1063">
        <f>ROUND(+G172*$D173,0)</f>
        <v>702</v>
      </c>
      <c r="H173" s="1063">
        <f>ROUND(+H172*$D173,0)</f>
        <v>702</v>
      </c>
      <c r="I173" s="1063">
        <f>ROUND(+I172*$D173,0)</f>
        <v>702</v>
      </c>
      <c r="J173" s="1563"/>
    </row>
    <row r="174" spans="1:13" ht="20.100000000000001" hidden="1" customHeight="1" outlineLevel="1">
      <c r="A174" s="1564" t="s">
        <v>716</v>
      </c>
      <c r="B174" s="1565" t="s">
        <v>717</v>
      </c>
      <c r="C174" s="775" t="s">
        <v>8</v>
      </c>
      <c r="D174" s="776">
        <v>0.8</v>
      </c>
      <c r="E174" s="777" t="e">
        <f>+ROUND(E175*#REF!,0)</f>
        <v>#REF!</v>
      </c>
      <c r="F174" s="777" t="e">
        <f>+ROUND(F175*#REF!,0)</f>
        <v>#REF!</v>
      </c>
      <c r="G174" s="777" t="e">
        <f>+ROUND(G175*#REF!,0)</f>
        <v>#REF!</v>
      </c>
      <c r="H174" s="777" t="e">
        <f>+ROUND(H175*#REF!,0)</f>
        <v>#REF!</v>
      </c>
      <c r="I174" s="777" t="e">
        <f>+ROUND(I175*#REF!,0)</f>
        <v>#REF!</v>
      </c>
      <c r="J174" s="1541" t="s">
        <v>637</v>
      </c>
    </row>
    <row r="175" spans="1:13" ht="20.100000000000001" hidden="1" customHeight="1" outlineLevel="1">
      <c r="A175" s="1547"/>
      <c r="B175" s="1546"/>
      <c r="C175" s="691" t="s">
        <v>9</v>
      </c>
      <c r="D175" s="527">
        <v>1</v>
      </c>
      <c r="E175" s="530">
        <f>+'12.기타하수량'!D167</f>
        <v>63</v>
      </c>
      <c r="F175" s="530">
        <f>+E175</f>
        <v>63</v>
      </c>
      <c r="G175" s="530">
        <f>+F175</f>
        <v>63</v>
      </c>
      <c r="H175" s="530">
        <f>+G175</f>
        <v>63</v>
      </c>
      <c r="I175" s="530">
        <f>+H175</f>
        <v>63</v>
      </c>
      <c r="J175" s="1549"/>
    </row>
    <row r="176" spans="1:13" ht="20.100000000000001" hidden="1" customHeight="1" outlineLevel="1">
      <c r="A176" s="1547"/>
      <c r="B176" s="1546"/>
      <c r="C176" s="691" t="s">
        <v>10</v>
      </c>
      <c r="D176" s="527">
        <v>1.8</v>
      </c>
      <c r="E176" s="530">
        <f>ROUND(+E175*$D176,0)</f>
        <v>113</v>
      </c>
      <c r="F176" s="530">
        <f>ROUND(+F175*$D176,0)</f>
        <v>113</v>
      </c>
      <c r="G176" s="530">
        <f>ROUND(+G175*$D176,0)</f>
        <v>113</v>
      </c>
      <c r="H176" s="530">
        <f>ROUND(+H175*$D176,0)</f>
        <v>113</v>
      </c>
      <c r="I176" s="530">
        <f>ROUND(+I175*$D176,0)</f>
        <v>113</v>
      </c>
      <c r="J176" s="1550"/>
    </row>
    <row r="177" spans="1:10" ht="15" hidden="1" customHeight="1" outlineLevel="1">
      <c r="A177" s="1547" t="s">
        <v>741</v>
      </c>
      <c r="B177" s="1546" t="s">
        <v>761</v>
      </c>
      <c r="C177" s="708" t="s">
        <v>8</v>
      </c>
      <c r="D177" s="527">
        <v>0.8</v>
      </c>
      <c r="E177" s="530" t="e">
        <f>+ROUND(E178*#REF!,0)</f>
        <v>#REF!</v>
      </c>
      <c r="F177" s="530" t="e">
        <f>+ROUND(F178*#REF!,0)</f>
        <v>#REF!</v>
      </c>
      <c r="G177" s="530" t="e">
        <f>+ROUND(G178*#REF!,0)</f>
        <v>#REF!</v>
      </c>
      <c r="H177" s="530" t="e">
        <f>+ROUND(H178*#REF!,0)</f>
        <v>#REF!</v>
      </c>
      <c r="I177" s="530" t="e">
        <f>+ROUND(I178*#REF!,0)</f>
        <v>#REF!</v>
      </c>
      <c r="J177" s="1548" t="s">
        <v>637</v>
      </c>
    </row>
    <row r="178" spans="1:10" ht="15" hidden="1" customHeight="1" outlineLevel="1">
      <c r="A178" s="1547"/>
      <c r="B178" s="1546"/>
      <c r="C178" s="708" t="s">
        <v>9</v>
      </c>
      <c r="D178" s="527">
        <v>1</v>
      </c>
      <c r="E178" s="530">
        <f>+'12.기타하수량'!D172</f>
        <v>20</v>
      </c>
      <c r="F178" s="530">
        <f>+E178</f>
        <v>20</v>
      </c>
      <c r="G178" s="530">
        <f>+F178</f>
        <v>20</v>
      </c>
      <c r="H178" s="530">
        <f>+G178</f>
        <v>20</v>
      </c>
      <c r="I178" s="530">
        <f>+H178</f>
        <v>20</v>
      </c>
      <c r="J178" s="1549"/>
    </row>
    <row r="179" spans="1:10" ht="15" hidden="1" customHeight="1" outlineLevel="1">
      <c r="A179" s="1547"/>
      <c r="B179" s="1546"/>
      <c r="C179" s="708" t="s">
        <v>10</v>
      </c>
      <c r="D179" s="527">
        <v>1.8</v>
      </c>
      <c r="E179" s="530">
        <f>ROUND(+E178*$D179,0)</f>
        <v>36</v>
      </c>
      <c r="F179" s="530">
        <f>ROUND(+F178*$D179,0)</f>
        <v>36</v>
      </c>
      <c r="G179" s="530">
        <f>ROUND(+G178*$D179,0)</f>
        <v>36</v>
      </c>
      <c r="H179" s="530">
        <f>ROUND(+H178*$D179,0)</f>
        <v>36</v>
      </c>
      <c r="I179" s="530">
        <f>ROUND(+I178*$D179,0)</f>
        <v>36</v>
      </c>
      <c r="J179" s="1550"/>
    </row>
    <row r="180" spans="1:10" ht="15" hidden="1" customHeight="1" outlineLevel="1">
      <c r="A180" s="1551" t="s">
        <v>759</v>
      </c>
      <c r="B180" s="1553" t="s">
        <v>760</v>
      </c>
      <c r="C180" s="763" t="s">
        <v>8</v>
      </c>
      <c r="D180" s="764">
        <v>0.8</v>
      </c>
      <c r="E180" s="765" t="e">
        <f>+ROUND(E181*#REF!,0)</f>
        <v>#REF!</v>
      </c>
      <c r="F180" s="765" t="e">
        <f>+ROUND(F181*#REF!,0)</f>
        <v>#REF!</v>
      </c>
      <c r="G180" s="765" t="e">
        <f>+ROUND(G181*#REF!,0)</f>
        <v>#REF!</v>
      </c>
      <c r="H180" s="765" t="e">
        <f>+ROUND(H181*#REF!,0)</f>
        <v>#REF!</v>
      </c>
      <c r="I180" s="765" t="e">
        <f>+ROUND(I181*#REF!,0)</f>
        <v>#REF!</v>
      </c>
      <c r="J180" s="1555" t="s">
        <v>637</v>
      </c>
    </row>
    <row r="181" spans="1:10" ht="15" hidden="1" customHeight="1" outlineLevel="1">
      <c r="A181" s="1551"/>
      <c r="B181" s="1553"/>
      <c r="C181" s="763" t="s">
        <v>9</v>
      </c>
      <c r="D181" s="764">
        <v>1</v>
      </c>
      <c r="E181" s="765">
        <f>+'12.기타하수량'!H177</f>
        <v>4</v>
      </c>
      <c r="F181" s="765">
        <f>+E181</f>
        <v>4</v>
      </c>
      <c r="G181" s="765">
        <f>+F181</f>
        <v>4</v>
      </c>
      <c r="H181" s="765">
        <f>+G181</f>
        <v>4</v>
      </c>
      <c r="I181" s="765">
        <f>+H181</f>
        <v>4</v>
      </c>
      <c r="J181" s="1541"/>
    </row>
    <row r="182" spans="1:10" ht="15" hidden="1" customHeight="1" outlineLevel="1">
      <c r="A182" s="1552"/>
      <c r="B182" s="1554"/>
      <c r="C182" s="766" t="s">
        <v>10</v>
      </c>
      <c r="D182" s="767">
        <v>1.8</v>
      </c>
      <c r="E182" s="768">
        <f>ROUND(+E181*$D182,0)</f>
        <v>7</v>
      </c>
      <c r="F182" s="768">
        <f>ROUND(+F181*$D182,0)</f>
        <v>7</v>
      </c>
      <c r="G182" s="768">
        <f>ROUND(+G181*$D182,0)</f>
        <v>7</v>
      </c>
      <c r="H182" s="768">
        <f>ROUND(+H181*$D182,0)</f>
        <v>7</v>
      </c>
      <c r="I182" s="768">
        <f>ROUND(+I181*$D182,0)</f>
        <v>7</v>
      </c>
      <c r="J182" s="1556"/>
    </row>
    <row r="183" spans="1:10" ht="15" customHeight="1" collapsed="1"/>
    <row r="184" spans="1:10" ht="15" customHeight="1"/>
    <row r="185" spans="1:10" ht="15" customHeight="1"/>
    <row r="186" spans="1:10" ht="15" customHeight="1"/>
    <row r="187" spans="1:10" ht="15" customHeight="1"/>
    <row r="188" spans="1:10" ht="15" customHeight="1"/>
    <row r="189" spans="1:10">
      <c r="A189" s="526"/>
    </row>
  </sheetData>
  <mergeCells count="124">
    <mergeCell ref="J117:J119"/>
    <mergeCell ref="B14:C14"/>
    <mergeCell ref="B21:C21"/>
    <mergeCell ref="B22:C22"/>
    <mergeCell ref="B23:C23"/>
    <mergeCell ref="B26:C26"/>
    <mergeCell ref="B16:C16"/>
    <mergeCell ref="B17:C17"/>
    <mergeCell ref="J114:J116"/>
    <mergeCell ref="J63:J65"/>
    <mergeCell ref="J66:J68"/>
    <mergeCell ref="J60:J62"/>
    <mergeCell ref="B42:B44"/>
    <mergeCell ref="B15:C15"/>
    <mergeCell ref="J105:J107"/>
    <mergeCell ref="J111:J113"/>
    <mergeCell ref="J108:J110"/>
    <mergeCell ref="B93:B95"/>
    <mergeCell ref="B96:B98"/>
    <mergeCell ref="B18:C18"/>
    <mergeCell ref="B19:C19"/>
    <mergeCell ref="B24:C24"/>
    <mergeCell ref="B25:C25"/>
    <mergeCell ref="B69:B71"/>
    <mergeCell ref="A117:A128"/>
    <mergeCell ref="B117:B119"/>
    <mergeCell ref="B11:C11"/>
    <mergeCell ref="B114:B116"/>
    <mergeCell ref="B105:B107"/>
    <mergeCell ref="B81:B83"/>
    <mergeCell ref="B84:B86"/>
    <mergeCell ref="B66:B68"/>
    <mergeCell ref="B111:B113"/>
    <mergeCell ref="B102:B104"/>
    <mergeCell ref="B108:B110"/>
    <mergeCell ref="B63:B65"/>
    <mergeCell ref="B60:B62"/>
    <mergeCell ref="A15:A20"/>
    <mergeCell ref="B90:B92"/>
    <mergeCell ref="B99:B101"/>
    <mergeCell ref="B12:C12"/>
    <mergeCell ref="B13:C13"/>
    <mergeCell ref="B36:B38"/>
    <mergeCell ref="B39:B41"/>
    <mergeCell ref="B51:B53"/>
    <mergeCell ref="B48:B50"/>
    <mergeCell ref="B20:C20"/>
    <mergeCell ref="J132:J134"/>
    <mergeCell ref="B135:B137"/>
    <mergeCell ref="J135:J137"/>
    <mergeCell ref="B138:B140"/>
    <mergeCell ref="J141:J143"/>
    <mergeCell ref="J138:J140"/>
    <mergeCell ref="A147:A149"/>
    <mergeCell ref="B147:B149"/>
    <mergeCell ref="J147:J149"/>
    <mergeCell ref="A132:A137"/>
    <mergeCell ref="A144:A146"/>
    <mergeCell ref="B141:B143"/>
    <mergeCell ref="B144:B146"/>
    <mergeCell ref="A177:A179"/>
    <mergeCell ref="B177:B179"/>
    <mergeCell ref="J177:J179"/>
    <mergeCell ref="A180:A182"/>
    <mergeCell ref="B180:B182"/>
    <mergeCell ref="J180:J182"/>
    <mergeCell ref="B159:B161"/>
    <mergeCell ref="B162:B164"/>
    <mergeCell ref="B168:B170"/>
    <mergeCell ref="B171:B173"/>
    <mergeCell ref="J171:J173"/>
    <mergeCell ref="A174:A176"/>
    <mergeCell ref="B174:B176"/>
    <mergeCell ref="J174:J176"/>
    <mergeCell ref="B165:B167"/>
    <mergeCell ref="A159:A167"/>
    <mergeCell ref="J159:J167"/>
    <mergeCell ref="J144:J146"/>
    <mergeCell ref="A129:A131"/>
    <mergeCell ref="J129:J131"/>
    <mergeCell ref="A27:A44"/>
    <mergeCell ref="A60:A71"/>
    <mergeCell ref="J156:J158"/>
    <mergeCell ref="A138:A140"/>
    <mergeCell ref="A141:A143"/>
    <mergeCell ref="A156:A158"/>
    <mergeCell ref="B156:B158"/>
    <mergeCell ref="A150:A152"/>
    <mergeCell ref="B150:B152"/>
    <mergeCell ref="J150:J152"/>
    <mergeCell ref="A153:A155"/>
    <mergeCell ref="B153:B155"/>
    <mergeCell ref="J153:J155"/>
    <mergeCell ref="B126:B128"/>
    <mergeCell ref="B120:B122"/>
    <mergeCell ref="B129:B131"/>
    <mergeCell ref="B123:B125"/>
    <mergeCell ref="J126:J128"/>
    <mergeCell ref="J120:J122"/>
    <mergeCell ref="J123:J125"/>
    <mergeCell ref="B132:B134"/>
    <mergeCell ref="A2:C2"/>
    <mergeCell ref="A3:A8"/>
    <mergeCell ref="B3:C3"/>
    <mergeCell ref="B4:C4"/>
    <mergeCell ref="B5:C5"/>
    <mergeCell ref="B8:C8"/>
    <mergeCell ref="A72:A116"/>
    <mergeCell ref="B72:B74"/>
    <mergeCell ref="B75:B77"/>
    <mergeCell ref="B78:B80"/>
    <mergeCell ref="B87:B89"/>
    <mergeCell ref="B45:B47"/>
    <mergeCell ref="B54:B56"/>
    <mergeCell ref="B57:B59"/>
    <mergeCell ref="B27:B29"/>
    <mergeCell ref="B30:B32"/>
    <mergeCell ref="B33:B35"/>
    <mergeCell ref="A9:A14"/>
    <mergeCell ref="A21:A26"/>
    <mergeCell ref="B6:C6"/>
    <mergeCell ref="B7:C7"/>
    <mergeCell ref="B9:C9"/>
    <mergeCell ref="B10:C10"/>
  </mergeCells>
  <phoneticPr fontId="7" type="noConversion"/>
  <pageMargins left="0.74803149606299213" right="0.74803149606299213" top="0.39370078740157483" bottom="0.39370078740157483" header="0" footer="0"/>
  <pageSetup paperSize="9" scale="79" orientation="portrait" verticalDpi="300" r:id="rId1"/>
  <headerFooter alignWithMargins="0"/>
  <rowBreaks count="2" manualBreakCount="2">
    <brk id="44" max="9" man="1"/>
    <brk id="116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U75"/>
  <sheetViews>
    <sheetView view="pageBreakPreview" zoomScaleNormal="85" zoomScaleSheetLayoutView="100" workbookViewId="0"/>
  </sheetViews>
  <sheetFormatPr defaultRowHeight="13.5"/>
  <cols>
    <col min="1" max="1" width="16.109375" style="812" customWidth="1"/>
    <col min="2" max="2" width="13.21875" style="1" customWidth="1"/>
    <col min="3" max="7" width="10.77734375" style="1" customWidth="1"/>
    <col min="8" max="8" width="8.88671875" style="1"/>
    <col min="9" max="9" width="8.88671875" style="812"/>
    <col min="10" max="10" width="12.109375" style="812" customWidth="1"/>
    <col min="11" max="16384" width="8.88671875" style="812"/>
  </cols>
  <sheetData>
    <row r="1" spans="1:21" ht="21.95" customHeight="1">
      <c r="A1" s="276" t="s">
        <v>1908</v>
      </c>
      <c r="B1" s="318"/>
      <c r="C1" s="318"/>
      <c r="D1" s="318"/>
      <c r="E1" s="318"/>
      <c r="F1" s="318"/>
      <c r="G1" s="318"/>
      <c r="H1" s="318"/>
    </row>
    <row r="2" spans="1:21" s="845" customFormat="1" ht="26.1" customHeight="1">
      <c r="A2" s="310" t="s">
        <v>1501</v>
      </c>
      <c r="B2" s="301"/>
      <c r="C2" s="301"/>
      <c r="D2" s="301"/>
      <c r="E2" s="301"/>
      <c r="F2" s="301"/>
      <c r="G2" s="301"/>
      <c r="H2" s="301"/>
    </row>
    <row r="3" spans="1:21" s="845" customFormat="1" ht="26.1" customHeight="1">
      <c r="A3" s="1754" t="s">
        <v>135</v>
      </c>
      <c r="B3" s="1748"/>
      <c r="C3" s="1748" t="s">
        <v>1909</v>
      </c>
      <c r="D3" s="1748" t="s">
        <v>18</v>
      </c>
      <c r="E3" s="1748"/>
      <c r="F3" s="1748"/>
      <c r="G3" s="1748" t="s">
        <v>95</v>
      </c>
      <c r="H3" s="1744" t="s">
        <v>144</v>
      </c>
    </row>
    <row r="4" spans="1:21" s="845" customFormat="1" ht="26.1" customHeight="1">
      <c r="A4" s="1755"/>
      <c r="B4" s="1749"/>
      <c r="C4" s="1749"/>
      <c r="D4" s="1383" t="s">
        <v>19</v>
      </c>
      <c r="E4" s="1383" t="s">
        <v>12</v>
      </c>
      <c r="F4" s="1382" t="s">
        <v>13</v>
      </c>
      <c r="G4" s="1750"/>
      <c r="H4" s="1745"/>
    </row>
    <row r="5" spans="1:21" s="845" customFormat="1" ht="26.1" customHeight="1">
      <c r="A5" s="1756" t="s">
        <v>948</v>
      </c>
      <c r="B5" s="345" t="s">
        <v>66</v>
      </c>
      <c r="C5" s="346">
        <v>3271</v>
      </c>
      <c r="D5" s="346">
        <f>SUM(E5:F5)</f>
        <v>354.98082191780827</v>
      </c>
      <c r="E5" s="346">
        <v>312.33424657534249</v>
      </c>
      <c r="F5" s="346">
        <v>42.646575342465752</v>
      </c>
      <c r="G5" s="346">
        <f>D5/C5*1000</f>
        <v>108.52363861748954</v>
      </c>
      <c r="H5" s="347"/>
    </row>
    <row r="6" spans="1:21" s="845" customFormat="1" ht="26.1" customHeight="1">
      <c r="A6" s="1757"/>
      <c r="B6" s="345" t="s">
        <v>67</v>
      </c>
      <c r="C6" s="346">
        <v>4805</v>
      </c>
      <c r="D6" s="346">
        <f t="shared" ref="D6:D11" si="0">SUM(E6:F6)</f>
        <v>406.44383561643838</v>
      </c>
      <c r="E6" s="346">
        <v>360.76438356164385</v>
      </c>
      <c r="F6" s="346">
        <v>45.679452054794524</v>
      </c>
      <c r="G6" s="346">
        <f t="shared" ref="G6:G11" si="1">D6/C6*1000</f>
        <v>84.587686912890391</v>
      </c>
      <c r="H6" s="347"/>
    </row>
    <row r="7" spans="1:21" s="845" customFormat="1" ht="26.1" customHeight="1">
      <c r="A7" s="1757"/>
      <c r="B7" s="345" t="s">
        <v>68</v>
      </c>
      <c r="C7" s="346">
        <v>4815</v>
      </c>
      <c r="D7" s="346">
        <f t="shared" si="0"/>
        <v>468.17260273972602</v>
      </c>
      <c r="E7" s="346">
        <v>411.32054794520548</v>
      </c>
      <c r="F7" s="346">
        <v>56.852054794520555</v>
      </c>
      <c r="G7" s="346">
        <f t="shared" si="1"/>
        <v>97.232108564844452</v>
      </c>
      <c r="H7" s="347"/>
    </row>
    <row r="8" spans="1:21" s="845" customFormat="1" ht="26.1" customHeight="1">
      <c r="A8" s="1757"/>
      <c r="B8" s="345" t="s">
        <v>877</v>
      </c>
      <c r="C8" s="346">
        <v>7215</v>
      </c>
      <c r="D8" s="346">
        <f t="shared" si="0"/>
        <v>851.75616438356167</v>
      </c>
      <c r="E8" s="346">
        <v>646.96712328767126</v>
      </c>
      <c r="F8" s="346">
        <v>204.78904109589038</v>
      </c>
      <c r="G8" s="346">
        <f t="shared" si="1"/>
        <v>118.05352243708408</v>
      </c>
      <c r="H8" s="347"/>
    </row>
    <row r="9" spans="1:21" s="845" customFormat="1" ht="26.1" customHeight="1">
      <c r="A9" s="1757"/>
      <c r="B9" s="345" t="s">
        <v>50</v>
      </c>
      <c r="C9" s="346">
        <v>9376.2000000000007</v>
      </c>
      <c r="D9" s="346">
        <f t="shared" si="0"/>
        <v>1701.0246575342467</v>
      </c>
      <c r="E9" s="346">
        <v>1308.9205479452055</v>
      </c>
      <c r="F9" s="346">
        <v>392.10410958904106</v>
      </c>
      <c r="G9" s="346">
        <f t="shared" si="1"/>
        <v>181.41940845270435</v>
      </c>
      <c r="H9" s="347"/>
    </row>
    <row r="10" spans="1:21" s="845" customFormat="1" ht="26.1" customHeight="1">
      <c r="A10" s="1757"/>
      <c r="B10" s="345" t="s">
        <v>1502</v>
      </c>
      <c r="C10" s="346">
        <v>11028.6</v>
      </c>
      <c r="D10" s="346">
        <f t="shared" si="0"/>
        <v>2562.2356164383564</v>
      </c>
      <c r="E10" s="346">
        <v>1843.868493150685</v>
      </c>
      <c r="F10" s="346">
        <v>718.36712328767112</v>
      </c>
      <c r="G10" s="346">
        <f t="shared" si="1"/>
        <v>232.32646178466499</v>
      </c>
      <c r="H10" s="347"/>
    </row>
    <row r="11" spans="1:21" s="845" customFormat="1" ht="26.1" customHeight="1">
      <c r="A11" s="1758"/>
      <c r="B11" s="1286" t="s">
        <v>1818</v>
      </c>
      <c r="C11" s="346">
        <v>11231.1</v>
      </c>
      <c r="D11" s="346">
        <f t="shared" si="0"/>
        <v>2914.9706959706959</v>
      </c>
      <c r="E11" s="346">
        <v>2003.5824175824175</v>
      </c>
      <c r="F11" s="346">
        <v>911.38827838827842</v>
      </c>
      <c r="G11" s="346">
        <f t="shared" si="1"/>
        <v>259.5445411376175</v>
      </c>
      <c r="H11" s="1285"/>
    </row>
    <row r="12" spans="1:21" s="845" customFormat="1" ht="26.1" customHeight="1">
      <c r="A12" s="1746" t="s">
        <v>273</v>
      </c>
      <c r="B12" s="314" t="s">
        <v>1832</v>
      </c>
      <c r="C12" s="1388">
        <f>AVERAGE(C5:C11)</f>
        <v>7391.7</v>
      </c>
      <c r="D12" s="1388">
        <f t="shared" ref="D12:F12" si="2">AVERAGE(D5:D11)</f>
        <v>1322.7977706572619</v>
      </c>
      <c r="E12" s="1388">
        <f t="shared" si="2"/>
        <v>983.96539429259587</v>
      </c>
      <c r="F12" s="1388">
        <f t="shared" si="2"/>
        <v>338.83237636466595</v>
      </c>
      <c r="G12" s="1388">
        <f>AVERAGE(G5:G10)</f>
        <v>137.02380446161297</v>
      </c>
      <c r="H12" s="1389"/>
    </row>
    <row r="13" spans="1:21" s="845" customFormat="1" ht="26.1" customHeight="1">
      <c r="A13" s="1746"/>
      <c r="B13" s="314" t="s">
        <v>308</v>
      </c>
      <c r="C13" s="1388">
        <f>AVERAGE(C7:C11)</f>
        <v>8733.18</v>
      </c>
      <c r="D13" s="1388">
        <f t="shared" ref="D13:F13" si="3">AVERAGE(D7:D11)</f>
        <v>1699.6319474133174</v>
      </c>
      <c r="E13" s="1388">
        <f t="shared" si="3"/>
        <v>1242.9318259822369</v>
      </c>
      <c r="F13" s="1388">
        <f t="shared" si="3"/>
        <v>456.70012143108033</v>
      </c>
      <c r="G13" s="1388">
        <f t="shared" ref="G13" si="4">AVERAGE(G6:G10)</f>
        <v>142.72383763043766</v>
      </c>
      <c r="H13" s="1389"/>
    </row>
    <row r="14" spans="1:21" s="845" customFormat="1" ht="30" customHeight="1">
      <c r="A14" s="1747"/>
      <c r="B14" s="349" t="s">
        <v>309</v>
      </c>
      <c r="C14" s="1386">
        <f>AVERAGE(C9:C11)</f>
        <v>10545.300000000001</v>
      </c>
      <c r="D14" s="1386">
        <f t="shared" ref="D14:F14" si="5">AVERAGE(D9:D11)</f>
        <v>2392.7436566477663</v>
      </c>
      <c r="E14" s="1386">
        <f t="shared" si="5"/>
        <v>1718.7904862261028</v>
      </c>
      <c r="F14" s="1386">
        <f t="shared" si="5"/>
        <v>673.95317042166357</v>
      </c>
      <c r="G14" s="1386">
        <f>AVERAGE(G9:G11)</f>
        <v>224.43013712499564</v>
      </c>
      <c r="H14" s="1387"/>
    </row>
    <row r="15" spans="1:21" s="845" customFormat="1" ht="30" customHeight="1">
      <c r="A15" s="310" t="s">
        <v>1910</v>
      </c>
      <c r="B15" s="313"/>
      <c r="C15" s="313"/>
      <c r="D15" s="313"/>
      <c r="E15" s="313"/>
      <c r="F15" s="313"/>
      <c r="G15" s="313"/>
      <c r="H15" s="313"/>
    </row>
    <row r="16" spans="1:21" s="845" customFormat="1" ht="30" customHeight="1">
      <c r="A16" s="1722" t="s">
        <v>310</v>
      </c>
      <c r="B16" s="1723"/>
      <c r="C16" s="1402" t="s">
        <v>1504</v>
      </c>
      <c r="D16" s="1402" t="s">
        <v>314</v>
      </c>
      <c r="E16" s="1402" t="s">
        <v>315</v>
      </c>
      <c r="F16" s="1402" t="s">
        <v>316</v>
      </c>
      <c r="G16" s="1402" t="s">
        <v>317</v>
      </c>
      <c r="H16" s="1403" t="s">
        <v>45</v>
      </c>
      <c r="J16" s="1277"/>
      <c r="K16" s="1277"/>
      <c r="L16" s="1277"/>
      <c r="M16" s="1277"/>
      <c r="N16" s="1277"/>
      <c r="O16" s="1277"/>
      <c r="P16" s="1277"/>
      <c r="R16" s="444"/>
      <c r="S16" s="444"/>
      <c r="T16" s="444"/>
      <c r="U16" s="444"/>
    </row>
    <row r="17" spans="1:21" s="845" customFormat="1" ht="30" customHeight="1">
      <c r="A17" s="1417" t="s">
        <v>1911</v>
      </c>
      <c r="B17" s="1405" t="s">
        <v>948</v>
      </c>
      <c r="C17" s="1406">
        <f>G11*0.045</f>
        <v>11.679504351192787</v>
      </c>
      <c r="D17" s="1406">
        <f>C17</f>
        <v>11.679504351192787</v>
      </c>
      <c r="E17" s="1406">
        <f>D17</f>
        <v>11.679504351192787</v>
      </c>
      <c r="F17" s="1406">
        <f>E17</f>
        <v>11.679504351192787</v>
      </c>
      <c r="G17" s="1406">
        <f>F17</f>
        <v>11.679504351192787</v>
      </c>
      <c r="H17" s="1418"/>
      <c r="I17" s="455"/>
      <c r="J17" s="1278"/>
      <c r="K17" s="1278"/>
      <c r="L17" s="1278"/>
      <c r="M17" s="1278"/>
      <c r="N17" s="1278"/>
      <c r="O17" s="1278"/>
      <c r="P17" s="1278"/>
      <c r="Q17" s="444"/>
      <c r="R17" s="444"/>
      <c r="S17" s="444"/>
      <c r="T17" s="444"/>
      <c r="U17" s="444"/>
    </row>
    <row r="18" spans="1:21" s="845" customFormat="1" ht="30" customHeight="1">
      <c r="A18" s="310" t="s">
        <v>1816</v>
      </c>
      <c r="B18" s="313"/>
      <c r="C18" s="313"/>
      <c r="D18" s="313"/>
      <c r="E18" s="313"/>
      <c r="F18" s="313"/>
      <c r="G18" s="313"/>
      <c r="H18" s="313"/>
      <c r="I18" s="455"/>
      <c r="J18" s="1278"/>
      <c r="K18" s="1278"/>
      <c r="L18" s="1278"/>
      <c r="M18" s="1278"/>
      <c r="N18" s="1278"/>
      <c r="O18" s="1278"/>
      <c r="P18" s="1278"/>
    </row>
    <row r="19" spans="1:21" s="845" customFormat="1" ht="30" customHeight="1">
      <c r="A19" s="1722" t="s">
        <v>310</v>
      </c>
      <c r="B19" s="1723"/>
      <c r="C19" s="1402" t="s">
        <v>1504</v>
      </c>
      <c r="D19" s="1402" t="s">
        <v>314</v>
      </c>
      <c r="E19" s="1402" t="s">
        <v>315</v>
      </c>
      <c r="F19" s="1402" t="s">
        <v>316</v>
      </c>
      <c r="G19" s="1402" t="s">
        <v>317</v>
      </c>
      <c r="H19" s="1403" t="s">
        <v>45</v>
      </c>
      <c r="J19" s="1277"/>
      <c r="K19" s="1277"/>
      <c r="L19" s="1277"/>
      <c r="M19" s="1277"/>
      <c r="N19" s="1277"/>
      <c r="O19" s="1277"/>
      <c r="P19" s="1277"/>
      <c r="Q19" s="444"/>
      <c r="R19" s="444"/>
      <c r="S19" s="444"/>
      <c r="T19" s="444"/>
      <c r="U19" s="444"/>
    </row>
    <row r="20" spans="1:21" s="845" customFormat="1" ht="30" customHeight="1">
      <c r="A20" s="1419" t="s">
        <v>1911</v>
      </c>
      <c r="B20" s="1405" t="s">
        <v>948</v>
      </c>
      <c r="C20" s="1406">
        <f>C17+G11</f>
        <v>271.2240454888103</v>
      </c>
      <c r="D20" s="1406">
        <f>C20</f>
        <v>271.2240454888103</v>
      </c>
      <c r="E20" s="1406">
        <f>D20</f>
        <v>271.2240454888103</v>
      </c>
      <c r="F20" s="1406">
        <f>E20</f>
        <v>271.2240454888103</v>
      </c>
      <c r="G20" s="1406">
        <f>F20</f>
        <v>271.2240454888103</v>
      </c>
      <c r="H20" s="1418"/>
      <c r="I20" s="455"/>
      <c r="J20" s="1278"/>
      <c r="K20" s="1278"/>
      <c r="L20" s="1278"/>
      <c r="M20" s="1278"/>
      <c r="N20" s="1278"/>
      <c r="O20" s="1278"/>
      <c r="P20" s="1278"/>
      <c r="Q20" s="444"/>
      <c r="R20" s="444"/>
      <c r="S20" s="444"/>
      <c r="T20" s="444"/>
      <c r="U20" s="444"/>
    </row>
    <row r="21" spans="1:21" s="845" customFormat="1" ht="30" customHeight="1">
      <c r="A21" s="310" t="s">
        <v>1914</v>
      </c>
      <c r="B21" s="313"/>
      <c r="C21" s="313"/>
      <c r="D21" s="313"/>
      <c r="E21" s="313"/>
      <c r="F21" s="313"/>
      <c r="G21" s="313"/>
      <c r="H21" s="313"/>
      <c r="I21" s="455"/>
      <c r="J21" s="1278"/>
      <c r="K21" s="1278"/>
      <c r="L21" s="1278"/>
      <c r="M21" s="1278"/>
      <c r="N21" s="1278"/>
      <c r="O21" s="1278"/>
      <c r="P21" s="1278"/>
    </row>
    <row r="22" spans="1:21" s="845" customFormat="1" ht="30" customHeight="1">
      <c r="A22" s="1711" t="s">
        <v>310</v>
      </c>
      <c r="B22" s="1712"/>
      <c r="C22" s="1385" t="s">
        <v>1504</v>
      </c>
      <c r="D22" s="1385" t="s">
        <v>314</v>
      </c>
      <c r="E22" s="1385" t="s">
        <v>315</v>
      </c>
      <c r="F22" s="1385" t="s">
        <v>316</v>
      </c>
      <c r="G22" s="1385" t="s">
        <v>317</v>
      </c>
      <c r="H22" s="327" t="s">
        <v>45</v>
      </c>
      <c r="J22" s="1277"/>
      <c r="K22" s="1277"/>
      <c r="L22" s="1277"/>
      <c r="M22" s="1277"/>
      <c r="N22" s="1277"/>
      <c r="O22" s="1277"/>
      <c r="P22" s="1277"/>
      <c r="Q22" s="444"/>
      <c r="R22" s="444"/>
      <c r="S22" s="444"/>
      <c r="T22" s="444"/>
      <c r="U22" s="444"/>
    </row>
    <row r="23" spans="1:21" s="845" customFormat="1" ht="30" customHeight="1">
      <c r="A23" s="1794" t="s">
        <v>1911</v>
      </c>
      <c r="B23" s="328" t="s">
        <v>1915</v>
      </c>
      <c r="C23" s="1384">
        <v>215</v>
      </c>
      <c r="D23" s="1384">
        <v>215</v>
      </c>
      <c r="E23" s="1384">
        <v>215</v>
      </c>
      <c r="F23" s="1384">
        <v>215</v>
      </c>
      <c r="G23" s="1384">
        <v>215</v>
      </c>
      <c r="H23" s="1407"/>
      <c r="J23" s="1277"/>
      <c r="K23" s="1277"/>
      <c r="L23" s="1277"/>
      <c r="M23" s="1277"/>
      <c r="N23" s="1277"/>
      <c r="O23" s="1277"/>
      <c r="P23" s="1277"/>
      <c r="Q23" s="444"/>
      <c r="R23" s="444"/>
      <c r="S23" s="444"/>
      <c r="T23" s="444"/>
      <c r="U23" s="444"/>
    </row>
    <row r="24" spans="1:21" s="845" customFormat="1" ht="30" customHeight="1">
      <c r="A24" s="1795"/>
      <c r="B24" s="1409" t="s">
        <v>1916</v>
      </c>
      <c r="C24" s="1420">
        <f>C20</f>
        <v>271.2240454888103</v>
      </c>
      <c r="D24" s="1420">
        <f>C24</f>
        <v>271.2240454888103</v>
      </c>
      <c r="E24" s="1420">
        <f>D24</f>
        <v>271.2240454888103</v>
      </c>
      <c r="F24" s="1420">
        <f>E24</f>
        <v>271.2240454888103</v>
      </c>
      <c r="G24" s="1420">
        <f>F24</f>
        <v>271.2240454888103</v>
      </c>
      <c r="H24" s="1421"/>
      <c r="I24" s="455"/>
      <c r="J24" s="1278"/>
      <c r="K24" s="1278"/>
      <c r="L24" s="1278"/>
      <c r="M24" s="1278"/>
      <c r="N24" s="1278"/>
      <c r="O24" s="1278"/>
      <c r="P24" s="1278"/>
      <c r="Q24" s="444"/>
      <c r="R24" s="444"/>
      <c r="S24" s="444"/>
      <c r="T24" s="444"/>
      <c r="U24" s="444"/>
    </row>
    <row r="25" spans="1:21" s="845" customFormat="1" ht="30" customHeight="1">
      <c r="A25" s="310" t="s">
        <v>1917</v>
      </c>
      <c r="B25" s="313"/>
      <c r="C25" s="313"/>
      <c r="D25" s="313"/>
      <c r="E25" s="313"/>
      <c r="F25" s="313"/>
      <c r="G25" s="313"/>
      <c r="H25" s="313"/>
      <c r="I25" s="455"/>
      <c r="J25" s="1278"/>
      <c r="K25" s="1278"/>
      <c r="L25" s="1278"/>
      <c r="M25" s="1278"/>
      <c r="N25" s="1278"/>
      <c r="O25" s="1278"/>
      <c r="P25" s="1278"/>
    </row>
    <row r="26" spans="1:21" s="845" customFormat="1" ht="30" customHeight="1">
      <c r="A26" s="1722" t="s">
        <v>310</v>
      </c>
      <c r="B26" s="1723"/>
      <c r="C26" s="1402" t="s">
        <v>1504</v>
      </c>
      <c r="D26" s="1402" t="s">
        <v>314</v>
      </c>
      <c r="E26" s="1402" t="s">
        <v>315</v>
      </c>
      <c r="F26" s="1402" t="s">
        <v>316</v>
      </c>
      <c r="G26" s="1402" t="s">
        <v>317</v>
      </c>
      <c r="H26" s="1403" t="s">
        <v>45</v>
      </c>
      <c r="J26" s="1277"/>
      <c r="K26" s="1277"/>
      <c r="L26" s="1277"/>
      <c r="M26" s="1277"/>
      <c r="N26" s="1277"/>
      <c r="O26" s="1277"/>
      <c r="P26" s="1277"/>
      <c r="Q26" s="444"/>
      <c r="R26" s="444"/>
      <c r="S26" s="444"/>
      <c r="T26" s="444"/>
      <c r="U26" s="444"/>
    </row>
    <row r="27" spans="1:21" s="845" customFormat="1" ht="30" customHeight="1">
      <c r="A27" s="1419" t="s">
        <v>1911</v>
      </c>
      <c r="B27" s="1405" t="s">
        <v>948</v>
      </c>
      <c r="C27" s="1406">
        <f>C24</f>
        <v>271.2240454888103</v>
      </c>
      <c r="D27" s="1406">
        <f>C27</f>
        <v>271.2240454888103</v>
      </c>
      <c r="E27" s="1406">
        <f>D27</f>
        <v>271.2240454888103</v>
      </c>
      <c r="F27" s="1406">
        <f>E27</f>
        <v>271.2240454888103</v>
      </c>
      <c r="G27" s="1406">
        <f>F27</f>
        <v>271.2240454888103</v>
      </c>
      <c r="H27" s="1418"/>
      <c r="I27" s="455"/>
      <c r="J27" s="1278"/>
      <c r="K27" s="1278"/>
      <c r="L27" s="1278"/>
      <c r="M27" s="1278"/>
      <c r="N27" s="1278"/>
      <c r="O27" s="1278"/>
      <c r="P27" s="1278"/>
      <c r="Q27" s="444"/>
      <c r="R27" s="444"/>
      <c r="S27" s="444"/>
      <c r="T27" s="444"/>
      <c r="U27" s="444"/>
    </row>
    <row r="75" spans="1:1">
      <c r="A75" s="812" t="s">
        <v>1941</v>
      </c>
    </row>
  </sheetData>
  <mergeCells count="12">
    <mergeCell ref="A3:B4"/>
    <mergeCell ref="C3:C4"/>
    <mergeCell ref="D3:F3"/>
    <mergeCell ref="G3:G4"/>
    <mergeCell ref="H3:H4"/>
    <mergeCell ref="A26:B26"/>
    <mergeCell ref="A23:A24"/>
    <mergeCell ref="A5:A11"/>
    <mergeCell ref="A12:A14"/>
    <mergeCell ref="A16:B16"/>
    <mergeCell ref="A19:B19"/>
    <mergeCell ref="A22:B22"/>
  </mergeCells>
  <phoneticPr fontId="7" type="noConversion"/>
  <pageMargins left="0.7" right="0.7" top="0.75" bottom="0.75" header="0.3" footer="0.3"/>
  <pageSetup paperSize="9" scale="8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75"/>
  <sheetViews>
    <sheetView view="pageBreakPreview" zoomScaleNormal="100" zoomScaleSheetLayoutView="100" workbookViewId="0">
      <selection activeCell="C23" sqref="C23"/>
    </sheetView>
  </sheetViews>
  <sheetFormatPr defaultRowHeight="13.5"/>
  <cols>
    <col min="1" max="1" width="25.33203125" style="658" customWidth="1"/>
    <col min="2" max="2" width="13.21875" style="658" customWidth="1"/>
    <col min="3" max="7" width="8.33203125" style="658" customWidth="1"/>
    <col min="8" max="256" width="8.88671875" style="658"/>
    <col min="257" max="257" width="25.33203125" style="658" customWidth="1"/>
    <col min="258" max="258" width="13.21875" style="658" customWidth="1"/>
    <col min="259" max="263" width="8.33203125" style="658" customWidth="1"/>
    <col min="264" max="512" width="8.88671875" style="658"/>
    <col min="513" max="513" width="25.33203125" style="658" customWidth="1"/>
    <col min="514" max="514" width="13.21875" style="658" customWidth="1"/>
    <col min="515" max="519" width="8.33203125" style="658" customWidth="1"/>
    <col min="520" max="768" width="8.88671875" style="658"/>
    <col min="769" max="769" width="25.33203125" style="658" customWidth="1"/>
    <col min="770" max="770" width="13.21875" style="658" customWidth="1"/>
    <col min="771" max="775" width="8.33203125" style="658" customWidth="1"/>
    <col min="776" max="1024" width="8.88671875" style="658"/>
    <col min="1025" max="1025" width="25.33203125" style="658" customWidth="1"/>
    <col min="1026" max="1026" width="13.21875" style="658" customWidth="1"/>
    <col min="1027" max="1031" width="8.33203125" style="658" customWidth="1"/>
    <col min="1032" max="1280" width="8.88671875" style="658"/>
    <col min="1281" max="1281" width="25.33203125" style="658" customWidth="1"/>
    <col min="1282" max="1282" width="13.21875" style="658" customWidth="1"/>
    <col min="1283" max="1287" width="8.33203125" style="658" customWidth="1"/>
    <col min="1288" max="1536" width="8.88671875" style="658"/>
    <col min="1537" max="1537" width="25.33203125" style="658" customWidth="1"/>
    <col min="1538" max="1538" width="13.21875" style="658" customWidth="1"/>
    <col min="1539" max="1543" width="8.33203125" style="658" customWidth="1"/>
    <col min="1544" max="1792" width="8.88671875" style="658"/>
    <col min="1793" max="1793" width="25.33203125" style="658" customWidth="1"/>
    <col min="1794" max="1794" width="13.21875" style="658" customWidth="1"/>
    <col min="1795" max="1799" width="8.33203125" style="658" customWidth="1"/>
    <col min="1800" max="2048" width="8.88671875" style="658"/>
    <col min="2049" max="2049" width="25.33203125" style="658" customWidth="1"/>
    <col min="2050" max="2050" width="13.21875" style="658" customWidth="1"/>
    <col min="2051" max="2055" width="8.33203125" style="658" customWidth="1"/>
    <col min="2056" max="2304" width="8.88671875" style="658"/>
    <col min="2305" max="2305" width="25.33203125" style="658" customWidth="1"/>
    <col min="2306" max="2306" width="13.21875" style="658" customWidth="1"/>
    <col min="2307" max="2311" width="8.33203125" style="658" customWidth="1"/>
    <col min="2312" max="2560" width="8.88671875" style="658"/>
    <col min="2561" max="2561" width="25.33203125" style="658" customWidth="1"/>
    <col min="2562" max="2562" width="13.21875" style="658" customWidth="1"/>
    <col min="2563" max="2567" width="8.33203125" style="658" customWidth="1"/>
    <col min="2568" max="2816" width="8.88671875" style="658"/>
    <col min="2817" max="2817" width="25.33203125" style="658" customWidth="1"/>
    <col min="2818" max="2818" width="13.21875" style="658" customWidth="1"/>
    <col min="2819" max="2823" width="8.33203125" style="658" customWidth="1"/>
    <col min="2824" max="3072" width="8.88671875" style="658"/>
    <col min="3073" max="3073" width="25.33203125" style="658" customWidth="1"/>
    <col min="3074" max="3074" width="13.21875" style="658" customWidth="1"/>
    <col min="3075" max="3079" width="8.33203125" style="658" customWidth="1"/>
    <col min="3080" max="3328" width="8.88671875" style="658"/>
    <col min="3329" max="3329" width="25.33203125" style="658" customWidth="1"/>
    <col min="3330" max="3330" width="13.21875" style="658" customWidth="1"/>
    <col min="3331" max="3335" width="8.33203125" style="658" customWidth="1"/>
    <col min="3336" max="3584" width="8.88671875" style="658"/>
    <col min="3585" max="3585" width="25.33203125" style="658" customWidth="1"/>
    <col min="3586" max="3586" width="13.21875" style="658" customWidth="1"/>
    <col min="3587" max="3591" width="8.33203125" style="658" customWidth="1"/>
    <col min="3592" max="3840" width="8.88671875" style="658"/>
    <col min="3841" max="3841" width="25.33203125" style="658" customWidth="1"/>
    <col min="3842" max="3842" width="13.21875" style="658" customWidth="1"/>
    <col min="3843" max="3847" width="8.33203125" style="658" customWidth="1"/>
    <col min="3848" max="4096" width="8.88671875" style="658"/>
    <col min="4097" max="4097" width="25.33203125" style="658" customWidth="1"/>
    <col min="4098" max="4098" width="13.21875" style="658" customWidth="1"/>
    <col min="4099" max="4103" width="8.33203125" style="658" customWidth="1"/>
    <col min="4104" max="4352" width="8.88671875" style="658"/>
    <col min="4353" max="4353" width="25.33203125" style="658" customWidth="1"/>
    <col min="4354" max="4354" width="13.21875" style="658" customWidth="1"/>
    <col min="4355" max="4359" width="8.33203125" style="658" customWidth="1"/>
    <col min="4360" max="4608" width="8.88671875" style="658"/>
    <col min="4609" max="4609" width="25.33203125" style="658" customWidth="1"/>
    <col min="4610" max="4610" width="13.21875" style="658" customWidth="1"/>
    <col min="4611" max="4615" width="8.33203125" style="658" customWidth="1"/>
    <col min="4616" max="4864" width="8.88671875" style="658"/>
    <col min="4865" max="4865" width="25.33203125" style="658" customWidth="1"/>
    <col min="4866" max="4866" width="13.21875" style="658" customWidth="1"/>
    <col min="4867" max="4871" width="8.33203125" style="658" customWidth="1"/>
    <col min="4872" max="5120" width="8.88671875" style="658"/>
    <col min="5121" max="5121" width="25.33203125" style="658" customWidth="1"/>
    <col min="5122" max="5122" width="13.21875" style="658" customWidth="1"/>
    <col min="5123" max="5127" width="8.33203125" style="658" customWidth="1"/>
    <col min="5128" max="5376" width="8.88671875" style="658"/>
    <col min="5377" max="5377" width="25.33203125" style="658" customWidth="1"/>
    <col min="5378" max="5378" width="13.21875" style="658" customWidth="1"/>
    <col min="5379" max="5383" width="8.33203125" style="658" customWidth="1"/>
    <col min="5384" max="5632" width="8.88671875" style="658"/>
    <col min="5633" max="5633" width="25.33203125" style="658" customWidth="1"/>
    <col min="5634" max="5634" width="13.21875" style="658" customWidth="1"/>
    <col min="5635" max="5639" width="8.33203125" style="658" customWidth="1"/>
    <col min="5640" max="5888" width="8.88671875" style="658"/>
    <col min="5889" max="5889" width="25.33203125" style="658" customWidth="1"/>
    <col min="5890" max="5890" width="13.21875" style="658" customWidth="1"/>
    <col min="5891" max="5895" width="8.33203125" style="658" customWidth="1"/>
    <col min="5896" max="6144" width="8.88671875" style="658"/>
    <col min="6145" max="6145" width="25.33203125" style="658" customWidth="1"/>
    <col min="6146" max="6146" width="13.21875" style="658" customWidth="1"/>
    <col min="6147" max="6151" width="8.33203125" style="658" customWidth="1"/>
    <col min="6152" max="6400" width="8.88671875" style="658"/>
    <col min="6401" max="6401" width="25.33203125" style="658" customWidth="1"/>
    <col min="6402" max="6402" width="13.21875" style="658" customWidth="1"/>
    <col min="6403" max="6407" width="8.33203125" style="658" customWidth="1"/>
    <col min="6408" max="6656" width="8.88671875" style="658"/>
    <col min="6657" max="6657" width="25.33203125" style="658" customWidth="1"/>
    <col min="6658" max="6658" width="13.21875" style="658" customWidth="1"/>
    <col min="6659" max="6663" width="8.33203125" style="658" customWidth="1"/>
    <col min="6664" max="6912" width="8.88671875" style="658"/>
    <col min="6913" max="6913" width="25.33203125" style="658" customWidth="1"/>
    <col min="6914" max="6914" width="13.21875" style="658" customWidth="1"/>
    <col min="6915" max="6919" width="8.33203125" style="658" customWidth="1"/>
    <col min="6920" max="7168" width="8.88671875" style="658"/>
    <col min="7169" max="7169" width="25.33203125" style="658" customWidth="1"/>
    <col min="7170" max="7170" width="13.21875" style="658" customWidth="1"/>
    <col min="7171" max="7175" width="8.33203125" style="658" customWidth="1"/>
    <col min="7176" max="7424" width="8.88671875" style="658"/>
    <col min="7425" max="7425" width="25.33203125" style="658" customWidth="1"/>
    <col min="7426" max="7426" width="13.21875" style="658" customWidth="1"/>
    <col min="7427" max="7431" width="8.33203125" style="658" customWidth="1"/>
    <col min="7432" max="7680" width="8.88671875" style="658"/>
    <col min="7681" max="7681" width="25.33203125" style="658" customWidth="1"/>
    <col min="7682" max="7682" width="13.21875" style="658" customWidth="1"/>
    <col min="7683" max="7687" width="8.33203125" style="658" customWidth="1"/>
    <col min="7688" max="7936" width="8.88671875" style="658"/>
    <col min="7937" max="7937" width="25.33203125" style="658" customWidth="1"/>
    <col min="7938" max="7938" width="13.21875" style="658" customWidth="1"/>
    <col min="7939" max="7943" width="8.33203125" style="658" customWidth="1"/>
    <col min="7944" max="8192" width="8.88671875" style="658"/>
    <col min="8193" max="8193" width="25.33203125" style="658" customWidth="1"/>
    <col min="8194" max="8194" width="13.21875" style="658" customWidth="1"/>
    <col min="8195" max="8199" width="8.33203125" style="658" customWidth="1"/>
    <col min="8200" max="8448" width="8.88671875" style="658"/>
    <col min="8449" max="8449" width="25.33203125" style="658" customWidth="1"/>
    <col min="8450" max="8450" width="13.21875" style="658" customWidth="1"/>
    <col min="8451" max="8455" width="8.33203125" style="658" customWidth="1"/>
    <col min="8456" max="8704" width="8.88671875" style="658"/>
    <col min="8705" max="8705" width="25.33203125" style="658" customWidth="1"/>
    <col min="8706" max="8706" width="13.21875" style="658" customWidth="1"/>
    <col min="8707" max="8711" width="8.33203125" style="658" customWidth="1"/>
    <col min="8712" max="8960" width="8.88671875" style="658"/>
    <col min="8961" max="8961" width="25.33203125" style="658" customWidth="1"/>
    <col min="8962" max="8962" width="13.21875" style="658" customWidth="1"/>
    <col min="8963" max="8967" width="8.33203125" style="658" customWidth="1"/>
    <col min="8968" max="9216" width="8.88671875" style="658"/>
    <col min="9217" max="9217" width="25.33203125" style="658" customWidth="1"/>
    <col min="9218" max="9218" width="13.21875" style="658" customWidth="1"/>
    <col min="9219" max="9223" width="8.33203125" style="658" customWidth="1"/>
    <col min="9224" max="9472" width="8.88671875" style="658"/>
    <col min="9473" max="9473" width="25.33203125" style="658" customWidth="1"/>
    <col min="9474" max="9474" width="13.21875" style="658" customWidth="1"/>
    <col min="9475" max="9479" width="8.33203125" style="658" customWidth="1"/>
    <col min="9480" max="9728" width="8.88671875" style="658"/>
    <col min="9729" max="9729" width="25.33203125" style="658" customWidth="1"/>
    <col min="9730" max="9730" width="13.21875" style="658" customWidth="1"/>
    <col min="9731" max="9735" width="8.33203125" style="658" customWidth="1"/>
    <col min="9736" max="9984" width="8.88671875" style="658"/>
    <col min="9985" max="9985" width="25.33203125" style="658" customWidth="1"/>
    <col min="9986" max="9986" width="13.21875" style="658" customWidth="1"/>
    <col min="9987" max="9991" width="8.33203125" style="658" customWidth="1"/>
    <col min="9992" max="10240" width="8.88671875" style="658"/>
    <col min="10241" max="10241" width="25.33203125" style="658" customWidth="1"/>
    <col min="10242" max="10242" width="13.21875" style="658" customWidth="1"/>
    <col min="10243" max="10247" width="8.33203125" style="658" customWidth="1"/>
    <col min="10248" max="10496" width="8.88671875" style="658"/>
    <col min="10497" max="10497" width="25.33203125" style="658" customWidth="1"/>
    <col min="10498" max="10498" width="13.21875" style="658" customWidth="1"/>
    <col min="10499" max="10503" width="8.33203125" style="658" customWidth="1"/>
    <col min="10504" max="10752" width="8.88671875" style="658"/>
    <col min="10753" max="10753" width="25.33203125" style="658" customWidth="1"/>
    <col min="10754" max="10754" width="13.21875" style="658" customWidth="1"/>
    <col min="10755" max="10759" width="8.33203125" style="658" customWidth="1"/>
    <col min="10760" max="11008" width="8.88671875" style="658"/>
    <col min="11009" max="11009" width="25.33203125" style="658" customWidth="1"/>
    <col min="11010" max="11010" width="13.21875" style="658" customWidth="1"/>
    <col min="11011" max="11015" width="8.33203125" style="658" customWidth="1"/>
    <col min="11016" max="11264" width="8.88671875" style="658"/>
    <col min="11265" max="11265" width="25.33203125" style="658" customWidth="1"/>
    <col min="11266" max="11266" width="13.21875" style="658" customWidth="1"/>
    <col min="11267" max="11271" width="8.33203125" style="658" customWidth="1"/>
    <col min="11272" max="11520" width="8.88671875" style="658"/>
    <col min="11521" max="11521" width="25.33203125" style="658" customWidth="1"/>
    <col min="11522" max="11522" width="13.21875" style="658" customWidth="1"/>
    <col min="11523" max="11527" width="8.33203125" style="658" customWidth="1"/>
    <col min="11528" max="11776" width="8.88671875" style="658"/>
    <col min="11777" max="11777" width="25.33203125" style="658" customWidth="1"/>
    <col min="11778" max="11778" width="13.21875" style="658" customWidth="1"/>
    <col min="11779" max="11783" width="8.33203125" style="658" customWidth="1"/>
    <col min="11784" max="12032" width="8.88671875" style="658"/>
    <col min="12033" max="12033" width="25.33203125" style="658" customWidth="1"/>
    <col min="12034" max="12034" width="13.21875" style="658" customWidth="1"/>
    <col min="12035" max="12039" width="8.33203125" style="658" customWidth="1"/>
    <col min="12040" max="12288" width="8.88671875" style="658"/>
    <col min="12289" max="12289" width="25.33203125" style="658" customWidth="1"/>
    <col min="12290" max="12290" width="13.21875" style="658" customWidth="1"/>
    <col min="12291" max="12295" width="8.33203125" style="658" customWidth="1"/>
    <col min="12296" max="12544" width="8.88671875" style="658"/>
    <col min="12545" max="12545" width="25.33203125" style="658" customWidth="1"/>
    <col min="12546" max="12546" width="13.21875" style="658" customWidth="1"/>
    <col min="12547" max="12551" width="8.33203125" style="658" customWidth="1"/>
    <col min="12552" max="12800" width="8.88671875" style="658"/>
    <col min="12801" max="12801" width="25.33203125" style="658" customWidth="1"/>
    <col min="12802" max="12802" width="13.21875" style="658" customWidth="1"/>
    <col min="12803" max="12807" width="8.33203125" style="658" customWidth="1"/>
    <col min="12808" max="13056" width="8.88671875" style="658"/>
    <col min="13057" max="13057" width="25.33203125" style="658" customWidth="1"/>
    <col min="13058" max="13058" width="13.21875" style="658" customWidth="1"/>
    <col min="13059" max="13063" width="8.33203125" style="658" customWidth="1"/>
    <col min="13064" max="13312" width="8.88671875" style="658"/>
    <col min="13313" max="13313" width="25.33203125" style="658" customWidth="1"/>
    <col min="13314" max="13314" width="13.21875" style="658" customWidth="1"/>
    <col min="13315" max="13319" width="8.33203125" style="658" customWidth="1"/>
    <col min="13320" max="13568" width="8.88671875" style="658"/>
    <col min="13569" max="13569" width="25.33203125" style="658" customWidth="1"/>
    <col min="13570" max="13570" width="13.21875" style="658" customWidth="1"/>
    <col min="13571" max="13575" width="8.33203125" style="658" customWidth="1"/>
    <col min="13576" max="13824" width="8.88671875" style="658"/>
    <col min="13825" max="13825" width="25.33203125" style="658" customWidth="1"/>
    <col min="13826" max="13826" width="13.21875" style="658" customWidth="1"/>
    <col min="13827" max="13831" width="8.33203125" style="658" customWidth="1"/>
    <col min="13832" max="14080" width="8.88671875" style="658"/>
    <col min="14081" max="14081" width="25.33203125" style="658" customWidth="1"/>
    <col min="14082" max="14082" width="13.21875" style="658" customWidth="1"/>
    <col min="14083" max="14087" width="8.33203125" style="658" customWidth="1"/>
    <col min="14088" max="14336" width="8.88671875" style="658"/>
    <col min="14337" max="14337" width="25.33203125" style="658" customWidth="1"/>
    <col min="14338" max="14338" width="13.21875" style="658" customWidth="1"/>
    <col min="14339" max="14343" width="8.33203125" style="658" customWidth="1"/>
    <col min="14344" max="14592" width="8.88671875" style="658"/>
    <col min="14593" max="14593" width="25.33203125" style="658" customWidth="1"/>
    <col min="14594" max="14594" width="13.21875" style="658" customWidth="1"/>
    <col min="14595" max="14599" width="8.33203125" style="658" customWidth="1"/>
    <col min="14600" max="14848" width="8.88671875" style="658"/>
    <col min="14849" max="14849" width="25.33203125" style="658" customWidth="1"/>
    <col min="14850" max="14850" width="13.21875" style="658" customWidth="1"/>
    <col min="14851" max="14855" width="8.33203125" style="658" customWidth="1"/>
    <col min="14856" max="15104" width="8.88671875" style="658"/>
    <col min="15105" max="15105" width="25.33203125" style="658" customWidth="1"/>
    <col min="15106" max="15106" width="13.21875" style="658" customWidth="1"/>
    <col min="15107" max="15111" width="8.33203125" style="658" customWidth="1"/>
    <col min="15112" max="15360" width="8.88671875" style="658"/>
    <col min="15361" max="15361" width="25.33203125" style="658" customWidth="1"/>
    <col min="15362" max="15362" width="13.21875" style="658" customWidth="1"/>
    <col min="15363" max="15367" width="8.33203125" style="658" customWidth="1"/>
    <col min="15368" max="15616" width="8.88671875" style="658"/>
    <col min="15617" max="15617" width="25.33203125" style="658" customWidth="1"/>
    <col min="15618" max="15618" width="13.21875" style="658" customWidth="1"/>
    <col min="15619" max="15623" width="8.33203125" style="658" customWidth="1"/>
    <col min="15624" max="15872" width="8.88671875" style="658"/>
    <col min="15873" max="15873" width="25.33203125" style="658" customWidth="1"/>
    <col min="15874" max="15874" width="13.21875" style="658" customWidth="1"/>
    <col min="15875" max="15879" width="8.33203125" style="658" customWidth="1"/>
    <col min="15880" max="16128" width="8.88671875" style="658"/>
    <col min="16129" max="16129" width="25.33203125" style="658" customWidth="1"/>
    <col min="16130" max="16130" width="13.21875" style="658" customWidth="1"/>
    <col min="16131" max="16135" width="8.33203125" style="658" customWidth="1"/>
    <col min="16136" max="16384" width="8.88671875" style="658"/>
  </cols>
  <sheetData>
    <row r="1" spans="1:8" s="598" customFormat="1" ht="21.95" customHeight="1">
      <c r="A1" s="751" t="s">
        <v>762</v>
      </c>
      <c r="B1" s="599"/>
      <c r="C1" s="654"/>
      <c r="D1" s="655"/>
      <c r="E1" s="655"/>
      <c r="F1" s="655"/>
      <c r="G1" s="655"/>
      <c r="H1" s="655"/>
    </row>
    <row r="2" spans="1:8" s="598" customFormat="1" ht="21.95" customHeight="1">
      <c r="A2" s="707" t="s">
        <v>735</v>
      </c>
      <c r="B2" s="599"/>
      <c r="C2" s="654"/>
      <c r="D2" s="655"/>
      <c r="E2" s="655"/>
      <c r="F2" s="655"/>
      <c r="G2" s="534" t="s">
        <v>659</v>
      </c>
      <c r="H2" s="655"/>
    </row>
    <row r="3" spans="1:8" s="657" customFormat="1" ht="21.95" customHeight="1">
      <c r="A3" s="1798" t="s">
        <v>660</v>
      </c>
      <c r="B3" s="1799"/>
      <c r="C3" s="1511" t="s">
        <v>661</v>
      </c>
      <c r="D3" s="1511" t="s">
        <v>662</v>
      </c>
      <c r="E3" s="1511" t="s">
        <v>52</v>
      </c>
      <c r="F3" s="1511" t="s">
        <v>269</v>
      </c>
      <c r="G3" s="1512" t="s">
        <v>663</v>
      </c>
      <c r="H3" s="656"/>
    </row>
    <row r="4" spans="1:8" ht="21.95" customHeight="1">
      <c r="A4" s="1800" t="s">
        <v>664</v>
      </c>
      <c r="B4" s="1509" t="s">
        <v>665</v>
      </c>
      <c r="C4" s="1510">
        <v>327</v>
      </c>
      <c r="D4" s="1510"/>
      <c r="E4" s="1510"/>
      <c r="F4" s="1510"/>
      <c r="G4" s="1802" t="s">
        <v>666</v>
      </c>
    </row>
    <row r="5" spans="1:8" ht="21.95" customHeight="1">
      <c r="A5" s="1801"/>
      <c r="B5" s="905" t="s">
        <v>969</v>
      </c>
      <c r="C5" s="907">
        <v>327</v>
      </c>
      <c r="D5" s="907"/>
      <c r="E5" s="907"/>
      <c r="F5" s="907"/>
      <c r="G5" s="1803"/>
    </row>
    <row r="6" spans="1:8" ht="21.95" customHeight="1">
      <c r="A6" s="1796"/>
      <c r="B6" s="672" t="s">
        <v>667</v>
      </c>
      <c r="C6" s="906">
        <v>234</v>
      </c>
      <c r="D6" s="908"/>
      <c r="E6" s="908"/>
      <c r="F6" s="908"/>
      <c r="G6" s="1797"/>
    </row>
    <row r="7" spans="1:8" ht="21.95" customHeight="1">
      <c r="A7" s="1796" t="s">
        <v>668</v>
      </c>
      <c r="B7" s="672" t="s">
        <v>665</v>
      </c>
      <c r="C7" s="903">
        <v>282</v>
      </c>
      <c r="D7" s="903">
        <v>300</v>
      </c>
      <c r="E7" s="903">
        <v>316</v>
      </c>
      <c r="F7" s="903"/>
      <c r="G7" s="1797" t="s">
        <v>666</v>
      </c>
    </row>
    <row r="8" spans="1:8" ht="21.95" customHeight="1">
      <c r="A8" s="1796"/>
      <c r="B8" s="672" t="s">
        <v>667</v>
      </c>
      <c r="C8" s="903">
        <v>268</v>
      </c>
      <c r="D8" s="904">
        <v>280</v>
      </c>
      <c r="E8" s="904">
        <v>282</v>
      </c>
      <c r="F8" s="904"/>
      <c r="G8" s="1797"/>
    </row>
    <row r="9" spans="1:8" customFormat="1" ht="21.95" customHeight="1">
      <c r="A9" s="1796" t="s">
        <v>669</v>
      </c>
      <c r="B9" s="672" t="s">
        <v>665</v>
      </c>
      <c r="C9" s="662">
        <v>294</v>
      </c>
      <c r="D9" s="662">
        <v>294</v>
      </c>
      <c r="E9" s="662">
        <v>294</v>
      </c>
      <c r="F9" s="662">
        <v>294</v>
      </c>
      <c r="G9" s="1797" t="s">
        <v>666</v>
      </c>
      <c r="H9" s="663" t="s">
        <v>968</v>
      </c>
    </row>
    <row r="10" spans="1:8" customFormat="1" ht="21.95" customHeight="1">
      <c r="A10" s="1796"/>
      <c r="B10" s="672" t="s">
        <v>667</v>
      </c>
      <c r="C10" s="662">
        <v>243</v>
      </c>
      <c r="D10" s="661">
        <v>243</v>
      </c>
      <c r="E10" s="661">
        <v>243</v>
      </c>
      <c r="F10" s="661">
        <v>243</v>
      </c>
      <c r="G10" s="1797"/>
      <c r="H10" s="663"/>
    </row>
    <row r="11" spans="1:8" customFormat="1" ht="21.95" customHeight="1">
      <c r="A11" s="1796" t="s">
        <v>670</v>
      </c>
      <c r="B11" s="672" t="s">
        <v>665</v>
      </c>
      <c r="C11" s="903">
        <v>310</v>
      </c>
      <c r="D11" s="903"/>
      <c r="E11" s="903"/>
      <c r="F11" s="903"/>
      <c r="G11" s="1797" t="s">
        <v>671</v>
      </c>
      <c r="H11" s="663"/>
    </row>
    <row r="12" spans="1:8" customFormat="1" ht="21.95" customHeight="1">
      <c r="A12" s="1796"/>
      <c r="B12" s="672" t="s">
        <v>667</v>
      </c>
      <c r="C12" s="903">
        <v>310</v>
      </c>
      <c r="D12" s="904"/>
      <c r="E12" s="904"/>
      <c r="F12" s="904"/>
      <c r="G12" s="1797"/>
      <c r="H12" s="663"/>
    </row>
    <row r="13" spans="1:8" customFormat="1" ht="21.95" customHeight="1">
      <c r="A13" s="1796" t="s">
        <v>672</v>
      </c>
      <c r="B13" s="672" t="s">
        <v>665</v>
      </c>
      <c r="C13" s="903">
        <v>370</v>
      </c>
      <c r="D13" s="903">
        <v>370</v>
      </c>
      <c r="E13" s="903"/>
      <c r="F13" s="903"/>
      <c r="G13" s="1797" t="s">
        <v>673</v>
      </c>
      <c r="H13" s="663"/>
    </row>
    <row r="14" spans="1:8" ht="21.95" customHeight="1">
      <c r="A14" s="1796"/>
      <c r="B14" s="672" t="s">
        <v>667</v>
      </c>
      <c r="C14" s="903">
        <v>265</v>
      </c>
      <c r="D14" s="904">
        <v>270</v>
      </c>
      <c r="E14" s="904"/>
      <c r="F14" s="904"/>
      <c r="G14" s="1797"/>
    </row>
    <row r="15" spans="1:8" customFormat="1" ht="21.95" customHeight="1">
      <c r="A15" s="1796" t="s">
        <v>674</v>
      </c>
      <c r="B15" s="672" t="s">
        <v>665</v>
      </c>
      <c r="C15" s="903">
        <v>255</v>
      </c>
      <c r="D15" s="903">
        <v>260</v>
      </c>
      <c r="E15" s="903"/>
      <c r="F15" s="903"/>
      <c r="G15" s="1797" t="s">
        <v>666</v>
      </c>
      <c r="H15" s="663"/>
    </row>
    <row r="16" spans="1:8" customFormat="1" ht="21.95" customHeight="1">
      <c r="A16" s="1796"/>
      <c r="B16" s="672" t="s">
        <v>667</v>
      </c>
      <c r="C16" s="903">
        <v>280</v>
      </c>
      <c r="D16" s="904">
        <v>290</v>
      </c>
      <c r="E16" s="904"/>
      <c r="F16" s="904"/>
      <c r="G16" s="1797"/>
      <c r="H16" s="663"/>
    </row>
    <row r="17" spans="1:13" ht="21.95" customHeight="1">
      <c r="A17" s="694" t="s">
        <v>1574</v>
      </c>
      <c r="B17" s="672" t="s">
        <v>1593</v>
      </c>
      <c r="C17" s="1013">
        <v>346</v>
      </c>
      <c r="D17" s="903"/>
      <c r="E17" s="903"/>
      <c r="F17" s="903"/>
      <c r="G17" s="695" t="s">
        <v>942</v>
      </c>
    </row>
    <row r="18" spans="1:13" ht="21.95" customHeight="1">
      <c r="A18" s="694" t="s">
        <v>971</v>
      </c>
      <c r="B18" s="672" t="s">
        <v>1593</v>
      </c>
      <c r="C18" s="906">
        <v>380</v>
      </c>
      <c r="D18" s="906">
        <v>380</v>
      </c>
      <c r="E18" s="906">
        <v>380</v>
      </c>
      <c r="F18" s="906">
        <v>380</v>
      </c>
      <c r="G18" s="695" t="s">
        <v>942</v>
      </c>
    </row>
    <row r="19" spans="1:13" ht="21.95" customHeight="1">
      <c r="A19" s="1796" t="s">
        <v>970</v>
      </c>
      <c r="B19" s="672" t="s">
        <v>505</v>
      </c>
      <c r="C19" s="662">
        <v>320</v>
      </c>
      <c r="D19" s="662">
        <v>320</v>
      </c>
      <c r="E19" s="662">
        <v>320</v>
      </c>
      <c r="F19" s="662"/>
      <c r="G19" s="1797" t="s">
        <v>942</v>
      </c>
    </row>
    <row r="20" spans="1:13" ht="21.95" customHeight="1">
      <c r="A20" s="1796"/>
      <c r="B20" s="672" t="s">
        <v>290</v>
      </c>
      <c r="C20" s="662">
        <v>290</v>
      </c>
      <c r="D20" s="662">
        <v>290</v>
      </c>
      <c r="E20" s="662">
        <v>290</v>
      </c>
      <c r="F20" s="662"/>
      <c r="G20" s="1797"/>
    </row>
    <row r="21" spans="1:13" ht="21.95" customHeight="1">
      <c r="A21" s="1796"/>
      <c r="B21" s="672"/>
      <c r="C21" s="662"/>
      <c r="D21" s="662"/>
      <c r="E21" s="662"/>
      <c r="F21" s="662"/>
      <c r="G21" s="1797"/>
    </row>
    <row r="22" spans="1:13" ht="21.95" customHeight="1">
      <c r="A22" s="1796"/>
      <c r="B22" s="672"/>
      <c r="C22" s="662"/>
      <c r="D22" s="662"/>
      <c r="E22" s="662"/>
      <c r="F22" s="662"/>
      <c r="G22" s="1797"/>
    </row>
    <row r="23" spans="1:13" ht="21.95" customHeight="1">
      <c r="A23" s="1796" t="s">
        <v>675</v>
      </c>
      <c r="B23" s="672" t="s">
        <v>665</v>
      </c>
      <c r="C23" s="662">
        <f>AVERAGE(C4,C7,C9,C11,C13,C15,C17,C18,C19)</f>
        <v>320.44444444444446</v>
      </c>
      <c r="D23" s="662">
        <f>AVERAGE(D4,D7,D9,D11,D13,D15,D17,D18,D19)</f>
        <v>320.66666666666669</v>
      </c>
      <c r="E23" s="662">
        <f>AVERAGE(E4,E7,E9,E11,E13,E15,E17,E18,E19)</f>
        <v>327.5</v>
      </c>
      <c r="F23" s="662">
        <f>AVERAGE(F4,F7,F9,F11,F13,F15,F17,F18,F19)</f>
        <v>337</v>
      </c>
      <c r="G23" s="1807"/>
    </row>
    <row r="24" spans="1:13" ht="21.95" customHeight="1">
      <c r="A24" s="1796"/>
      <c r="B24" s="672" t="s">
        <v>667</v>
      </c>
      <c r="C24" s="662">
        <f>AVERAGE(C6,C8,C10,C12,C14,C16,C17,C18,C20,C21,C22)</f>
        <v>290.66666666666669</v>
      </c>
      <c r="D24" s="662">
        <f>AVERAGE(D6,D8,D10,D12,D14,D16,D17,D18,D20,D21,D22)</f>
        <v>292.16666666666669</v>
      </c>
      <c r="E24" s="662">
        <f>AVERAGE(E6,E8,E10,E12,E14,E16,E17,E18,E20,E21,E22)</f>
        <v>298.75</v>
      </c>
      <c r="F24" s="662">
        <f>AVERAGE(F6,F8,F10,F12,F14,F16,F17,F18,F20,F21,F22)</f>
        <v>311.5</v>
      </c>
      <c r="G24" s="1807"/>
    </row>
    <row r="25" spans="1:13" ht="21.95" customHeight="1">
      <c r="A25" s="1796" t="s">
        <v>676</v>
      </c>
      <c r="B25" s="672" t="s">
        <v>1491</v>
      </c>
      <c r="C25" s="662">
        <v>280</v>
      </c>
      <c r="D25" s="661">
        <v>280</v>
      </c>
      <c r="E25" s="661">
        <v>280</v>
      </c>
      <c r="F25" s="661">
        <v>280</v>
      </c>
      <c r="G25" s="1807"/>
      <c r="I25" s="664" t="s">
        <v>677</v>
      </c>
      <c r="J25" s="665">
        <v>280</v>
      </c>
      <c r="K25" s="666">
        <v>280</v>
      </c>
      <c r="L25" s="666">
        <v>280</v>
      </c>
      <c r="M25" s="666">
        <v>280</v>
      </c>
    </row>
    <row r="26" spans="1:13" ht="21.95" customHeight="1">
      <c r="A26" s="1796"/>
      <c r="B26" s="672" t="s">
        <v>1493</v>
      </c>
      <c r="C26" s="662">
        <v>280</v>
      </c>
      <c r="D26" s="661">
        <v>280</v>
      </c>
      <c r="E26" s="661">
        <v>280</v>
      </c>
      <c r="F26" s="661">
        <v>280</v>
      </c>
      <c r="G26" s="1807"/>
      <c r="I26" s="659" t="s">
        <v>678</v>
      </c>
      <c r="J26" s="660">
        <v>350</v>
      </c>
      <c r="K26" s="661">
        <v>350</v>
      </c>
      <c r="L26" s="661">
        <v>350</v>
      </c>
      <c r="M26" s="661">
        <v>350</v>
      </c>
    </row>
    <row r="27" spans="1:13" ht="21.95" customHeight="1">
      <c r="A27" s="1796"/>
      <c r="B27" s="672" t="s">
        <v>1495</v>
      </c>
      <c r="C27" s="662">
        <v>280</v>
      </c>
      <c r="D27" s="661">
        <v>280</v>
      </c>
      <c r="E27" s="661">
        <v>280</v>
      </c>
      <c r="F27" s="661">
        <v>280</v>
      </c>
      <c r="G27" s="1807"/>
      <c r="I27" s="659" t="s">
        <v>679</v>
      </c>
      <c r="J27" s="660">
        <v>280</v>
      </c>
      <c r="K27" s="661">
        <v>280</v>
      </c>
      <c r="L27" s="661">
        <v>280</v>
      </c>
      <c r="M27" s="661">
        <v>280</v>
      </c>
    </row>
    <row r="28" spans="1:13" ht="21.95" customHeight="1">
      <c r="A28" s="1796"/>
      <c r="B28" s="672" t="s">
        <v>1497</v>
      </c>
      <c r="C28" s="662">
        <v>350</v>
      </c>
      <c r="D28" s="661">
        <v>350</v>
      </c>
      <c r="E28" s="661">
        <v>350</v>
      </c>
      <c r="F28" s="661">
        <v>350</v>
      </c>
      <c r="G28" s="1807"/>
      <c r="I28" s="667" t="s">
        <v>680</v>
      </c>
      <c r="J28" s="668">
        <v>240</v>
      </c>
      <c r="K28" s="669">
        <v>240</v>
      </c>
      <c r="L28" s="669">
        <v>240</v>
      </c>
      <c r="M28" s="669">
        <v>240</v>
      </c>
    </row>
    <row r="29" spans="1:13" ht="21.95" customHeight="1">
      <c r="A29" s="1804" t="s">
        <v>318</v>
      </c>
      <c r="B29" s="673" t="s">
        <v>1491</v>
      </c>
      <c r="C29" s="884">
        <f>+'6.상수사용량원단위'!C62</f>
        <v>0.86</v>
      </c>
      <c r="D29" s="884">
        <f>+'6.상수사용량원단위'!D62</f>
        <v>0.87</v>
      </c>
      <c r="E29" s="884">
        <f>+'6.상수사용량원단위'!E62</f>
        <v>0.88</v>
      </c>
      <c r="F29" s="884">
        <f>+'6.상수사용량원단위'!F62</f>
        <v>0.9</v>
      </c>
      <c r="G29" s="674">
        <f>+G21</f>
        <v>0</v>
      </c>
      <c r="H29" s="670"/>
    </row>
    <row r="30" spans="1:13" ht="21.95" customHeight="1">
      <c r="A30" s="1804"/>
      <c r="B30" s="673" t="s">
        <v>1493</v>
      </c>
      <c r="C30" s="884">
        <f>+'6.상수사용량원단위'!C63</f>
        <v>0.86</v>
      </c>
      <c r="D30" s="884">
        <f>+'6.상수사용량원단위'!D63</f>
        <v>0.87</v>
      </c>
      <c r="E30" s="884">
        <f>+'6.상수사용량원단위'!E63</f>
        <v>0.88</v>
      </c>
      <c r="F30" s="884">
        <f>+'6.상수사용량원단위'!F63</f>
        <v>0.9</v>
      </c>
      <c r="G30" s="674">
        <f t="shared" ref="D30:G32" si="0">+G29</f>
        <v>0</v>
      </c>
    </row>
    <row r="31" spans="1:13" ht="21.95" customHeight="1">
      <c r="A31" s="1804"/>
      <c r="B31" s="673" t="s">
        <v>1495</v>
      </c>
      <c r="C31" s="884">
        <f t="shared" ref="C31:C32" si="1">+C30</f>
        <v>0.86</v>
      </c>
      <c r="D31" s="884">
        <f t="shared" si="0"/>
        <v>0.87</v>
      </c>
      <c r="E31" s="884">
        <f t="shared" si="0"/>
        <v>0.88</v>
      </c>
      <c r="F31" s="884">
        <f t="shared" si="0"/>
        <v>0.9</v>
      </c>
      <c r="G31" s="674">
        <f t="shared" si="0"/>
        <v>0</v>
      </c>
    </row>
    <row r="32" spans="1:13" ht="21.95" customHeight="1">
      <c r="A32" s="1804"/>
      <c r="B32" s="673" t="s">
        <v>1497</v>
      </c>
      <c r="C32" s="884">
        <f t="shared" si="1"/>
        <v>0.86</v>
      </c>
      <c r="D32" s="884">
        <f t="shared" si="0"/>
        <v>0.87</v>
      </c>
      <c r="E32" s="884">
        <f t="shared" si="0"/>
        <v>0.88</v>
      </c>
      <c r="F32" s="884">
        <f t="shared" si="0"/>
        <v>0.9</v>
      </c>
      <c r="G32" s="674">
        <f t="shared" si="0"/>
        <v>0</v>
      </c>
      <c r="J32" s="671">
        <f>+D32-E32</f>
        <v>-1.0000000000000009E-2</v>
      </c>
      <c r="K32" s="671">
        <f>+E32-F32</f>
        <v>-2.0000000000000018E-2</v>
      </c>
      <c r="L32" s="671">
        <f>+F32-G32</f>
        <v>0.9</v>
      </c>
    </row>
    <row r="33" spans="1:7" ht="21.95" customHeight="1">
      <c r="A33" s="1805" t="s">
        <v>330</v>
      </c>
      <c r="B33" s="673" t="s">
        <v>944</v>
      </c>
      <c r="C33" s="678">
        <f>+C25*C29</f>
        <v>240.79999999999998</v>
      </c>
      <c r="D33" s="678">
        <f t="shared" ref="D33:G33" si="2">+D25*D29</f>
        <v>243.6</v>
      </c>
      <c r="E33" s="678">
        <f t="shared" si="2"/>
        <v>246.4</v>
      </c>
      <c r="F33" s="678">
        <f t="shared" si="2"/>
        <v>252</v>
      </c>
      <c r="G33" s="675">
        <f t="shared" si="2"/>
        <v>0</v>
      </c>
    </row>
    <row r="34" spans="1:7" ht="21.95" customHeight="1">
      <c r="A34" s="1804"/>
      <c r="B34" s="673" t="s">
        <v>945</v>
      </c>
      <c r="C34" s="678">
        <f t="shared" ref="C34:G36" si="3">+C26*C30</f>
        <v>240.79999999999998</v>
      </c>
      <c r="D34" s="678">
        <f t="shared" si="3"/>
        <v>243.6</v>
      </c>
      <c r="E34" s="678">
        <f t="shared" si="3"/>
        <v>246.4</v>
      </c>
      <c r="F34" s="678">
        <f t="shared" si="3"/>
        <v>252</v>
      </c>
      <c r="G34" s="675">
        <f t="shared" si="3"/>
        <v>0</v>
      </c>
    </row>
    <row r="35" spans="1:7" ht="21.95" customHeight="1">
      <c r="A35" s="1804"/>
      <c r="B35" s="673" t="s">
        <v>949</v>
      </c>
      <c r="C35" s="678">
        <f t="shared" si="3"/>
        <v>240.79999999999998</v>
      </c>
      <c r="D35" s="678">
        <f t="shared" si="3"/>
        <v>243.6</v>
      </c>
      <c r="E35" s="678">
        <f t="shared" si="3"/>
        <v>246.4</v>
      </c>
      <c r="F35" s="678">
        <f t="shared" si="3"/>
        <v>252</v>
      </c>
      <c r="G35" s="675">
        <f t="shared" si="3"/>
        <v>0</v>
      </c>
    </row>
    <row r="36" spans="1:7" ht="21.95" customHeight="1">
      <c r="A36" s="1806"/>
      <c r="B36" s="676" t="s">
        <v>952</v>
      </c>
      <c r="C36" s="679">
        <f t="shared" si="3"/>
        <v>301</v>
      </c>
      <c r="D36" s="679">
        <f t="shared" si="3"/>
        <v>304.5</v>
      </c>
      <c r="E36" s="679">
        <f>+E28*E32</f>
        <v>308</v>
      </c>
      <c r="F36" s="679">
        <f t="shared" si="3"/>
        <v>315</v>
      </c>
      <c r="G36" s="677">
        <f t="shared" si="3"/>
        <v>0</v>
      </c>
    </row>
    <row r="37" spans="1:7" ht="20.100000000000001" customHeight="1"/>
    <row r="38" spans="1:7" ht="20.100000000000001" customHeight="1"/>
    <row r="39" spans="1:7" ht="20.100000000000001" customHeight="1"/>
    <row r="40" spans="1:7" ht="20.100000000000001" customHeight="1"/>
    <row r="41" spans="1:7" ht="20.100000000000001" customHeight="1"/>
    <row r="42" spans="1:7" ht="20.100000000000001" customHeight="1"/>
    <row r="43" spans="1:7" ht="20.100000000000001" customHeight="1"/>
    <row r="44" spans="1:7" ht="20.100000000000001" customHeight="1"/>
    <row r="75" spans="1:1">
      <c r="A75" s="658" t="s">
        <v>1941</v>
      </c>
    </row>
  </sheetData>
  <mergeCells count="21">
    <mergeCell ref="A29:A32"/>
    <mergeCell ref="A33:A36"/>
    <mergeCell ref="A19:A22"/>
    <mergeCell ref="G19:G22"/>
    <mergeCell ref="A23:A24"/>
    <mergeCell ref="G23:G24"/>
    <mergeCell ref="A25:A28"/>
    <mergeCell ref="G25:G28"/>
    <mergeCell ref="A11:A12"/>
    <mergeCell ref="G11:G12"/>
    <mergeCell ref="A13:A14"/>
    <mergeCell ref="G13:G14"/>
    <mergeCell ref="A15:A16"/>
    <mergeCell ref="G15:G16"/>
    <mergeCell ref="A9:A10"/>
    <mergeCell ref="G9:G10"/>
    <mergeCell ref="A3:B3"/>
    <mergeCell ref="A4:A6"/>
    <mergeCell ref="G4:G6"/>
    <mergeCell ref="A7:A8"/>
    <mergeCell ref="G7:G8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8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S122"/>
  <sheetViews>
    <sheetView view="pageBreakPreview" topLeftCell="A88" zoomScaleNormal="100" zoomScaleSheetLayoutView="100" workbookViewId="0">
      <selection activeCell="F100" sqref="F100"/>
    </sheetView>
  </sheetViews>
  <sheetFormatPr defaultRowHeight="13.5"/>
  <cols>
    <col min="1" max="1" width="12.88671875" customWidth="1"/>
    <col min="2" max="3" width="9.77734375" customWidth="1"/>
  </cols>
  <sheetData>
    <row r="1" spans="1:10" ht="29.1" customHeight="1">
      <c r="A1" s="287" t="s">
        <v>348</v>
      </c>
      <c r="B1" s="288"/>
      <c r="C1" s="288"/>
      <c r="D1" s="288"/>
      <c r="E1" s="288"/>
      <c r="F1" s="288"/>
      <c r="G1" s="288"/>
      <c r="H1" s="288"/>
      <c r="I1" s="288"/>
      <c r="J1" s="285"/>
    </row>
    <row r="2" spans="1:10" ht="29.1" customHeight="1">
      <c r="A2" s="286" t="s">
        <v>349</v>
      </c>
      <c r="B2" s="285"/>
      <c r="C2" s="285"/>
      <c r="D2" s="288"/>
      <c r="E2" s="288"/>
      <c r="F2" s="288"/>
      <c r="G2" s="288"/>
      <c r="H2" s="288"/>
      <c r="I2" s="288"/>
      <c r="J2" s="285"/>
    </row>
    <row r="3" spans="1:10" ht="29.1" customHeight="1">
      <c r="A3" s="289" t="s">
        <v>350</v>
      </c>
      <c r="B3" s="285"/>
      <c r="C3" s="285"/>
      <c r="D3" s="288"/>
      <c r="E3" s="288"/>
      <c r="F3" s="288"/>
      <c r="G3" s="288"/>
      <c r="H3" s="288"/>
      <c r="I3" s="288"/>
      <c r="J3" s="285"/>
    </row>
    <row r="4" spans="1:10" ht="29.1" customHeight="1">
      <c r="A4" s="1841" t="s">
        <v>15</v>
      </c>
      <c r="B4" s="1830"/>
      <c r="C4" s="1830"/>
      <c r="D4" s="1830" t="s">
        <v>351</v>
      </c>
      <c r="E4" s="1830"/>
      <c r="F4" s="1830" t="s">
        <v>352</v>
      </c>
      <c r="G4" s="1830"/>
      <c r="H4" s="1830" t="s">
        <v>353</v>
      </c>
      <c r="I4" s="1830"/>
      <c r="J4" s="304" t="s">
        <v>36</v>
      </c>
    </row>
    <row r="5" spans="1:10" ht="29.1" customHeight="1">
      <c r="A5" s="1859" t="s">
        <v>354</v>
      </c>
      <c r="B5" s="1860"/>
      <c r="C5" s="1860"/>
      <c r="D5" s="1845">
        <v>79</v>
      </c>
      <c r="E5" s="1845"/>
      <c r="F5" s="1845">
        <v>90</v>
      </c>
      <c r="G5" s="1845"/>
      <c r="H5" s="1845">
        <v>90</v>
      </c>
      <c r="I5" s="1845"/>
      <c r="J5" s="290" t="s">
        <v>355</v>
      </c>
    </row>
    <row r="6" spans="1:10" ht="29.1" customHeight="1">
      <c r="A6" s="1859" t="s">
        <v>356</v>
      </c>
      <c r="B6" s="1860"/>
      <c r="C6" s="1860"/>
      <c r="D6" s="1845">
        <v>85</v>
      </c>
      <c r="E6" s="1845"/>
      <c r="F6" s="1845">
        <v>90</v>
      </c>
      <c r="G6" s="1845"/>
      <c r="H6" s="1845">
        <v>90</v>
      </c>
      <c r="I6" s="1845"/>
      <c r="J6" s="290" t="s">
        <v>357</v>
      </c>
    </row>
    <row r="7" spans="1:10" ht="29.1" customHeight="1">
      <c r="A7" s="1859" t="s">
        <v>358</v>
      </c>
      <c r="B7" s="1860"/>
      <c r="C7" s="1860"/>
      <c r="D7" s="1845">
        <v>89</v>
      </c>
      <c r="E7" s="1845"/>
      <c r="F7" s="1845">
        <v>91</v>
      </c>
      <c r="G7" s="1845"/>
      <c r="H7" s="1845">
        <v>92</v>
      </c>
      <c r="I7" s="1845"/>
      <c r="J7" s="290" t="s">
        <v>359</v>
      </c>
    </row>
    <row r="8" spans="1:10" ht="29.1" customHeight="1">
      <c r="A8" s="1861" t="s">
        <v>360</v>
      </c>
      <c r="B8" s="1862"/>
      <c r="C8" s="1862"/>
      <c r="D8" s="1851" t="s">
        <v>361</v>
      </c>
      <c r="E8" s="1851"/>
      <c r="F8" s="1851"/>
      <c r="G8" s="1851"/>
      <c r="H8" s="1851"/>
      <c r="I8" s="1851"/>
      <c r="J8" s="1844" t="s">
        <v>362</v>
      </c>
    </row>
    <row r="9" spans="1:10" ht="29.1" customHeight="1">
      <c r="A9" s="1861"/>
      <c r="B9" s="1862"/>
      <c r="C9" s="1862"/>
      <c r="D9" s="1851"/>
      <c r="E9" s="1851"/>
      <c r="F9" s="1851"/>
      <c r="G9" s="1851"/>
      <c r="H9" s="1851"/>
      <c r="I9" s="1851"/>
      <c r="J9" s="1844"/>
    </row>
    <row r="10" spans="1:10" ht="29.1" customHeight="1">
      <c r="A10" s="1861" t="s">
        <v>363</v>
      </c>
      <c r="B10" s="1862"/>
      <c r="C10" s="1862"/>
      <c r="D10" s="1851" t="s">
        <v>364</v>
      </c>
      <c r="E10" s="1851"/>
      <c r="F10" s="1851"/>
      <c r="G10" s="1851"/>
      <c r="H10" s="1851"/>
      <c r="I10" s="1851"/>
      <c r="J10" s="1844" t="s">
        <v>365</v>
      </c>
    </row>
    <row r="11" spans="1:10" ht="29.1" customHeight="1">
      <c r="A11" s="1861"/>
      <c r="B11" s="1862"/>
      <c r="C11" s="1862"/>
      <c r="D11" s="1851"/>
      <c r="E11" s="1851"/>
      <c r="F11" s="1851"/>
      <c r="G11" s="1851"/>
      <c r="H11" s="1851"/>
      <c r="I11" s="1851"/>
      <c r="J11" s="1844"/>
    </row>
    <row r="12" spans="1:10" ht="29.1" customHeight="1">
      <c r="A12" s="1859" t="s">
        <v>366</v>
      </c>
      <c r="B12" s="1860"/>
      <c r="C12" s="1860"/>
      <c r="D12" s="1845" t="s">
        <v>367</v>
      </c>
      <c r="E12" s="1845"/>
      <c r="F12" s="1845"/>
      <c r="G12" s="1845"/>
      <c r="H12" s="1845"/>
      <c r="I12" s="1845"/>
      <c r="J12" s="357" t="s">
        <v>368</v>
      </c>
    </row>
    <row r="13" spans="1:10" ht="29.1" customHeight="1">
      <c r="A13" s="1864" t="s">
        <v>341</v>
      </c>
      <c r="B13" s="1865"/>
      <c r="C13" s="1865"/>
      <c r="D13" s="1843">
        <v>0</v>
      </c>
      <c r="E13" s="1843"/>
      <c r="F13" s="1843">
        <v>90</v>
      </c>
      <c r="G13" s="1843"/>
      <c r="H13" s="1843">
        <v>0</v>
      </c>
      <c r="I13" s="1843"/>
      <c r="J13" s="358"/>
    </row>
    <row r="14" spans="1:10" ht="29.1" customHeight="1">
      <c r="A14" s="285"/>
      <c r="B14" s="285"/>
      <c r="C14" s="285"/>
      <c r="D14" s="285"/>
      <c r="E14" s="285"/>
      <c r="F14" s="285"/>
      <c r="G14" s="285"/>
      <c r="H14" s="285"/>
      <c r="I14" s="285"/>
      <c r="J14" s="285"/>
    </row>
    <row r="15" spans="1:10" ht="29.1" customHeight="1">
      <c r="A15" s="289" t="s">
        <v>369</v>
      </c>
      <c r="B15" s="285"/>
      <c r="C15" s="285"/>
      <c r="D15" s="285"/>
      <c r="E15" s="285"/>
      <c r="F15" s="285"/>
      <c r="G15" s="285"/>
      <c r="H15" s="285"/>
      <c r="I15" s="285"/>
      <c r="J15" s="285"/>
    </row>
    <row r="16" spans="1:10" ht="29.1" customHeight="1">
      <c r="A16" s="1841" t="s">
        <v>370</v>
      </c>
      <c r="B16" s="1830" t="s">
        <v>392</v>
      </c>
      <c r="C16" s="1830"/>
      <c r="D16" s="1830"/>
      <c r="E16" s="1830"/>
      <c r="F16" s="1830"/>
      <c r="G16" s="1830"/>
      <c r="H16" s="1850" t="s">
        <v>371</v>
      </c>
      <c r="I16" s="1830"/>
      <c r="J16" s="1826" t="s">
        <v>45</v>
      </c>
    </row>
    <row r="17" spans="1:19" ht="29.1" customHeight="1">
      <c r="A17" s="1863"/>
      <c r="B17" s="1829" t="s">
        <v>372</v>
      </c>
      <c r="C17" s="1829"/>
      <c r="D17" s="1829" t="s">
        <v>373</v>
      </c>
      <c r="E17" s="1829"/>
      <c r="F17" s="1829" t="s">
        <v>374</v>
      </c>
      <c r="G17" s="1829"/>
      <c r="H17" s="1829"/>
      <c r="I17" s="1829"/>
      <c r="J17" s="1827"/>
      <c r="Q17" s="274"/>
      <c r="S17" s="284"/>
    </row>
    <row r="18" spans="1:19" ht="29.1" customHeight="1">
      <c r="A18" s="359" t="s">
        <v>16</v>
      </c>
      <c r="B18" s="1831">
        <f>+D18+F18</f>
        <v>137</v>
      </c>
      <c r="C18" s="1831"/>
      <c r="D18" s="1828">
        <v>132</v>
      </c>
      <c r="E18" s="1828"/>
      <c r="F18" s="1828">
        <v>5</v>
      </c>
      <c r="G18" s="1828"/>
      <c r="H18" s="1836">
        <f>+D18/B18</f>
        <v>0.96350364963503654</v>
      </c>
      <c r="I18" s="1836"/>
      <c r="J18" s="1847"/>
    </row>
    <row r="19" spans="1:19" ht="29.1" customHeight="1">
      <c r="A19" s="359" t="s">
        <v>66</v>
      </c>
      <c r="B19" s="1831">
        <f t="shared" ref="B19:B22" si="0">+D19+F19</f>
        <v>96.990000000000009</v>
      </c>
      <c r="C19" s="1831"/>
      <c r="D19" s="1828">
        <v>91.9</v>
      </c>
      <c r="E19" s="1828"/>
      <c r="F19" s="1828">
        <v>5.09</v>
      </c>
      <c r="G19" s="1828"/>
      <c r="H19" s="1836">
        <f t="shared" ref="H19:H22" si="1">+D19/B19</f>
        <v>0.94752036292401276</v>
      </c>
      <c r="I19" s="1836"/>
      <c r="J19" s="1847"/>
    </row>
    <row r="20" spans="1:19" ht="29.1" customHeight="1">
      <c r="A20" s="359" t="s">
        <v>67</v>
      </c>
      <c r="B20" s="1831">
        <f t="shared" si="0"/>
        <v>98</v>
      </c>
      <c r="C20" s="1831"/>
      <c r="D20" s="1828">
        <v>93</v>
      </c>
      <c r="E20" s="1828"/>
      <c r="F20" s="1828">
        <v>5</v>
      </c>
      <c r="G20" s="1828"/>
      <c r="H20" s="1836">
        <f t="shared" si="1"/>
        <v>0.94897959183673475</v>
      </c>
      <c r="I20" s="1836"/>
      <c r="J20" s="1847"/>
    </row>
    <row r="21" spans="1:19" ht="29.1" customHeight="1">
      <c r="A21" s="359" t="s">
        <v>68</v>
      </c>
      <c r="B21" s="1831">
        <f t="shared" si="0"/>
        <v>98</v>
      </c>
      <c r="C21" s="1831"/>
      <c r="D21" s="1828">
        <v>93</v>
      </c>
      <c r="E21" s="1828"/>
      <c r="F21" s="1828">
        <v>5</v>
      </c>
      <c r="G21" s="1828"/>
      <c r="H21" s="1836">
        <f t="shared" si="1"/>
        <v>0.94897959183673475</v>
      </c>
      <c r="I21" s="1836"/>
      <c r="J21" s="1847"/>
    </row>
    <row r="22" spans="1:19" ht="29.1" customHeight="1">
      <c r="A22" s="360" t="s">
        <v>1510</v>
      </c>
      <c r="B22" s="1866">
        <f t="shared" si="0"/>
        <v>103</v>
      </c>
      <c r="C22" s="1866"/>
      <c r="D22" s="1849">
        <v>99</v>
      </c>
      <c r="E22" s="1849"/>
      <c r="F22" s="1849">
        <v>4</v>
      </c>
      <c r="G22" s="1849"/>
      <c r="H22" s="1852">
        <f t="shared" si="1"/>
        <v>0.96116504854368934</v>
      </c>
      <c r="I22" s="1852"/>
      <c r="J22" s="1848"/>
    </row>
    <row r="23" spans="1:19" ht="29.1" customHeight="1">
      <c r="A23" s="291" t="s">
        <v>1511</v>
      </c>
      <c r="B23" s="292"/>
      <c r="C23" s="292"/>
      <c r="D23" s="293"/>
      <c r="E23" s="293"/>
      <c r="F23" s="293"/>
      <c r="G23" s="293"/>
      <c r="H23" s="293"/>
      <c r="I23" s="293"/>
      <c r="J23" s="294"/>
    </row>
    <row r="24" spans="1:19" ht="29.1" customHeight="1">
      <c r="A24" s="285"/>
      <c r="B24" s="295"/>
      <c r="C24" s="295"/>
      <c r="D24" s="1842"/>
      <c r="E24" s="1842"/>
      <c r="F24" s="1842"/>
      <c r="G24" s="1842"/>
      <c r="H24" s="1846"/>
      <c r="I24" s="1846"/>
      <c r="J24" s="285"/>
    </row>
    <row r="25" spans="1:19" ht="29.1" customHeight="1">
      <c r="A25" s="289" t="s">
        <v>375</v>
      </c>
      <c r="B25" s="285"/>
      <c r="C25" s="285"/>
      <c r="D25" s="285"/>
      <c r="E25" s="285"/>
      <c r="F25" s="285"/>
      <c r="G25" s="285"/>
      <c r="H25" s="285"/>
      <c r="I25" s="285"/>
      <c r="J25" s="285"/>
    </row>
    <row r="26" spans="1:19" ht="29.1" customHeight="1">
      <c r="A26" s="1841" t="s">
        <v>15</v>
      </c>
      <c r="B26" s="1830"/>
      <c r="C26" s="1830"/>
      <c r="D26" s="361">
        <v>2014</v>
      </c>
      <c r="E26" s="361">
        <v>2020</v>
      </c>
      <c r="F26" s="361">
        <v>2025</v>
      </c>
      <c r="G26" s="361">
        <v>2030</v>
      </c>
      <c r="H26" s="361">
        <v>2035</v>
      </c>
      <c r="I26" s="1839" t="s">
        <v>45</v>
      </c>
      <c r="J26" s="1840"/>
    </row>
    <row r="27" spans="1:19" ht="29.1" customHeight="1">
      <c r="A27" s="1857" t="s">
        <v>376</v>
      </c>
      <c r="B27" s="1858"/>
      <c r="C27" s="1858"/>
      <c r="D27" s="362">
        <f>+H22</f>
        <v>0.96116504854368934</v>
      </c>
      <c r="E27" s="362">
        <v>1</v>
      </c>
      <c r="F27" s="362">
        <v>1</v>
      </c>
      <c r="G27" s="362">
        <v>1</v>
      </c>
      <c r="H27" s="362">
        <v>1</v>
      </c>
      <c r="I27" s="1837"/>
      <c r="J27" s="1838"/>
    </row>
    <row r="28" spans="1:19" ht="29.1" customHeight="1">
      <c r="A28" s="285"/>
      <c r="B28" s="285"/>
      <c r="C28" s="285"/>
      <c r="D28" s="285"/>
      <c r="E28" s="285"/>
      <c r="F28" s="285"/>
      <c r="G28" s="285"/>
      <c r="H28" s="285"/>
      <c r="I28" s="285"/>
      <c r="J28" s="285"/>
    </row>
    <row r="29" spans="1:19" ht="29.1" customHeight="1">
      <c r="A29" s="289" t="s">
        <v>377</v>
      </c>
      <c r="B29" s="285"/>
      <c r="C29" s="285"/>
      <c r="D29" s="285"/>
      <c r="E29" s="285"/>
      <c r="F29" s="285"/>
      <c r="G29" s="285"/>
      <c r="H29" s="285"/>
      <c r="I29" s="285"/>
      <c r="J29" s="285"/>
    </row>
    <row r="30" spans="1:19" ht="29.1" customHeight="1">
      <c r="A30" s="1841" t="s">
        <v>15</v>
      </c>
      <c r="B30" s="1830"/>
      <c r="C30" s="1830"/>
      <c r="D30" s="361">
        <v>2014</v>
      </c>
      <c r="E30" s="361">
        <v>2020</v>
      </c>
      <c r="F30" s="361">
        <v>2025</v>
      </c>
      <c r="G30" s="361">
        <v>2030</v>
      </c>
      <c r="H30" s="361">
        <v>2035</v>
      </c>
      <c r="I30" s="1839" t="s">
        <v>45</v>
      </c>
      <c r="J30" s="1840"/>
    </row>
    <row r="31" spans="1:19" ht="29.1" customHeight="1">
      <c r="A31" s="1857" t="s">
        <v>378</v>
      </c>
      <c r="B31" s="1858"/>
      <c r="C31" s="1858"/>
      <c r="D31" s="363">
        <v>0.9</v>
      </c>
      <c r="E31" s="363">
        <v>0.9</v>
      </c>
      <c r="F31" s="363">
        <v>0.9</v>
      </c>
      <c r="G31" s="363">
        <v>0.9</v>
      </c>
      <c r="H31" s="363">
        <v>0.9</v>
      </c>
      <c r="I31" s="1837"/>
      <c r="J31" s="1838"/>
    </row>
    <row r="32" spans="1:19" ht="20.100000000000001" customHeight="1">
      <c r="A32" s="285"/>
      <c r="B32" s="285"/>
      <c r="C32" s="285"/>
      <c r="D32" s="285"/>
      <c r="E32" s="285"/>
      <c r="F32" s="285"/>
      <c r="G32" s="285"/>
      <c r="H32" s="285"/>
      <c r="I32" s="285"/>
      <c r="J32" s="285"/>
    </row>
    <row r="33" spans="1:10" ht="20.100000000000001" customHeight="1">
      <c r="A33" s="286" t="s">
        <v>379</v>
      </c>
      <c r="B33" s="288"/>
      <c r="C33" s="288"/>
      <c r="D33" s="288"/>
      <c r="E33" s="288"/>
      <c r="F33" s="288"/>
      <c r="G33" s="288"/>
      <c r="H33" s="288"/>
      <c r="I33" s="288"/>
      <c r="J33" s="285"/>
    </row>
    <row r="34" spans="1:10" ht="20.100000000000001" customHeight="1">
      <c r="A34" s="1853" t="s">
        <v>268</v>
      </c>
      <c r="B34" s="1832"/>
      <c r="C34" s="1832"/>
      <c r="D34" s="1832" t="s">
        <v>380</v>
      </c>
      <c r="E34" s="1832"/>
      <c r="F34" s="1832"/>
      <c r="G34" s="1832"/>
      <c r="H34" s="1832"/>
      <c r="I34" s="1832" t="s">
        <v>45</v>
      </c>
      <c r="J34" s="1833"/>
    </row>
    <row r="35" spans="1:10" ht="20.100000000000001" customHeight="1">
      <c r="A35" s="1854"/>
      <c r="B35" s="1834"/>
      <c r="C35" s="1834"/>
      <c r="D35" s="1471" t="s">
        <v>881</v>
      </c>
      <c r="E35" s="1471" t="s">
        <v>387</v>
      </c>
      <c r="F35" s="1471" t="s">
        <v>388</v>
      </c>
      <c r="G35" s="1471" t="s">
        <v>389</v>
      </c>
      <c r="H35" s="1471" t="s">
        <v>390</v>
      </c>
      <c r="I35" s="1834"/>
      <c r="J35" s="1835"/>
    </row>
    <row r="36" spans="1:10" ht="15.95" customHeight="1">
      <c r="A36" s="1814" t="s">
        <v>381</v>
      </c>
      <c r="B36" s="1868" t="s">
        <v>1492</v>
      </c>
      <c r="C36" s="1868"/>
      <c r="D36" s="1472">
        <f>ROUND(+D50/D43,0)</f>
        <v>309</v>
      </c>
      <c r="E36" s="1472">
        <f>ROUND(+E50/E43,0)</f>
        <v>306</v>
      </c>
      <c r="F36" s="1472">
        <f>ROUND(+F50/F43,0)</f>
        <v>302</v>
      </c>
      <c r="G36" s="1472">
        <f>ROUND(+G50/G43,0)</f>
        <v>296</v>
      </c>
      <c r="H36" s="1472">
        <f>ROUND(+H50/H43,0)</f>
        <v>296</v>
      </c>
      <c r="I36" s="1822"/>
      <c r="J36" s="1823"/>
    </row>
    <row r="37" spans="1:10" ht="15.95" customHeight="1">
      <c r="A37" s="1814"/>
      <c r="B37" s="1855" t="s">
        <v>1494</v>
      </c>
      <c r="C37" s="1855"/>
      <c r="D37" s="1046">
        <f t="shared" ref="D37:H37" si="2">ROUND(+D51/D44,0)</f>
        <v>333</v>
      </c>
      <c r="E37" s="1046">
        <f t="shared" si="2"/>
        <v>329</v>
      </c>
      <c r="F37" s="1046">
        <f t="shared" si="2"/>
        <v>325</v>
      </c>
      <c r="G37" s="1046">
        <f t="shared" si="2"/>
        <v>318</v>
      </c>
      <c r="H37" s="1046">
        <f t="shared" si="2"/>
        <v>318</v>
      </c>
      <c r="I37" s="1824"/>
      <c r="J37" s="1825"/>
    </row>
    <row r="38" spans="1:10" ht="15.95" customHeight="1">
      <c r="A38" s="1814"/>
      <c r="B38" s="1867" t="s">
        <v>1496</v>
      </c>
      <c r="C38" s="1867"/>
      <c r="D38" s="1046">
        <f t="shared" ref="D38:H38" si="3">ROUND(+D52/D45,0)</f>
        <v>321</v>
      </c>
      <c r="E38" s="1046">
        <f t="shared" si="3"/>
        <v>317</v>
      </c>
      <c r="F38" s="1046">
        <f t="shared" si="3"/>
        <v>314</v>
      </c>
      <c r="G38" s="1046">
        <f t="shared" si="3"/>
        <v>307</v>
      </c>
      <c r="H38" s="1046">
        <f t="shared" si="3"/>
        <v>307</v>
      </c>
      <c r="I38" s="1824"/>
      <c r="J38" s="1825"/>
    </row>
    <row r="39" spans="1:10" s="812" customFormat="1" ht="15.95" customHeight="1">
      <c r="A39" s="1814"/>
      <c r="B39" s="1867" t="s">
        <v>1584</v>
      </c>
      <c r="C39" s="1867"/>
      <c r="D39" s="1046">
        <f t="shared" ref="D39:H39" si="4">ROUND(+D53/D46,0)</f>
        <v>271</v>
      </c>
      <c r="E39" s="1046">
        <f t="shared" si="4"/>
        <v>268</v>
      </c>
      <c r="F39" s="1046">
        <f t="shared" si="4"/>
        <v>265</v>
      </c>
      <c r="G39" s="1046">
        <f t="shared" si="4"/>
        <v>259</v>
      </c>
      <c r="H39" s="1046">
        <f t="shared" si="4"/>
        <v>259</v>
      </c>
      <c r="I39" s="1824"/>
      <c r="J39" s="1825"/>
    </row>
    <row r="40" spans="1:10" s="812" customFormat="1" ht="15.95" customHeight="1">
      <c r="A40" s="1814"/>
      <c r="B40" s="1867" t="s">
        <v>1585</v>
      </c>
      <c r="C40" s="1867"/>
      <c r="D40" s="1046">
        <f t="shared" ref="D40:H40" si="5">ROUND(+D54/D47,0)</f>
        <v>328</v>
      </c>
      <c r="E40" s="1046">
        <f t="shared" si="5"/>
        <v>324</v>
      </c>
      <c r="F40" s="1046">
        <f t="shared" si="5"/>
        <v>320</v>
      </c>
      <c r="G40" s="1046">
        <f t="shared" si="5"/>
        <v>313</v>
      </c>
      <c r="H40" s="1046">
        <f t="shared" si="5"/>
        <v>313</v>
      </c>
      <c r="I40" s="1824"/>
      <c r="J40" s="1825"/>
    </row>
    <row r="41" spans="1:10" ht="15.95" customHeight="1">
      <c r="A41" s="1814"/>
      <c r="B41" s="1855" t="s">
        <v>1580</v>
      </c>
      <c r="C41" s="1855"/>
      <c r="D41" s="1046">
        <f t="shared" ref="D41:H42" si="6">ROUND(+D55/D48,0)</f>
        <v>264</v>
      </c>
      <c r="E41" s="1046">
        <f t="shared" si="6"/>
        <v>261</v>
      </c>
      <c r="F41" s="1046">
        <f t="shared" si="6"/>
        <v>258</v>
      </c>
      <c r="G41" s="1046">
        <f t="shared" si="6"/>
        <v>252</v>
      </c>
      <c r="H41" s="1046">
        <f t="shared" si="6"/>
        <v>252</v>
      </c>
      <c r="I41" s="1824"/>
      <c r="J41" s="1825"/>
    </row>
    <row r="42" spans="1:10" s="812" customFormat="1" ht="15.95" customHeight="1">
      <c r="A42" s="1856"/>
      <c r="B42" s="1855" t="s">
        <v>1907</v>
      </c>
      <c r="C42" s="1855"/>
      <c r="D42" s="1046">
        <f t="shared" si="6"/>
        <v>315</v>
      </c>
      <c r="E42" s="1046">
        <f t="shared" si="6"/>
        <v>312</v>
      </c>
      <c r="F42" s="1046">
        <f t="shared" si="6"/>
        <v>308</v>
      </c>
      <c r="G42" s="1046">
        <f t="shared" si="6"/>
        <v>301</v>
      </c>
      <c r="H42" s="1046">
        <f t="shared" si="6"/>
        <v>301</v>
      </c>
      <c r="I42" s="1824"/>
      <c r="J42" s="1825"/>
    </row>
    <row r="43" spans="1:10" ht="15.95" customHeight="1">
      <c r="A43" s="1820" t="s">
        <v>318</v>
      </c>
      <c r="B43" s="1855" t="s">
        <v>944</v>
      </c>
      <c r="C43" s="1855"/>
      <c r="D43" s="1047">
        <f>+'6.상수사용량원단위'!C62</f>
        <v>0.86</v>
      </c>
      <c r="E43" s="1047">
        <f>+'6.상수사용량원단위'!D62</f>
        <v>0.87</v>
      </c>
      <c r="F43" s="1047">
        <f>+'6.상수사용량원단위'!E62</f>
        <v>0.88</v>
      </c>
      <c r="G43" s="1047">
        <f>+'6.상수사용량원단위'!F62</f>
        <v>0.9</v>
      </c>
      <c r="H43" s="1047">
        <f>+'6.상수사용량원단위'!G62</f>
        <v>0.9</v>
      </c>
      <c r="I43" s="1824"/>
      <c r="J43" s="1825"/>
    </row>
    <row r="44" spans="1:10" ht="15.95" customHeight="1">
      <c r="A44" s="1814"/>
      <c r="B44" s="1855" t="s">
        <v>945</v>
      </c>
      <c r="C44" s="1855"/>
      <c r="D44" s="1047">
        <f>+'6.상수사용량원단위'!C63</f>
        <v>0.86</v>
      </c>
      <c r="E44" s="1047">
        <f>+'6.상수사용량원단위'!D63</f>
        <v>0.87</v>
      </c>
      <c r="F44" s="1047">
        <f>+'6.상수사용량원단위'!E63</f>
        <v>0.88</v>
      </c>
      <c r="G44" s="1047">
        <f>+'6.상수사용량원단위'!F63</f>
        <v>0.9</v>
      </c>
      <c r="H44" s="1047">
        <f>+'6.상수사용량원단위'!G63</f>
        <v>0.9</v>
      </c>
      <c r="I44" s="1824"/>
      <c r="J44" s="1825"/>
    </row>
    <row r="45" spans="1:10" ht="15.95" customHeight="1">
      <c r="A45" s="1814"/>
      <c r="B45" s="1867" t="s">
        <v>949</v>
      </c>
      <c r="C45" s="1867"/>
      <c r="D45" s="1047">
        <f>+'6.상수사용량원단위'!C64</f>
        <v>0.86</v>
      </c>
      <c r="E45" s="1047">
        <f>+'6.상수사용량원단위'!D64</f>
        <v>0.87</v>
      </c>
      <c r="F45" s="1047">
        <f>+'6.상수사용량원단위'!E64</f>
        <v>0.88</v>
      </c>
      <c r="G45" s="1047">
        <f>+'6.상수사용량원단위'!F64</f>
        <v>0.9</v>
      </c>
      <c r="H45" s="1047">
        <f>+'6.상수사용량원단위'!G64</f>
        <v>0.9</v>
      </c>
      <c r="I45" s="1824"/>
      <c r="J45" s="1825"/>
    </row>
    <row r="46" spans="1:10" s="812" customFormat="1" ht="15.95" customHeight="1">
      <c r="A46" s="1814"/>
      <c r="B46" s="1867" t="s">
        <v>1584</v>
      </c>
      <c r="C46" s="1867"/>
      <c r="D46" s="1047">
        <f>+'6.상수사용량원단위'!C65</f>
        <v>0.86</v>
      </c>
      <c r="E46" s="1047">
        <f>+'6.상수사용량원단위'!D65</f>
        <v>0.87</v>
      </c>
      <c r="F46" s="1047">
        <f>+'6.상수사용량원단위'!E65</f>
        <v>0.88</v>
      </c>
      <c r="G46" s="1047">
        <f>+'6.상수사용량원단위'!F65</f>
        <v>0.9</v>
      </c>
      <c r="H46" s="1047">
        <f>+'6.상수사용량원단위'!G65</f>
        <v>0.9</v>
      </c>
      <c r="I46" s="1824"/>
      <c r="J46" s="1825"/>
    </row>
    <row r="47" spans="1:10" s="812" customFormat="1" ht="15.95" customHeight="1">
      <c r="A47" s="1814"/>
      <c r="B47" s="1867" t="s">
        <v>1585</v>
      </c>
      <c r="C47" s="1867"/>
      <c r="D47" s="1047">
        <f>+'6.상수사용량원단위'!C66</f>
        <v>0.86</v>
      </c>
      <c r="E47" s="1047">
        <f>+'6.상수사용량원단위'!D66</f>
        <v>0.87</v>
      </c>
      <c r="F47" s="1047">
        <f>+'6.상수사용량원단위'!E66</f>
        <v>0.88</v>
      </c>
      <c r="G47" s="1047">
        <f>+'6.상수사용량원단위'!F66</f>
        <v>0.9</v>
      </c>
      <c r="H47" s="1047">
        <f>+'6.상수사용량원단위'!G66</f>
        <v>0.9</v>
      </c>
      <c r="I47" s="1824"/>
      <c r="J47" s="1825"/>
    </row>
    <row r="48" spans="1:10" ht="15.95" customHeight="1">
      <c r="A48" s="1814"/>
      <c r="B48" s="1855" t="s">
        <v>1580</v>
      </c>
      <c r="C48" s="1855"/>
      <c r="D48" s="1047">
        <f>+'6.상수사용량원단위'!C67</f>
        <v>0.86</v>
      </c>
      <c r="E48" s="1047">
        <f>+'6.상수사용량원단위'!D67</f>
        <v>0.87</v>
      </c>
      <c r="F48" s="1047">
        <f>+'6.상수사용량원단위'!E67</f>
        <v>0.88</v>
      </c>
      <c r="G48" s="1047">
        <f>+'6.상수사용량원단위'!F67</f>
        <v>0.9</v>
      </c>
      <c r="H48" s="1047">
        <f>+'6.상수사용량원단위'!G67</f>
        <v>0.9</v>
      </c>
      <c r="I48" s="1824"/>
      <c r="J48" s="1825"/>
    </row>
    <row r="49" spans="1:10" s="812" customFormat="1" ht="15.95" customHeight="1">
      <c r="A49" s="1856"/>
      <c r="B49" s="1855" t="s">
        <v>1907</v>
      </c>
      <c r="C49" s="1855"/>
      <c r="D49" s="1047">
        <f>D48</f>
        <v>0.86</v>
      </c>
      <c r="E49" s="1047">
        <f t="shared" ref="E49:H49" si="7">E48</f>
        <v>0.87</v>
      </c>
      <c r="F49" s="1047">
        <f t="shared" si="7"/>
        <v>0.88</v>
      </c>
      <c r="G49" s="1047">
        <f t="shared" si="7"/>
        <v>0.9</v>
      </c>
      <c r="H49" s="1047">
        <f t="shared" si="7"/>
        <v>0.9</v>
      </c>
      <c r="I49" s="1824"/>
      <c r="J49" s="1825"/>
    </row>
    <row r="50" spans="1:10" ht="15.95" customHeight="1">
      <c r="A50" s="1820" t="s">
        <v>382</v>
      </c>
      <c r="B50" s="1855" t="s">
        <v>944</v>
      </c>
      <c r="C50" s="1855"/>
      <c r="D50" s="1046">
        <f>+'6.상수사용량원단위'!C194</f>
        <v>266</v>
      </c>
      <c r="E50" s="1046">
        <f>+'6.상수사용량원단위'!D194</f>
        <v>266</v>
      </c>
      <c r="F50" s="1046">
        <f>+'6.상수사용량원단위'!E194</f>
        <v>266</v>
      </c>
      <c r="G50" s="1046">
        <f>+'6.상수사용량원단위'!F194</f>
        <v>266</v>
      </c>
      <c r="H50" s="1046">
        <f>+'6.상수사용량원단위'!G194</f>
        <v>266</v>
      </c>
      <c r="I50" s="1824"/>
      <c r="J50" s="1825"/>
    </row>
    <row r="51" spans="1:10" ht="15.95" customHeight="1">
      <c r="A51" s="1814"/>
      <c r="B51" s="1855" t="s">
        <v>945</v>
      </c>
      <c r="C51" s="1855"/>
      <c r="D51" s="1046">
        <f>+'6.상수사용량원단위'!C195</f>
        <v>286</v>
      </c>
      <c r="E51" s="1046">
        <f>+'6.상수사용량원단위'!D195</f>
        <v>286</v>
      </c>
      <c r="F51" s="1046">
        <f>+'6.상수사용량원단위'!E195</f>
        <v>286</v>
      </c>
      <c r="G51" s="1046">
        <f>+'6.상수사용량원단위'!F195</f>
        <v>286</v>
      </c>
      <c r="H51" s="1046">
        <f>+'6.상수사용량원단위'!G195</f>
        <v>286</v>
      </c>
      <c r="I51" s="1824"/>
      <c r="J51" s="1825"/>
    </row>
    <row r="52" spans="1:10" ht="15.95" customHeight="1">
      <c r="A52" s="1814"/>
      <c r="B52" s="1867" t="s">
        <v>949</v>
      </c>
      <c r="C52" s="1867"/>
      <c r="D52" s="1046">
        <f>+'6.상수사용량원단위'!C196</f>
        <v>276</v>
      </c>
      <c r="E52" s="1046">
        <f>+'6.상수사용량원단위'!D196</f>
        <v>276</v>
      </c>
      <c r="F52" s="1046">
        <f>+'6.상수사용량원단위'!E196</f>
        <v>276</v>
      </c>
      <c r="G52" s="1046">
        <f>+'6.상수사용량원단위'!F196</f>
        <v>276</v>
      </c>
      <c r="H52" s="1046">
        <f>+'6.상수사용량원단위'!G196</f>
        <v>276</v>
      </c>
      <c r="I52" s="1824"/>
      <c r="J52" s="1825"/>
    </row>
    <row r="53" spans="1:10" s="812" customFormat="1" ht="15.95" customHeight="1">
      <c r="A53" s="1814"/>
      <c r="B53" s="1867" t="s">
        <v>1584</v>
      </c>
      <c r="C53" s="1867"/>
      <c r="D53" s="1046">
        <f>+'6.상수사용량원단위'!C197</f>
        <v>233</v>
      </c>
      <c r="E53" s="1046">
        <f>+'6.상수사용량원단위'!D197</f>
        <v>233</v>
      </c>
      <c r="F53" s="1046">
        <f>+'6.상수사용량원단위'!E197</f>
        <v>233</v>
      </c>
      <c r="G53" s="1046">
        <f>+'6.상수사용량원단위'!F197</f>
        <v>233</v>
      </c>
      <c r="H53" s="1046">
        <f>+'6.상수사용량원단위'!G197</f>
        <v>233</v>
      </c>
      <c r="I53" s="1824"/>
      <c r="J53" s="1825"/>
    </row>
    <row r="54" spans="1:10" s="812" customFormat="1" ht="15.95" customHeight="1">
      <c r="A54" s="1814"/>
      <c r="B54" s="1867" t="s">
        <v>1585</v>
      </c>
      <c r="C54" s="1867"/>
      <c r="D54" s="1046">
        <f>+'6.상수사용량원단위'!C198</f>
        <v>282</v>
      </c>
      <c r="E54" s="1046">
        <f>+'6.상수사용량원단위'!D198</f>
        <v>282</v>
      </c>
      <c r="F54" s="1046">
        <f>+'6.상수사용량원단위'!E198</f>
        <v>282</v>
      </c>
      <c r="G54" s="1046">
        <f>+'6.상수사용량원단위'!F198</f>
        <v>282</v>
      </c>
      <c r="H54" s="1046">
        <f>+'6.상수사용량원단위'!G198</f>
        <v>282</v>
      </c>
      <c r="I54" s="1824"/>
      <c r="J54" s="1825"/>
    </row>
    <row r="55" spans="1:10" ht="15.95" customHeight="1">
      <c r="A55" s="1814"/>
      <c r="B55" s="1855" t="s">
        <v>1580</v>
      </c>
      <c r="C55" s="1855"/>
      <c r="D55" s="1046">
        <f>+'6.상수사용량원단위'!C199</f>
        <v>227</v>
      </c>
      <c r="E55" s="1046">
        <f>+'6.상수사용량원단위'!D199</f>
        <v>227</v>
      </c>
      <c r="F55" s="1046">
        <f>+'6.상수사용량원단위'!E199</f>
        <v>227</v>
      </c>
      <c r="G55" s="1046">
        <f>+'6.상수사용량원단위'!F199</f>
        <v>227</v>
      </c>
      <c r="H55" s="1046">
        <f>+'6.상수사용량원단위'!G199</f>
        <v>227</v>
      </c>
      <c r="I55" s="1824"/>
      <c r="J55" s="1825"/>
    </row>
    <row r="56" spans="1:10" s="812" customFormat="1" ht="15.95" customHeight="1">
      <c r="A56" s="1856"/>
      <c r="B56" s="1855" t="s">
        <v>1907</v>
      </c>
      <c r="C56" s="1855"/>
      <c r="D56" s="1046">
        <f>'6.1. 상수사용량원단위 (맹동신규)'!C20</f>
        <v>271.2240454888103</v>
      </c>
      <c r="E56" s="1046">
        <f>'6.1. 상수사용량원단위 (맹동신규)'!D20</f>
        <v>271.2240454888103</v>
      </c>
      <c r="F56" s="1046">
        <f>'6.1. 상수사용량원단위 (맹동신규)'!E20</f>
        <v>271.2240454888103</v>
      </c>
      <c r="G56" s="1046">
        <f>'6.1. 상수사용량원단위 (맹동신규)'!F20</f>
        <v>271.2240454888103</v>
      </c>
      <c r="H56" s="1046">
        <f>'6.1. 상수사용량원단위 (맹동신규)'!G20</f>
        <v>271.2240454888103</v>
      </c>
      <c r="I56" s="1824"/>
      <c r="J56" s="1825"/>
    </row>
    <row r="57" spans="1:10" ht="15.95" customHeight="1">
      <c r="A57" s="1820" t="s">
        <v>383</v>
      </c>
      <c r="B57" s="1855" t="s">
        <v>944</v>
      </c>
      <c r="C57" s="1855"/>
      <c r="D57" s="1048">
        <v>90</v>
      </c>
      <c r="E57" s="1048">
        <v>90</v>
      </c>
      <c r="F57" s="1048">
        <v>90</v>
      </c>
      <c r="G57" s="1048">
        <v>90</v>
      </c>
      <c r="H57" s="1048">
        <v>90</v>
      </c>
      <c r="I57" s="1824"/>
      <c r="J57" s="1825"/>
    </row>
    <row r="58" spans="1:10" ht="15.95" customHeight="1">
      <c r="A58" s="1814"/>
      <c r="B58" s="1855" t="s">
        <v>945</v>
      </c>
      <c r="C58" s="1855"/>
      <c r="D58" s="1048">
        <v>90</v>
      </c>
      <c r="E58" s="1048">
        <v>90</v>
      </c>
      <c r="F58" s="1048">
        <v>90</v>
      </c>
      <c r="G58" s="1048">
        <v>90</v>
      </c>
      <c r="H58" s="1048">
        <v>90</v>
      </c>
      <c r="I58" s="1824"/>
      <c r="J58" s="1825"/>
    </row>
    <row r="59" spans="1:10" ht="15.95" customHeight="1">
      <c r="A59" s="1814"/>
      <c r="B59" s="1867" t="s">
        <v>949</v>
      </c>
      <c r="C59" s="1867"/>
      <c r="D59" s="1048">
        <v>90</v>
      </c>
      <c r="E59" s="1048">
        <v>90</v>
      </c>
      <c r="F59" s="1048">
        <v>90</v>
      </c>
      <c r="G59" s="1048">
        <v>90</v>
      </c>
      <c r="H59" s="1048">
        <v>90</v>
      </c>
      <c r="I59" s="1824"/>
      <c r="J59" s="1825"/>
    </row>
    <row r="60" spans="1:10" s="812" customFormat="1" ht="15.95" customHeight="1">
      <c r="A60" s="1814"/>
      <c r="B60" s="1867" t="s">
        <v>1584</v>
      </c>
      <c r="C60" s="1867"/>
      <c r="D60" s="1048">
        <v>90</v>
      </c>
      <c r="E60" s="1048">
        <v>90</v>
      </c>
      <c r="F60" s="1048">
        <v>90</v>
      </c>
      <c r="G60" s="1048">
        <v>90</v>
      </c>
      <c r="H60" s="1048">
        <v>90</v>
      </c>
      <c r="I60" s="1824"/>
      <c r="J60" s="1825"/>
    </row>
    <row r="61" spans="1:10" s="812" customFormat="1" ht="15.95" customHeight="1">
      <c r="A61" s="1814"/>
      <c r="B61" s="1867" t="s">
        <v>1585</v>
      </c>
      <c r="C61" s="1867"/>
      <c r="D61" s="1048">
        <v>90</v>
      </c>
      <c r="E61" s="1048">
        <v>90</v>
      </c>
      <c r="F61" s="1048">
        <v>90</v>
      </c>
      <c r="G61" s="1048">
        <v>90</v>
      </c>
      <c r="H61" s="1048">
        <v>90</v>
      </c>
      <c r="I61" s="1824"/>
      <c r="J61" s="1825"/>
    </row>
    <row r="62" spans="1:10" ht="15.95" customHeight="1">
      <c r="A62" s="1814"/>
      <c r="B62" s="1855" t="s">
        <v>1580</v>
      </c>
      <c r="C62" s="1855"/>
      <c r="D62" s="1048">
        <v>90</v>
      </c>
      <c r="E62" s="1048">
        <v>90</v>
      </c>
      <c r="F62" s="1048">
        <v>90</v>
      </c>
      <c r="G62" s="1048">
        <v>90</v>
      </c>
      <c r="H62" s="1048">
        <v>90</v>
      </c>
      <c r="I62" s="1824"/>
      <c r="J62" s="1825"/>
    </row>
    <row r="63" spans="1:10" s="812" customFormat="1" ht="15.95" customHeight="1">
      <c r="A63" s="1856"/>
      <c r="B63" s="1855" t="s">
        <v>1907</v>
      </c>
      <c r="C63" s="1855"/>
      <c r="D63" s="1048">
        <v>90</v>
      </c>
      <c r="E63" s="1048">
        <v>90</v>
      </c>
      <c r="F63" s="1048">
        <v>90</v>
      </c>
      <c r="G63" s="1048">
        <v>90</v>
      </c>
      <c r="H63" s="1048">
        <v>90</v>
      </c>
      <c r="I63" s="1824"/>
      <c r="J63" s="1825"/>
    </row>
    <row r="64" spans="1:10" ht="15.95" customHeight="1">
      <c r="A64" s="1820" t="s">
        <v>545</v>
      </c>
      <c r="B64" s="1808" t="s">
        <v>1492</v>
      </c>
      <c r="C64" s="1049" t="s">
        <v>384</v>
      </c>
      <c r="D64" s="1050">
        <f>ROUND(+D50*D57/100,0)</f>
        <v>239</v>
      </c>
      <c r="E64" s="1050">
        <f t="shared" ref="E64:H64" si="8">ROUND(+E50*E57/100,0)</f>
        <v>239</v>
      </c>
      <c r="F64" s="1050">
        <f t="shared" si="8"/>
        <v>239</v>
      </c>
      <c r="G64" s="1050">
        <f t="shared" si="8"/>
        <v>239</v>
      </c>
      <c r="H64" s="1050">
        <f t="shared" si="8"/>
        <v>239</v>
      </c>
      <c r="I64" s="1816">
        <v>0.8</v>
      </c>
      <c r="J64" s="1817"/>
    </row>
    <row r="65" spans="1:10" ht="15.95" customHeight="1">
      <c r="A65" s="1814"/>
      <c r="B65" s="1808"/>
      <c r="C65" s="1049" t="s">
        <v>385</v>
      </c>
      <c r="D65" s="1050">
        <f>ROUND(+D64/$I64,0)</f>
        <v>299</v>
      </c>
      <c r="E65" s="1050">
        <f>ROUND(+E64/$I64,0)</f>
        <v>299</v>
      </c>
      <c r="F65" s="1050">
        <f>ROUND(+F64/$I64,0)</f>
        <v>299</v>
      </c>
      <c r="G65" s="1050">
        <f>ROUND(+G64/$I64,0)</f>
        <v>299</v>
      </c>
      <c r="H65" s="1050">
        <f>ROUND(+H64/$I64,0)</f>
        <v>299</v>
      </c>
      <c r="I65" s="1816">
        <v>1</v>
      </c>
      <c r="J65" s="1817"/>
    </row>
    <row r="66" spans="1:10" ht="15.95" customHeight="1">
      <c r="A66" s="1814"/>
      <c r="B66" s="1808"/>
      <c r="C66" s="1049" t="s">
        <v>386</v>
      </c>
      <c r="D66" s="1050">
        <f>ROUND(+D65*$I66,0)</f>
        <v>449</v>
      </c>
      <c r="E66" s="1050">
        <f>ROUND(+E65*$I66,0)</f>
        <v>449</v>
      </c>
      <c r="F66" s="1050">
        <f>ROUND(+F65*$I66,0)</f>
        <v>449</v>
      </c>
      <c r="G66" s="1050">
        <f>ROUND(+G65*$I66,0)</f>
        <v>449</v>
      </c>
      <c r="H66" s="1050">
        <f>ROUND(+H65*$I66,0)</f>
        <v>449</v>
      </c>
      <c r="I66" s="1816">
        <v>1.5</v>
      </c>
      <c r="J66" s="1817"/>
    </row>
    <row r="67" spans="1:10" ht="15.95" customHeight="1">
      <c r="A67" s="1814"/>
      <c r="B67" s="1808" t="s">
        <v>1494</v>
      </c>
      <c r="C67" s="1049" t="s">
        <v>384</v>
      </c>
      <c r="D67" s="1050">
        <f>ROUND(+D51*D58/100,0)</f>
        <v>257</v>
      </c>
      <c r="E67" s="1050">
        <f t="shared" ref="E67:H67" si="9">ROUND(+E51*E58/100,0)</f>
        <v>257</v>
      </c>
      <c r="F67" s="1050">
        <f t="shared" si="9"/>
        <v>257</v>
      </c>
      <c r="G67" s="1050">
        <f t="shared" si="9"/>
        <v>257</v>
      </c>
      <c r="H67" s="1050">
        <f t="shared" si="9"/>
        <v>257</v>
      </c>
      <c r="I67" s="1816">
        <v>0.8</v>
      </c>
      <c r="J67" s="1817"/>
    </row>
    <row r="68" spans="1:10" ht="15.95" customHeight="1">
      <c r="A68" s="1814"/>
      <c r="B68" s="1808"/>
      <c r="C68" s="1049" t="s">
        <v>385</v>
      </c>
      <c r="D68" s="1050">
        <f>ROUND(+D67/$I67,0)</f>
        <v>321</v>
      </c>
      <c r="E68" s="1050">
        <f>ROUND(+E67/$I67,0)</f>
        <v>321</v>
      </c>
      <c r="F68" s="1050">
        <f>ROUND(+F67/$I67,0)</f>
        <v>321</v>
      </c>
      <c r="G68" s="1050">
        <f>ROUND(+G67/$I67,0)</f>
        <v>321</v>
      </c>
      <c r="H68" s="1050">
        <f>ROUND(+H67/$I67,0)</f>
        <v>321</v>
      </c>
      <c r="I68" s="1816">
        <v>1</v>
      </c>
      <c r="J68" s="1817"/>
    </row>
    <row r="69" spans="1:10" ht="15.95" customHeight="1">
      <c r="A69" s="1814"/>
      <c r="B69" s="1808"/>
      <c r="C69" s="1049" t="s">
        <v>386</v>
      </c>
      <c r="D69" s="1050">
        <f>ROUND(+D68*$I69,0)</f>
        <v>482</v>
      </c>
      <c r="E69" s="1050">
        <f>ROUND(+E68*$I69,0)</f>
        <v>482</v>
      </c>
      <c r="F69" s="1050">
        <f>ROUND(+F68*$I69,0)</f>
        <v>482</v>
      </c>
      <c r="G69" s="1050">
        <f>ROUND(+G68*$I69,0)</f>
        <v>482</v>
      </c>
      <c r="H69" s="1050">
        <f>ROUND(+H68*$I69,0)</f>
        <v>482</v>
      </c>
      <c r="I69" s="1816">
        <v>1.5</v>
      </c>
      <c r="J69" s="1817"/>
    </row>
    <row r="70" spans="1:10" ht="15.95" customHeight="1">
      <c r="A70" s="1814"/>
      <c r="B70" s="1808" t="s">
        <v>1496</v>
      </c>
      <c r="C70" s="1049" t="s">
        <v>384</v>
      </c>
      <c r="D70" s="1050">
        <f>ROUND(+D52*D59/100,0)</f>
        <v>248</v>
      </c>
      <c r="E70" s="1050">
        <f t="shared" ref="E70:H70" si="10">ROUND(+E52*E59/100,0)</f>
        <v>248</v>
      </c>
      <c r="F70" s="1050">
        <f t="shared" si="10"/>
        <v>248</v>
      </c>
      <c r="G70" s="1050">
        <f t="shared" si="10"/>
        <v>248</v>
      </c>
      <c r="H70" s="1050">
        <f t="shared" si="10"/>
        <v>248</v>
      </c>
      <c r="I70" s="1816">
        <v>0.8</v>
      </c>
      <c r="J70" s="1817"/>
    </row>
    <row r="71" spans="1:10" ht="15.95" customHeight="1">
      <c r="A71" s="1814"/>
      <c r="B71" s="1808"/>
      <c r="C71" s="1049" t="s">
        <v>385</v>
      </c>
      <c r="D71" s="1050">
        <f>ROUND(+D70/$I70,0)</f>
        <v>310</v>
      </c>
      <c r="E71" s="1050">
        <f>ROUND(+E70/$I70,0)</f>
        <v>310</v>
      </c>
      <c r="F71" s="1050">
        <f>ROUND(+F70/$I70,0)</f>
        <v>310</v>
      </c>
      <c r="G71" s="1050">
        <f>ROUND(+G70/$I70,0)</f>
        <v>310</v>
      </c>
      <c r="H71" s="1050">
        <f>ROUND(+H70/$I70,0)</f>
        <v>310</v>
      </c>
      <c r="I71" s="1816">
        <v>1</v>
      </c>
      <c r="J71" s="1817"/>
    </row>
    <row r="72" spans="1:10" ht="15.95" customHeight="1">
      <c r="A72" s="1814"/>
      <c r="B72" s="1808"/>
      <c r="C72" s="1049" t="s">
        <v>386</v>
      </c>
      <c r="D72" s="1050">
        <f>ROUND(+D71*$I72,0)</f>
        <v>465</v>
      </c>
      <c r="E72" s="1050">
        <f>ROUND(+E71*$I72,0)</f>
        <v>465</v>
      </c>
      <c r="F72" s="1050">
        <f>ROUND(+F71*$I72,0)</f>
        <v>465</v>
      </c>
      <c r="G72" s="1050">
        <f>ROUND(+G71*$I72,0)</f>
        <v>465</v>
      </c>
      <c r="H72" s="1050">
        <f>ROUND(+H71*$I72,0)</f>
        <v>465</v>
      </c>
      <c r="I72" s="1816">
        <v>1.5</v>
      </c>
      <c r="J72" s="1817"/>
    </row>
    <row r="73" spans="1:10" s="812" customFormat="1" ht="15.95" customHeight="1">
      <c r="A73" s="1814"/>
      <c r="B73" s="1808" t="s">
        <v>1582</v>
      </c>
      <c r="C73" s="1049" t="s">
        <v>384</v>
      </c>
      <c r="D73" s="1050">
        <f>ROUND(+D53*D60/100,0)</f>
        <v>210</v>
      </c>
      <c r="E73" s="1050">
        <f t="shared" ref="E73:H73" si="11">ROUND(+E53*E60/100,0)</f>
        <v>210</v>
      </c>
      <c r="F73" s="1050">
        <f t="shared" si="11"/>
        <v>210</v>
      </c>
      <c r="G73" s="1050">
        <f t="shared" si="11"/>
        <v>210</v>
      </c>
      <c r="H73" s="1050">
        <f t="shared" si="11"/>
        <v>210</v>
      </c>
      <c r="I73" s="1816">
        <v>0.8</v>
      </c>
      <c r="J73" s="1817"/>
    </row>
    <row r="74" spans="1:10" s="812" customFormat="1" ht="15.95" customHeight="1">
      <c r="A74" s="1814"/>
      <c r="B74" s="1808"/>
      <c r="C74" s="1049" t="s">
        <v>385</v>
      </c>
      <c r="D74" s="1050">
        <f>ROUNDDOWN(+D73/$I73,0)</f>
        <v>262</v>
      </c>
      <c r="E74" s="1050">
        <f>ROUNDDOWN(+E73/$I73,0)</f>
        <v>262</v>
      </c>
      <c r="F74" s="1050">
        <f>ROUNDDOWN(+F73/$I73,0)</f>
        <v>262</v>
      </c>
      <c r="G74" s="1050">
        <f>ROUNDDOWN(+G73/$I73,0)</f>
        <v>262</v>
      </c>
      <c r="H74" s="1050">
        <f>ROUNDDOWN(+H73/$I73,0)</f>
        <v>262</v>
      </c>
      <c r="I74" s="1816">
        <v>1</v>
      </c>
      <c r="J74" s="1817"/>
    </row>
    <row r="75" spans="1:10" s="812" customFormat="1" ht="15.95" customHeight="1">
      <c r="A75" s="1814"/>
      <c r="B75" s="1808"/>
      <c r="C75" s="1049" t="s">
        <v>386</v>
      </c>
      <c r="D75" s="1050">
        <f>ROUND(+D74*$I75,0)</f>
        <v>393</v>
      </c>
      <c r="E75" s="1050">
        <f>ROUND(+E74*$I75,0)</f>
        <v>393</v>
      </c>
      <c r="F75" s="1050">
        <f>ROUND(+F74*$I75,0)</f>
        <v>393</v>
      </c>
      <c r="G75" s="1050">
        <f>ROUND(+G74*$I75,0)</f>
        <v>393</v>
      </c>
      <c r="H75" s="1050">
        <f>ROUND(+H74*$I75,0)</f>
        <v>393</v>
      </c>
      <c r="I75" s="1816">
        <v>1.5</v>
      </c>
      <c r="J75" s="1817"/>
    </row>
    <row r="76" spans="1:10" s="812" customFormat="1" ht="15.95" customHeight="1">
      <c r="A76" s="1814"/>
      <c r="B76" s="1808" t="s">
        <v>952</v>
      </c>
      <c r="C76" s="1049" t="s">
        <v>384</v>
      </c>
      <c r="D76" s="1050">
        <f>ROUND(+D54*D61/100,0)</f>
        <v>254</v>
      </c>
      <c r="E76" s="1050">
        <f t="shared" ref="E76:H76" si="12">ROUND(+E54*E61/100,0)</f>
        <v>254</v>
      </c>
      <c r="F76" s="1050">
        <f t="shared" si="12"/>
        <v>254</v>
      </c>
      <c r="G76" s="1050">
        <f t="shared" si="12"/>
        <v>254</v>
      </c>
      <c r="H76" s="1050">
        <f t="shared" si="12"/>
        <v>254</v>
      </c>
      <c r="I76" s="1816">
        <v>0.8</v>
      </c>
      <c r="J76" s="1817"/>
    </row>
    <row r="77" spans="1:10" s="812" customFormat="1" ht="15.95" customHeight="1">
      <c r="A77" s="1814"/>
      <c r="B77" s="1808"/>
      <c r="C77" s="1049" t="s">
        <v>385</v>
      </c>
      <c r="D77" s="1050">
        <f>ROUNDDOWN(+D76/$I76,0)</f>
        <v>317</v>
      </c>
      <c r="E77" s="1050">
        <f>ROUNDDOWN(+E76/$I76,0)</f>
        <v>317</v>
      </c>
      <c r="F77" s="1050">
        <f>ROUNDDOWN(+F76/$I76,0)</f>
        <v>317</v>
      </c>
      <c r="G77" s="1050">
        <f>ROUNDDOWN(+G76/$I76,0)</f>
        <v>317</v>
      </c>
      <c r="H77" s="1050">
        <f>ROUNDDOWN(+H76/$I76,0)</f>
        <v>317</v>
      </c>
      <c r="I77" s="1816">
        <v>1</v>
      </c>
      <c r="J77" s="1817"/>
    </row>
    <row r="78" spans="1:10" s="812" customFormat="1" ht="15.95" customHeight="1">
      <c r="A78" s="1814"/>
      <c r="B78" s="1808"/>
      <c r="C78" s="1049" t="s">
        <v>386</v>
      </c>
      <c r="D78" s="1050">
        <f>ROUND(+D77*$I78,0)</f>
        <v>476</v>
      </c>
      <c r="E78" s="1050">
        <f>ROUND(+E77*$I78,0)</f>
        <v>476</v>
      </c>
      <c r="F78" s="1050">
        <f>ROUND(+F77*$I78,0)</f>
        <v>476</v>
      </c>
      <c r="G78" s="1050">
        <f>ROUND(+G77*$I78,0)</f>
        <v>476</v>
      </c>
      <c r="H78" s="1050">
        <f>ROUND(+H77*$I78,0)</f>
        <v>476</v>
      </c>
      <c r="I78" s="1816">
        <v>1.5</v>
      </c>
      <c r="J78" s="1817"/>
    </row>
    <row r="79" spans="1:10" ht="15.95" customHeight="1">
      <c r="A79" s="1814"/>
      <c r="B79" s="1808" t="s">
        <v>1913</v>
      </c>
      <c r="C79" s="1049" t="s">
        <v>384</v>
      </c>
      <c r="D79" s="1050">
        <f>ROUND(+D55*D62/100,0)</f>
        <v>204</v>
      </c>
      <c r="E79" s="1050">
        <f t="shared" ref="E79:H79" si="13">ROUND(+E55*E62/100,0)</f>
        <v>204</v>
      </c>
      <c r="F79" s="1050">
        <f t="shared" si="13"/>
        <v>204</v>
      </c>
      <c r="G79" s="1050">
        <f t="shared" si="13"/>
        <v>204</v>
      </c>
      <c r="H79" s="1050">
        <f t="shared" si="13"/>
        <v>204</v>
      </c>
      <c r="I79" s="1816">
        <v>0.8</v>
      </c>
      <c r="J79" s="1817"/>
    </row>
    <row r="80" spans="1:10" ht="15.95" customHeight="1">
      <c r="A80" s="1814"/>
      <c r="B80" s="1808"/>
      <c r="C80" s="1049" t="s">
        <v>385</v>
      </c>
      <c r="D80" s="1050">
        <f>ROUNDDOWN(+D79/$I79,0)</f>
        <v>255</v>
      </c>
      <c r="E80" s="1050">
        <f>ROUNDDOWN(+E79/$I79,0)</f>
        <v>255</v>
      </c>
      <c r="F80" s="1050">
        <f>ROUNDDOWN(+F79/$I79,0)</f>
        <v>255</v>
      </c>
      <c r="G80" s="1050">
        <f>ROUNDDOWN(+G79/$I79,0)</f>
        <v>255</v>
      </c>
      <c r="H80" s="1050">
        <f>ROUNDDOWN(+H79/$I79,0)</f>
        <v>255</v>
      </c>
      <c r="I80" s="1816">
        <v>1</v>
      </c>
      <c r="J80" s="1817"/>
    </row>
    <row r="81" spans="1:10" ht="15.95" customHeight="1">
      <c r="A81" s="1814"/>
      <c r="B81" s="1808"/>
      <c r="C81" s="1049" t="s">
        <v>386</v>
      </c>
      <c r="D81" s="1050">
        <f>ROUND(+D80*$I81,0)</f>
        <v>383</v>
      </c>
      <c r="E81" s="1050">
        <f>ROUND(+E80*$I81,0)</f>
        <v>383</v>
      </c>
      <c r="F81" s="1050">
        <f>ROUND(+F80*$I81,0)</f>
        <v>383</v>
      </c>
      <c r="G81" s="1050">
        <f>ROUND(+G80*$I81,0)</f>
        <v>383</v>
      </c>
      <c r="H81" s="1050">
        <f>ROUND(+H80*$I81,0)</f>
        <v>383</v>
      </c>
      <c r="I81" s="1816">
        <v>1.5</v>
      </c>
      <c r="J81" s="1817"/>
    </row>
    <row r="82" spans="1:10" s="812" customFormat="1" ht="15.95" customHeight="1">
      <c r="A82" s="1814"/>
      <c r="B82" s="1808" t="s">
        <v>948</v>
      </c>
      <c r="C82" s="1049" t="s">
        <v>384</v>
      </c>
      <c r="D82" s="1050">
        <f>ROUND(+D56*D63/100,0)</f>
        <v>244</v>
      </c>
      <c r="E82" s="1050">
        <f t="shared" ref="E82:H82" si="14">ROUND(+E56*E63/100,0)</f>
        <v>244</v>
      </c>
      <c r="F82" s="1050">
        <f t="shared" si="14"/>
        <v>244</v>
      </c>
      <c r="G82" s="1050">
        <f t="shared" si="14"/>
        <v>244</v>
      </c>
      <c r="H82" s="1050">
        <f t="shared" si="14"/>
        <v>244</v>
      </c>
      <c r="I82" s="1816">
        <v>0.8</v>
      </c>
      <c r="J82" s="1817"/>
    </row>
    <row r="83" spans="1:10" s="812" customFormat="1" ht="15.95" customHeight="1">
      <c r="A83" s="1814"/>
      <c r="B83" s="1808"/>
      <c r="C83" s="1049" t="s">
        <v>385</v>
      </c>
      <c r="D83" s="1050">
        <f>ROUNDDOWN(+D82/$I82,0)</f>
        <v>305</v>
      </c>
      <c r="E83" s="1050">
        <f>ROUNDDOWN(+E82/$I82,0)</f>
        <v>305</v>
      </c>
      <c r="F83" s="1050">
        <f>ROUNDDOWN(+F82/$I82,0)</f>
        <v>305</v>
      </c>
      <c r="G83" s="1050">
        <f>ROUNDDOWN(+G82/$I82,0)</f>
        <v>305</v>
      </c>
      <c r="H83" s="1050">
        <f>ROUNDDOWN(+H82/$I82,0)</f>
        <v>305</v>
      </c>
      <c r="I83" s="1816">
        <v>1</v>
      </c>
      <c r="J83" s="1817"/>
    </row>
    <row r="84" spans="1:10" s="812" customFormat="1" ht="15.95" customHeight="1">
      <c r="A84" s="1815"/>
      <c r="B84" s="1809"/>
      <c r="C84" s="1110" t="s">
        <v>386</v>
      </c>
      <c r="D84" s="1116">
        <f>ROUND(+D83*$I84,0)</f>
        <v>458</v>
      </c>
      <c r="E84" s="1116">
        <f>ROUND(+E83*$I84,0)</f>
        <v>458</v>
      </c>
      <c r="F84" s="1116">
        <f>ROUND(+F83*$I84,0)</f>
        <v>458</v>
      </c>
      <c r="G84" s="1116">
        <f>ROUND(+G83*$I84,0)</f>
        <v>458</v>
      </c>
      <c r="H84" s="1116">
        <f>ROUND(+H83*$I84,0)</f>
        <v>458</v>
      </c>
      <c r="I84" s="1818">
        <v>1.5</v>
      </c>
      <c r="J84" s="1819"/>
    </row>
    <row r="85" spans="1:10" s="812" customFormat="1" ht="20.100000000000001" customHeight="1">
      <c r="A85" s="1853" t="s">
        <v>268</v>
      </c>
      <c r="B85" s="1832"/>
      <c r="C85" s="1832"/>
      <c r="D85" s="1832" t="s">
        <v>380</v>
      </c>
      <c r="E85" s="1832"/>
      <c r="F85" s="1832"/>
      <c r="G85" s="1832"/>
      <c r="H85" s="1832"/>
      <c r="I85" s="1832" t="s">
        <v>45</v>
      </c>
      <c r="J85" s="1833"/>
    </row>
    <row r="86" spans="1:10" s="812" customFormat="1" ht="20.100000000000001" customHeight="1">
      <c r="A86" s="1854"/>
      <c r="B86" s="1834"/>
      <c r="C86" s="1834"/>
      <c r="D86" s="1471" t="s">
        <v>869</v>
      </c>
      <c r="E86" s="1471" t="s">
        <v>287</v>
      </c>
      <c r="F86" s="1471" t="s">
        <v>288</v>
      </c>
      <c r="G86" s="1471" t="s">
        <v>389</v>
      </c>
      <c r="H86" s="1471" t="s">
        <v>278</v>
      </c>
      <c r="I86" s="1834"/>
      <c r="J86" s="1835"/>
    </row>
    <row r="87" spans="1:10" ht="20.100000000000001" customHeight="1">
      <c r="A87" s="1814" t="s">
        <v>391</v>
      </c>
      <c r="B87" s="1821" t="s">
        <v>944</v>
      </c>
      <c r="C87" s="1469" t="s">
        <v>384</v>
      </c>
      <c r="D87" s="1470">
        <f>+D88</f>
        <v>30</v>
      </c>
      <c r="E87" s="1470">
        <f t="shared" ref="E87:H87" si="15">+E88</f>
        <v>30</v>
      </c>
      <c r="F87" s="1470">
        <f t="shared" si="15"/>
        <v>30</v>
      </c>
      <c r="G87" s="1470">
        <f t="shared" si="15"/>
        <v>30</v>
      </c>
      <c r="H87" s="1470">
        <f t="shared" si="15"/>
        <v>30</v>
      </c>
      <c r="I87" s="1880"/>
      <c r="J87" s="1881"/>
    </row>
    <row r="88" spans="1:10" ht="20.100000000000001" customHeight="1">
      <c r="A88" s="1814"/>
      <c r="B88" s="1808"/>
      <c r="C88" s="1049" t="s">
        <v>385</v>
      </c>
      <c r="D88" s="1051">
        <f>ROUND(+D65*0.1,0)</f>
        <v>30</v>
      </c>
      <c r="E88" s="1051">
        <f t="shared" ref="E88:H88" si="16">ROUND(+E65*0.1,0)</f>
        <v>30</v>
      </c>
      <c r="F88" s="1051">
        <f t="shared" si="16"/>
        <v>30</v>
      </c>
      <c r="G88" s="1051">
        <f t="shared" si="16"/>
        <v>30</v>
      </c>
      <c r="H88" s="1051">
        <f t="shared" si="16"/>
        <v>30</v>
      </c>
      <c r="I88" s="1810"/>
      <c r="J88" s="1811"/>
    </row>
    <row r="89" spans="1:10" ht="20.100000000000001" customHeight="1">
      <c r="A89" s="1814"/>
      <c r="B89" s="1808"/>
      <c r="C89" s="1049" t="s">
        <v>386</v>
      </c>
      <c r="D89" s="1051">
        <f>+D88</f>
        <v>30</v>
      </c>
      <c r="E89" s="1051">
        <f t="shared" ref="E89:H89" si="17">+E88</f>
        <v>30</v>
      </c>
      <c r="F89" s="1051">
        <f t="shared" si="17"/>
        <v>30</v>
      </c>
      <c r="G89" s="1051">
        <f t="shared" si="17"/>
        <v>30</v>
      </c>
      <c r="H89" s="1051">
        <f t="shared" si="17"/>
        <v>30</v>
      </c>
      <c r="I89" s="1810"/>
      <c r="J89" s="1811"/>
    </row>
    <row r="90" spans="1:10" ht="20.100000000000001" customHeight="1">
      <c r="A90" s="1814"/>
      <c r="B90" s="1808" t="s">
        <v>945</v>
      </c>
      <c r="C90" s="1049" t="s">
        <v>384</v>
      </c>
      <c r="D90" s="1051">
        <f>+D91</f>
        <v>32</v>
      </c>
      <c r="E90" s="1051">
        <f t="shared" ref="E90" si="18">+E91</f>
        <v>32</v>
      </c>
      <c r="F90" s="1051">
        <f t="shared" ref="F90" si="19">+F91</f>
        <v>32</v>
      </c>
      <c r="G90" s="1051">
        <f t="shared" ref="G90" si="20">+G91</f>
        <v>32</v>
      </c>
      <c r="H90" s="1051">
        <f t="shared" ref="H90" si="21">+H91</f>
        <v>32</v>
      </c>
      <c r="I90" s="1810"/>
      <c r="J90" s="1811"/>
    </row>
    <row r="91" spans="1:10" ht="20.100000000000001" customHeight="1">
      <c r="A91" s="1814"/>
      <c r="B91" s="1808"/>
      <c r="C91" s="1049" t="s">
        <v>385</v>
      </c>
      <c r="D91" s="1051">
        <f>ROUND(+D68*0.1,0)</f>
        <v>32</v>
      </c>
      <c r="E91" s="1051">
        <f t="shared" ref="E91:H91" si="22">ROUND(+E68*0.1,0)</f>
        <v>32</v>
      </c>
      <c r="F91" s="1051">
        <f t="shared" si="22"/>
        <v>32</v>
      </c>
      <c r="G91" s="1051">
        <f t="shared" si="22"/>
        <v>32</v>
      </c>
      <c r="H91" s="1051">
        <f t="shared" si="22"/>
        <v>32</v>
      </c>
      <c r="I91" s="1810"/>
      <c r="J91" s="1811"/>
    </row>
    <row r="92" spans="1:10" ht="20.100000000000001" customHeight="1">
      <c r="A92" s="1814"/>
      <c r="B92" s="1808"/>
      <c r="C92" s="1049" t="s">
        <v>386</v>
      </c>
      <c r="D92" s="1051">
        <f>+D91</f>
        <v>32</v>
      </c>
      <c r="E92" s="1051">
        <f t="shared" ref="E92" si="23">+E91</f>
        <v>32</v>
      </c>
      <c r="F92" s="1051">
        <f t="shared" ref="F92" si="24">+F91</f>
        <v>32</v>
      </c>
      <c r="G92" s="1051">
        <f t="shared" ref="G92" si="25">+G91</f>
        <v>32</v>
      </c>
      <c r="H92" s="1051">
        <f t="shared" ref="H92" si="26">+H91</f>
        <v>32</v>
      </c>
      <c r="I92" s="1810"/>
      <c r="J92" s="1811"/>
    </row>
    <row r="93" spans="1:10" ht="20.100000000000001" customHeight="1">
      <c r="A93" s="1814"/>
      <c r="B93" s="1808" t="s">
        <v>949</v>
      </c>
      <c r="C93" s="1049" t="s">
        <v>384</v>
      </c>
      <c r="D93" s="1051">
        <f>+D94</f>
        <v>31</v>
      </c>
      <c r="E93" s="1051">
        <f t="shared" ref="E93" si="27">+E94</f>
        <v>31</v>
      </c>
      <c r="F93" s="1051">
        <f t="shared" ref="F93" si="28">+F94</f>
        <v>31</v>
      </c>
      <c r="G93" s="1051">
        <f t="shared" ref="G93" si="29">+G94</f>
        <v>31</v>
      </c>
      <c r="H93" s="1051">
        <f t="shared" ref="H93" si="30">+H94</f>
        <v>31</v>
      </c>
      <c r="I93" s="1810"/>
      <c r="J93" s="1811"/>
    </row>
    <row r="94" spans="1:10" ht="20.100000000000001" customHeight="1">
      <c r="A94" s="1814"/>
      <c r="B94" s="1808"/>
      <c r="C94" s="1049" t="s">
        <v>385</v>
      </c>
      <c r="D94" s="1051">
        <f>ROUND(+D71*0.1,0)</f>
        <v>31</v>
      </c>
      <c r="E94" s="1051">
        <f t="shared" ref="E94:H94" si="31">ROUND(+E71*0.1,0)</f>
        <v>31</v>
      </c>
      <c r="F94" s="1051">
        <f t="shared" si="31"/>
        <v>31</v>
      </c>
      <c r="G94" s="1051">
        <f t="shared" si="31"/>
        <v>31</v>
      </c>
      <c r="H94" s="1051">
        <f t="shared" si="31"/>
        <v>31</v>
      </c>
      <c r="I94" s="1810"/>
      <c r="J94" s="1811"/>
    </row>
    <row r="95" spans="1:10" ht="20.100000000000001" customHeight="1">
      <c r="A95" s="1814"/>
      <c r="B95" s="1808"/>
      <c r="C95" s="1049" t="s">
        <v>386</v>
      </c>
      <c r="D95" s="1051">
        <f>+D94</f>
        <v>31</v>
      </c>
      <c r="E95" s="1051">
        <f t="shared" ref="E95" si="32">+E94</f>
        <v>31</v>
      </c>
      <c r="F95" s="1051">
        <f t="shared" ref="F95" si="33">+F94</f>
        <v>31</v>
      </c>
      <c r="G95" s="1051">
        <f t="shared" ref="G95" si="34">+G94</f>
        <v>31</v>
      </c>
      <c r="H95" s="1051">
        <f t="shared" ref="H95" si="35">+H94</f>
        <v>31</v>
      </c>
      <c r="I95" s="1810"/>
      <c r="J95" s="1811"/>
    </row>
    <row r="96" spans="1:10" s="812" customFormat="1" ht="20.100000000000001" customHeight="1">
      <c r="A96" s="1814"/>
      <c r="B96" s="1808" t="s">
        <v>1582</v>
      </c>
      <c r="C96" s="1049" t="s">
        <v>384</v>
      </c>
      <c r="D96" s="1051">
        <f>+D97</f>
        <v>26</v>
      </c>
      <c r="E96" s="1051">
        <f t="shared" ref="E96:H96" si="36">+E97</f>
        <v>26</v>
      </c>
      <c r="F96" s="1051">
        <f t="shared" si="36"/>
        <v>26</v>
      </c>
      <c r="G96" s="1051">
        <f t="shared" si="36"/>
        <v>26</v>
      </c>
      <c r="H96" s="1051">
        <f t="shared" si="36"/>
        <v>26</v>
      </c>
      <c r="I96" s="1810"/>
      <c r="J96" s="1811"/>
    </row>
    <row r="97" spans="1:18" s="812" customFormat="1" ht="20.100000000000001" customHeight="1">
      <c r="A97" s="1814"/>
      <c r="B97" s="1808"/>
      <c r="C97" s="1049" t="s">
        <v>385</v>
      </c>
      <c r="D97" s="1051">
        <f>ROUND(+D74*0.1,0)</f>
        <v>26</v>
      </c>
      <c r="E97" s="1051">
        <f t="shared" ref="E97:H97" si="37">ROUND(+E74*0.1,0)</f>
        <v>26</v>
      </c>
      <c r="F97" s="1051">
        <f t="shared" si="37"/>
        <v>26</v>
      </c>
      <c r="G97" s="1051">
        <f t="shared" si="37"/>
        <v>26</v>
      </c>
      <c r="H97" s="1051">
        <f t="shared" si="37"/>
        <v>26</v>
      </c>
      <c r="I97" s="1810"/>
      <c r="J97" s="1811"/>
    </row>
    <row r="98" spans="1:18" s="812" customFormat="1" ht="20.100000000000001" customHeight="1">
      <c r="A98" s="1814"/>
      <c r="B98" s="1808"/>
      <c r="C98" s="1049" t="s">
        <v>386</v>
      </c>
      <c r="D98" s="1051">
        <f>+D97</f>
        <v>26</v>
      </c>
      <c r="E98" s="1051">
        <f t="shared" ref="E98:H98" si="38">+E97</f>
        <v>26</v>
      </c>
      <c r="F98" s="1051">
        <f t="shared" si="38"/>
        <v>26</v>
      </c>
      <c r="G98" s="1051">
        <f t="shared" si="38"/>
        <v>26</v>
      </c>
      <c r="H98" s="1051">
        <f t="shared" si="38"/>
        <v>26</v>
      </c>
      <c r="I98" s="1810"/>
      <c r="J98" s="1811"/>
    </row>
    <row r="99" spans="1:18" s="812" customFormat="1" ht="20.100000000000001" customHeight="1">
      <c r="A99" s="1814"/>
      <c r="B99" s="1808" t="s">
        <v>952</v>
      </c>
      <c r="C99" s="1049" t="s">
        <v>384</v>
      </c>
      <c r="D99" s="1051">
        <f>+D100</f>
        <v>32</v>
      </c>
      <c r="E99" s="1051">
        <f t="shared" ref="E99:H99" si="39">+E100</f>
        <v>32</v>
      </c>
      <c r="F99" s="1051">
        <f t="shared" si="39"/>
        <v>32</v>
      </c>
      <c r="G99" s="1051">
        <f t="shared" si="39"/>
        <v>32</v>
      </c>
      <c r="H99" s="1051">
        <f t="shared" si="39"/>
        <v>32</v>
      </c>
      <c r="I99" s="1810"/>
      <c r="J99" s="1811"/>
    </row>
    <row r="100" spans="1:18" s="812" customFormat="1" ht="20.100000000000001" customHeight="1">
      <c r="A100" s="1814"/>
      <c r="B100" s="1808"/>
      <c r="C100" s="1049" t="s">
        <v>385</v>
      </c>
      <c r="D100" s="1051">
        <f>ROUND(+D77*0.1,0)</f>
        <v>32</v>
      </c>
      <c r="E100" s="1051">
        <f t="shared" ref="E100:H100" si="40">ROUND(+E77*0.1,0)</f>
        <v>32</v>
      </c>
      <c r="F100" s="1051">
        <f t="shared" si="40"/>
        <v>32</v>
      </c>
      <c r="G100" s="1051">
        <f t="shared" si="40"/>
        <v>32</v>
      </c>
      <c r="H100" s="1051">
        <f t="shared" si="40"/>
        <v>32</v>
      </c>
      <c r="I100" s="1810"/>
      <c r="J100" s="1811"/>
    </row>
    <row r="101" spans="1:18" s="812" customFormat="1" ht="20.100000000000001" customHeight="1">
      <c r="A101" s="1814"/>
      <c r="B101" s="1808"/>
      <c r="C101" s="1049" t="s">
        <v>386</v>
      </c>
      <c r="D101" s="1051">
        <f>+D100</f>
        <v>32</v>
      </c>
      <c r="E101" s="1051">
        <f t="shared" ref="E101:H101" si="41">+E100</f>
        <v>32</v>
      </c>
      <c r="F101" s="1051">
        <f t="shared" si="41"/>
        <v>32</v>
      </c>
      <c r="G101" s="1051">
        <f t="shared" si="41"/>
        <v>32</v>
      </c>
      <c r="H101" s="1051">
        <f t="shared" si="41"/>
        <v>32</v>
      </c>
      <c r="I101" s="1810"/>
      <c r="J101" s="1811"/>
    </row>
    <row r="102" spans="1:18" ht="20.100000000000001" customHeight="1">
      <c r="A102" s="1814"/>
      <c r="B102" s="1808" t="s">
        <v>1912</v>
      </c>
      <c r="C102" s="1049" t="s">
        <v>384</v>
      </c>
      <c r="D102" s="1051">
        <f>+D103</f>
        <v>26</v>
      </c>
      <c r="E102" s="1051">
        <f t="shared" ref="E102" si="42">+E103</f>
        <v>26</v>
      </c>
      <c r="F102" s="1051">
        <f t="shared" ref="F102" si="43">+F103</f>
        <v>26</v>
      </c>
      <c r="G102" s="1051">
        <f t="shared" ref="G102" si="44">+G103</f>
        <v>26</v>
      </c>
      <c r="H102" s="1051">
        <f t="shared" ref="H102" si="45">+H103</f>
        <v>26</v>
      </c>
      <c r="I102" s="1810"/>
      <c r="J102" s="1811"/>
    </row>
    <row r="103" spans="1:18" ht="20.100000000000001" customHeight="1">
      <c r="A103" s="1814"/>
      <c r="B103" s="1808"/>
      <c r="C103" s="1049" t="s">
        <v>385</v>
      </c>
      <c r="D103" s="1051">
        <f>ROUND(+D80*0.1,0)</f>
        <v>26</v>
      </c>
      <c r="E103" s="1051">
        <f t="shared" ref="E103:H103" si="46">ROUND(+E80*0.1,0)</f>
        <v>26</v>
      </c>
      <c r="F103" s="1051">
        <f t="shared" si="46"/>
        <v>26</v>
      </c>
      <c r="G103" s="1051">
        <f t="shared" si="46"/>
        <v>26</v>
      </c>
      <c r="H103" s="1051">
        <f t="shared" si="46"/>
        <v>26</v>
      </c>
      <c r="I103" s="1810"/>
      <c r="J103" s="1811"/>
    </row>
    <row r="104" spans="1:18" ht="20.100000000000001" customHeight="1">
      <c r="A104" s="1814"/>
      <c r="B104" s="1808"/>
      <c r="C104" s="1049" t="s">
        <v>386</v>
      </c>
      <c r="D104" s="1051">
        <f>+D103</f>
        <v>26</v>
      </c>
      <c r="E104" s="1051">
        <f t="shared" ref="E104" si="47">+E103</f>
        <v>26</v>
      </c>
      <c r="F104" s="1051">
        <f t="shared" ref="F104" si="48">+F103</f>
        <v>26</v>
      </c>
      <c r="G104" s="1051">
        <f t="shared" ref="G104" si="49">+G103</f>
        <v>26</v>
      </c>
      <c r="H104" s="1051">
        <f t="shared" ref="H104" si="50">+H103</f>
        <v>26</v>
      </c>
      <c r="I104" s="1810"/>
      <c r="J104" s="1811"/>
    </row>
    <row r="105" spans="1:18" s="812" customFormat="1" ht="20.100000000000001" customHeight="1">
      <c r="A105" s="1814"/>
      <c r="B105" s="1808" t="s">
        <v>948</v>
      </c>
      <c r="C105" s="1049" t="s">
        <v>384</v>
      </c>
      <c r="D105" s="1051">
        <f>+D106</f>
        <v>31</v>
      </c>
      <c r="E105" s="1051">
        <f t="shared" ref="E105:H105" si="51">+E106</f>
        <v>31</v>
      </c>
      <c r="F105" s="1051">
        <f t="shared" si="51"/>
        <v>31</v>
      </c>
      <c r="G105" s="1051">
        <f t="shared" si="51"/>
        <v>31</v>
      </c>
      <c r="H105" s="1051">
        <f t="shared" si="51"/>
        <v>31</v>
      </c>
      <c r="I105" s="1810"/>
      <c r="J105" s="1811"/>
    </row>
    <row r="106" spans="1:18" s="812" customFormat="1" ht="20.100000000000001" customHeight="1">
      <c r="A106" s="1814"/>
      <c r="B106" s="1808"/>
      <c r="C106" s="1049" t="s">
        <v>385</v>
      </c>
      <c r="D106" s="1051">
        <f>ROUND(+D83*0.1,0)</f>
        <v>31</v>
      </c>
      <c r="E106" s="1051">
        <f t="shared" ref="E106:H106" si="52">ROUND(+E83*0.1,0)</f>
        <v>31</v>
      </c>
      <c r="F106" s="1051">
        <f t="shared" si="52"/>
        <v>31</v>
      </c>
      <c r="G106" s="1051">
        <f t="shared" si="52"/>
        <v>31</v>
      </c>
      <c r="H106" s="1051">
        <f t="shared" si="52"/>
        <v>31</v>
      </c>
      <c r="I106" s="1810"/>
      <c r="J106" s="1811"/>
    </row>
    <row r="107" spans="1:18" s="812" customFormat="1" ht="20.100000000000001" customHeight="1">
      <c r="A107" s="1815"/>
      <c r="B107" s="1809"/>
      <c r="C107" s="1110" t="s">
        <v>386</v>
      </c>
      <c r="D107" s="1111">
        <f>+D106</f>
        <v>31</v>
      </c>
      <c r="E107" s="1111">
        <f t="shared" ref="E107:H107" si="53">+E106</f>
        <v>31</v>
      </c>
      <c r="F107" s="1111">
        <f t="shared" si="53"/>
        <v>31</v>
      </c>
      <c r="G107" s="1111">
        <f t="shared" si="53"/>
        <v>31</v>
      </c>
      <c r="H107" s="1111">
        <f t="shared" si="53"/>
        <v>31</v>
      </c>
      <c r="I107" s="1812"/>
      <c r="J107" s="1813"/>
    </row>
    <row r="109" spans="1:18" ht="24.95" customHeight="1">
      <c r="A109" t="s">
        <v>763</v>
      </c>
      <c r="L109" s="467"/>
      <c r="M109" s="467"/>
      <c r="N109" s="468"/>
      <c r="O109" s="468"/>
      <c r="P109" s="468"/>
      <c r="Q109" s="468"/>
      <c r="R109" s="467"/>
    </row>
    <row r="110" spans="1:18" ht="24.95" customHeight="1">
      <c r="A110" s="1873" t="s">
        <v>394</v>
      </c>
      <c r="B110" s="1874"/>
      <c r="C110" s="1874"/>
      <c r="D110" s="303" t="s">
        <v>413</v>
      </c>
      <c r="E110" s="303" t="s">
        <v>286</v>
      </c>
      <c r="F110" s="303" t="s">
        <v>287</v>
      </c>
      <c r="G110" s="303" t="s">
        <v>288</v>
      </c>
      <c r="H110" s="303"/>
      <c r="I110" s="1874" t="s">
        <v>395</v>
      </c>
      <c r="J110" s="1875"/>
      <c r="L110" s="467"/>
      <c r="M110" s="467"/>
      <c r="N110" s="468"/>
      <c r="O110" s="468"/>
      <c r="P110" s="468"/>
      <c r="Q110" s="468"/>
      <c r="R110" s="467"/>
    </row>
    <row r="111" spans="1:18" ht="24.95" customHeight="1">
      <c r="A111" s="1869" t="s">
        <v>393</v>
      </c>
      <c r="B111" s="1871" t="s">
        <v>505</v>
      </c>
      <c r="C111" s="296" t="s">
        <v>384</v>
      </c>
      <c r="D111" s="364">
        <v>220</v>
      </c>
      <c r="E111" s="364">
        <v>220</v>
      </c>
      <c r="F111" s="364">
        <v>220</v>
      </c>
      <c r="G111" s="364">
        <v>220</v>
      </c>
      <c r="H111" s="364"/>
      <c r="I111" s="1876"/>
      <c r="J111" s="1877"/>
      <c r="L111" s="466"/>
      <c r="M111" s="463"/>
      <c r="N111" s="464"/>
      <c r="O111" s="464"/>
      <c r="P111" s="464"/>
      <c r="Q111" s="464"/>
      <c r="R111" s="466"/>
    </row>
    <row r="112" spans="1:18" ht="24.95" customHeight="1">
      <c r="A112" s="1869"/>
      <c r="B112" s="1871"/>
      <c r="C112" s="296" t="s">
        <v>385</v>
      </c>
      <c r="D112" s="365">
        <v>275</v>
      </c>
      <c r="E112" s="365">
        <v>275</v>
      </c>
      <c r="F112" s="365">
        <v>275</v>
      </c>
      <c r="G112" s="365">
        <v>275</v>
      </c>
      <c r="H112" s="365"/>
      <c r="I112" s="1876"/>
      <c r="J112" s="1877"/>
      <c r="L112" s="466"/>
      <c r="M112" s="463"/>
      <c r="N112" s="464"/>
      <c r="O112" s="464"/>
      <c r="P112" s="464"/>
      <c r="Q112" s="464"/>
      <c r="R112" s="466"/>
    </row>
    <row r="113" spans="1:18" ht="24.95" customHeight="1">
      <c r="A113" s="1869"/>
      <c r="B113" s="1871"/>
      <c r="C113" s="296" t="s">
        <v>386</v>
      </c>
      <c r="D113" s="364">
        <v>413</v>
      </c>
      <c r="E113" s="364">
        <v>413</v>
      </c>
      <c r="F113" s="364">
        <v>413</v>
      </c>
      <c r="G113" s="364">
        <v>413</v>
      </c>
      <c r="H113" s="364"/>
      <c r="I113" s="1876"/>
      <c r="J113" s="1877"/>
      <c r="L113" s="466"/>
      <c r="M113" s="463"/>
      <c r="N113" s="464"/>
      <c r="O113" s="464"/>
      <c r="P113" s="464"/>
      <c r="Q113" s="464"/>
      <c r="R113" s="466"/>
    </row>
    <row r="114" spans="1:18" ht="24.95" customHeight="1">
      <c r="A114" s="1869"/>
      <c r="B114" s="1871" t="s">
        <v>506</v>
      </c>
      <c r="C114" s="296" t="s">
        <v>384</v>
      </c>
      <c r="D114" s="365">
        <v>190</v>
      </c>
      <c r="E114" s="365">
        <v>190</v>
      </c>
      <c r="F114" s="365">
        <v>190</v>
      </c>
      <c r="G114" s="365">
        <v>190</v>
      </c>
      <c r="H114" s="365"/>
      <c r="I114" s="1876"/>
      <c r="J114" s="1877"/>
      <c r="L114" s="466"/>
      <c r="M114" s="463"/>
      <c r="N114" s="464"/>
      <c r="O114" s="464"/>
      <c r="P114" s="464"/>
      <c r="Q114" s="464"/>
      <c r="R114" s="466"/>
    </row>
    <row r="115" spans="1:18" ht="24.95" customHeight="1">
      <c r="A115" s="1869"/>
      <c r="B115" s="1871"/>
      <c r="C115" s="296" t="s">
        <v>385</v>
      </c>
      <c r="D115" s="365">
        <v>238</v>
      </c>
      <c r="E115" s="365">
        <v>238</v>
      </c>
      <c r="F115" s="365">
        <v>238</v>
      </c>
      <c r="G115" s="365">
        <v>238</v>
      </c>
      <c r="H115" s="365"/>
      <c r="I115" s="1876"/>
      <c r="J115" s="1877"/>
      <c r="L115" s="466"/>
      <c r="M115" s="463"/>
      <c r="N115" s="464"/>
      <c r="O115" s="464"/>
      <c r="P115" s="464"/>
      <c r="Q115" s="464"/>
      <c r="R115" s="466"/>
    </row>
    <row r="116" spans="1:18" ht="24.95" customHeight="1">
      <c r="A116" s="1869"/>
      <c r="B116" s="1871"/>
      <c r="C116" s="296" t="s">
        <v>386</v>
      </c>
      <c r="D116" s="364">
        <v>357</v>
      </c>
      <c r="E116" s="364">
        <v>357</v>
      </c>
      <c r="F116" s="364">
        <v>357</v>
      </c>
      <c r="G116" s="364">
        <v>357</v>
      </c>
      <c r="H116" s="364"/>
      <c r="I116" s="1876"/>
      <c r="J116" s="1877"/>
      <c r="L116" s="466"/>
      <c r="M116" s="463"/>
      <c r="N116" s="464"/>
      <c r="O116" s="464"/>
      <c r="P116" s="464"/>
      <c r="Q116" s="464"/>
      <c r="R116" s="466"/>
    </row>
    <row r="117" spans="1:18" ht="24.95" customHeight="1">
      <c r="A117" s="1869"/>
      <c r="B117" s="1871" t="s">
        <v>507</v>
      </c>
      <c r="C117" s="296" t="s">
        <v>384</v>
      </c>
      <c r="D117" s="365">
        <v>231</v>
      </c>
      <c r="E117" s="365">
        <v>231</v>
      </c>
      <c r="F117" s="365">
        <v>231</v>
      </c>
      <c r="G117" s="365">
        <v>231</v>
      </c>
      <c r="H117" s="365"/>
      <c r="I117" s="1876"/>
      <c r="J117" s="1877"/>
      <c r="L117" s="466"/>
      <c r="M117" s="463"/>
      <c r="N117" s="464"/>
      <c r="O117" s="464"/>
      <c r="P117" s="464"/>
      <c r="Q117" s="464"/>
      <c r="R117" s="466"/>
    </row>
    <row r="118" spans="1:18" ht="24.95" customHeight="1">
      <c r="A118" s="1869"/>
      <c r="B118" s="1871"/>
      <c r="C118" s="296" t="s">
        <v>385</v>
      </c>
      <c r="D118" s="365">
        <v>289</v>
      </c>
      <c r="E118" s="365">
        <v>289</v>
      </c>
      <c r="F118" s="365">
        <v>289</v>
      </c>
      <c r="G118" s="365">
        <v>289</v>
      </c>
      <c r="H118" s="365"/>
      <c r="I118" s="1876"/>
      <c r="J118" s="1877"/>
      <c r="L118" s="466"/>
      <c r="M118" s="463"/>
      <c r="N118" s="464"/>
      <c r="O118" s="464"/>
      <c r="P118" s="464"/>
      <c r="Q118" s="464"/>
      <c r="R118" s="466"/>
    </row>
    <row r="119" spans="1:18" ht="24.95" customHeight="1">
      <c r="A119" s="1869"/>
      <c r="B119" s="1871"/>
      <c r="C119" s="296" t="s">
        <v>386</v>
      </c>
      <c r="D119" s="364">
        <v>434</v>
      </c>
      <c r="E119" s="364">
        <v>434</v>
      </c>
      <c r="F119" s="364">
        <v>434</v>
      </c>
      <c r="G119" s="364">
        <v>434</v>
      </c>
      <c r="H119" s="364"/>
      <c r="I119" s="1876"/>
      <c r="J119" s="1877"/>
      <c r="L119" s="466"/>
      <c r="M119" s="463"/>
      <c r="N119" s="464"/>
      <c r="O119" s="464"/>
      <c r="P119" s="464"/>
      <c r="Q119" s="464"/>
      <c r="R119" s="466"/>
    </row>
    <row r="120" spans="1:18" ht="24.95" customHeight="1">
      <c r="A120" s="1869"/>
      <c r="B120" s="1871" t="s">
        <v>508</v>
      </c>
      <c r="C120" s="296" t="s">
        <v>384</v>
      </c>
      <c r="D120" s="365">
        <v>160</v>
      </c>
      <c r="E120" s="365">
        <v>160</v>
      </c>
      <c r="F120" s="365">
        <v>160</v>
      </c>
      <c r="G120" s="365">
        <v>160</v>
      </c>
      <c r="H120" s="365"/>
      <c r="I120" s="1876"/>
      <c r="J120" s="1877"/>
      <c r="L120" s="466"/>
      <c r="M120" s="463"/>
      <c r="N120" s="464"/>
      <c r="O120" s="464"/>
      <c r="P120" s="464"/>
      <c r="Q120" s="464"/>
      <c r="R120" s="463"/>
    </row>
    <row r="121" spans="1:18" ht="24.95" customHeight="1">
      <c r="A121" s="1869"/>
      <c r="B121" s="1871"/>
      <c r="C121" s="296" t="s">
        <v>385</v>
      </c>
      <c r="D121" s="365">
        <v>200</v>
      </c>
      <c r="E121" s="365">
        <v>200</v>
      </c>
      <c r="F121" s="365">
        <v>200</v>
      </c>
      <c r="G121" s="365">
        <v>200</v>
      </c>
      <c r="H121" s="365"/>
      <c r="I121" s="1876"/>
      <c r="J121" s="1877"/>
      <c r="L121" s="466"/>
      <c r="M121" s="463"/>
      <c r="N121" s="464"/>
      <c r="O121" s="464"/>
      <c r="P121" s="464"/>
      <c r="Q121" s="464"/>
      <c r="R121" s="463"/>
    </row>
    <row r="122" spans="1:18" ht="24.95" customHeight="1">
      <c r="A122" s="1870"/>
      <c r="B122" s="1872"/>
      <c r="C122" s="297" t="s">
        <v>386</v>
      </c>
      <c r="D122" s="366">
        <v>300</v>
      </c>
      <c r="E122" s="366">
        <v>300</v>
      </c>
      <c r="F122" s="366">
        <v>300</v>
      </c>
      <c r="G122" s="366">
        <v>300</v>
      </c>
      <c r="H122" s="366"/>
      <c r="I122" s="1878"/>
      <c r="J122" s="1879"/>
      <c r="L122" s="466"/>
      <c r="M122" s="463"/>
      <c r="N122" s="464"/>
      <c r="O122" s="464"/>
      <c r="P122" s="464"/>
      <c r="Q122" s="464"/>
      <c r="R122" s="465"/>
    </row>
  </sheetData>
  <mergeCells count="210">
    <mergeCell ref="D85:H85"/>
    <mergeCell ref="I85:J86"/>
    <mergeCell ref="I118:J118"/>
    <mergeCell ref="I119:J119"/>
    <mergeCell ref="I120:J120"/>
    <mergeCell ref="I121:J121"/>
    <mergeCell ref="I122:J122"/>
    <mergeCell ref="I103:J103"/>
    <mergeCell ref="I104:J104"/>
    <mergeCell ref="I92:J92"/>
    <mergeCell ref="I93:J93"/>
    <mergeCell ref="I94:J94"/>
    <mergeCell ref="I95:J95"/>
    <mergeCell ref="I102:J102"/>
    <mergeCell ref="I87:J87"/>
    <mergeCell ref="I88:J88"/>
    <mergeCell ref="I89:J89"/>
    <mergeCell ref="I90:J90"/>
    <mergeCell ref="I91:J91"/>
    <mergeCell ref="I99:J99"/>
    <mergeCell ref="I100:J100"/>
    <mergeCell ref="I101:J101"/>
    <mergeCell ref="I96:J96"/>
    <mergeCell ref="I97:J97"/>
    <mergeCell ref="A111:A122"/>
    <mergeCell ref="B111:B113"/>
    <mergeCell ref="B114:B116"/>
    <mergeCell ref="B117:B119"/>
    <mergeCell ref="B120:B122"/>
    <mergeCell ref="A110:C110"/>
    <mergeCell ref="I110:J110"/>
    <mergeCell ref="I111:J111"/>
    <mergeCell ref="I112:J112"/>
    <mergeCell ref="I113:J113"/>
    <mergeCell ref="I114:J114"/>
    <mergeCell ref="I115:J115"/>
    <mergeCell ref="I116:J116"/>
    <mergeCell ref="I117:J117"/>
    <mergeCell ref="I68:J68"/>
    <mergeCell ref="I69:J69"/>
    <mergeCell ref="I70:J70"/>
    <mergeCell ref="I76:J76"/>
    <mergeCell ref="I77:J77"/>
    <mergeCell ref="I78:J78"/>
    <mergeCell ref="I73:J73"/>
    <mergeCell ref="I74:J74"/>
    <mergeCell ref="I75:J75"/>
    <mergeCell ref="I37:J37"/>
    <mergeCell ref="I38:J38"/>
    <mergeCell ref="I41:J41"/>
    <mergeCell ref="I44:J44"/>
    <mergeCell ref="I45:J45"/>
    <mergeCell ref="I48:J48"/>
    <mergeCell ref="I51:J51"/>
    <mergeCell ref="I52:J52"/>
    <mergeCell ref="I55:J55"/>
    <mergeCell ref="I39:J39"/>
    <mergeCell ref="I40:J40"/>
    <mergeCell ref="I46:J46"/>
    <mergeCell ref="I47:J47"/>
    <mergeCell ref="I53:J53"/>
    <mergeCell ref="I54:J54"/>
    <mergeCell ref="I42:J42"/>
    <mergeCell ref="I49:J49"/>
    <mergeCell ref="I58:J58"/>
    <mergeCell ref="I59:J59"/>
    <mergeCell ref="I62:J62"/>
    <mergeCell ref="I64:J64"/>
    <mergeCell ref="I65:J65"/>
    <mergeCell ref="B51:C51"/>
    <mergeCell ref="B52:C52"/>
    <mergeCell ref="B55:C55"/>
    <mergeCell ref="B57:C57"/>
    <mergeCell ref="B58:C58"/>
    <mergeCell ref="B53:C53"/>
    <mergeCell ref="B54:C54"/>
    <mergeCell ref="B60:C60"/>
    <mergeCell ref="B61:C61"/>
    <mergeCell ref="I60:J60"/>
    <mergeCell ref="I61:J61"/>
    <mergeCell ref="B56:C56"/>
    <mergeCell ref="I56:J56"/>
    <mergeCell ref="I63:J63"/>
    <mergeCell ref="B59:C59"/>
    <mergeCell ref="B62:C62"/>
    <mergeCell ref="B44:C44"/>
    <mergeCell ref="B45:C45"/>
    <mergeCell ref="B48:C48"/>
    <mergeCell ref="B50:C50"/>
    <mergeCell ref="A34:C35"/>
    <mergeCell ref="B36:C36"/>
    <mergeCell ref="B37:C37"/>
    <mergeCell ref="B38:C38"/>
    <mergeCell ref="B41:C41"/>
    <mergeCell ref="B39:C39"/>
    <mergeCell ref="B40:C40"/>
    <mergeCell ref="B46:C46"/>
    <mergeCell ref="B47:C47"/>
    <mergeCell ref="B49:C49"/>
    <mergeCell ref="B42:C42"/>
    <mergeCell ref="A36:A42"/>
    <mergeCell ref="A43:A49"/>
    <mergeCell ref="A50:A56"/>
    <mergeCell ref="A27:C27"/>
    <mergeCell ref="A30:C30"/>
    <mergeCell ref="A31:C31"/>
    <mergeCell ref="A4:C4"/>
    <mergeCell ref="A5:C5"/>
    <mergeCell ref="A6:C6"/>
    <mergeCell ref="A7:C7"/>
    <mergeCell ref="A8:C9"/>
    <mergeCell ref="B43:C43"/>
    <mergeCell ref="A16:A17"/>
    <mergeCell ref="A10:C11"/>
    <mergeCell ref="A12:C12"/>
    <mergeCell ref="A13:C13"/>
    <mergeCell ref="B22:C22"/>
    <mergeCell ref="B67:B69"/>
    <mergeCell ref="B64:B66"/>
    <mergeCell ref="B76:B78"/>
    <mergeCell ref="B73:B75"/>
    <mergeCell ref="B99:B101"/>
    <mergeCell ref="B96:B98"/>
    <mergeCell ref="A85:C86"/>
    <mergeCell ref="B63:C63"/>
    <mergeCell ref="A57:A63"/>
    <mergeCell ref="F4:G4"/>
    <mergeCell ref="D8:I9"/>
    <mergeCell ref="H22:I22"/>
    <mergeCell ref="D4:E4"/>
    <mergeCell ref="H4:I4"/>
    <mergeCell ref="H5:I5"/>
    <mergeCell ref="H6:I6"/>
    <mergeCell ref="D12:I12"/>
    <mergeCell ref="F13:G13"/>
    <mergeCell ref="D13:E13"/>
    <mergeCell ref="D5:E5"/>
    <mergeCell ref="D6:E6"/>
    <mergeCell ref="D7:E7"/>
    <mergeCell ref="F5:G5"/>
    <mergeCell ref="D24:E24"/>
    <mergeCell ref="H13:I13"/>
    <mergeCell ref="J8:J9"/>
    <mergeCell ref="F7:G7"/>
    <mergeCell ref="F6:G6"/>
    <mergeCell ref="H7:I7"/>
    <mergeCell ref="J10:J11"/>
    <mergeCell ref="F24:G24"/>
    <mergeCell ref="H24:I24"/>
    <mergeCell ref="H18:I18"/>
    <mergeCell ref="H19:I19"/>
    <mergeCell ref="H20:I20"/>
    <mergeCell ref="J18:J22"/>
    <mergeCell ref="D19:E19"/>
    <mergeCell ref="F19:G19"/>
    <mergeCell ref="F22:G22"/>
    <mergeCell ref="D22:E22"/>
    <mergeCell ref="D20:E20"/>
    <mergeCell ref="D18:E18"/>
    <mergeCell ref="F18:G18"/>
    <mergeCell ref="H16:I17"/>
    <mergeCell ref="D10:I11"/>
    <mergeCell ref="I36:J36"/>
    <mergeCell ref="I57:J57"/>
    <mergeCell ref="I50:J50"/>
    <mergeCell ref="I43:J43"/>
    <mergeCell ref="J16:J17"/>
    <mergeCell ref="F20:G20"/>
    <mergeCell ref="F21:G21"/>
    <mergeCell ref="D17:E17"/>
    <mergeCell ref="F17:G17"/>
    <mergeCell ref="B16:G16"/>
    <mergeCell ref="D21:E21"/>
    <mergeCell ref="B17:C17"/>
    <mergeCell ref="B18:C18"/>
    <mergeCell ref="B19:C19"/>
    <mergeCell ref="B20:C20"/>
    <mergeCell ref="B21:C21"/>
    <mergeCell ref="D34:H34"/>
    <mergeCell ref="I34:J35"/>
    <mergeCell ref="H21:I21"/>
    <mergeCell ref="I27:J27"/>
    <mergeCell ref="I30:J30"/>
    <mergeCell ref="I31:J31"/>
    <mergeCell ref="I26:J26"/>
    <mergeCell ref="A26:C26"/>
    <mergeCell ref="B105:B107"/>
    <mergeCell ref="I105:J105"/>
    <mergeCell ref="I106:J106"/>
    <mergeCell ref="I107:J107"/>
    <mergeCell ref="A87:A107"/>
    <mergeCell ref="B82:B84"/>
    <mergeCell ref="I82:J82"/>
    <mergeCell ref="I83:J83"/>
    <mergeCell ref="I84:J84"/>
    <mergeCell ref="A64:A84"/>
    <mergeCell ref="B70:B72"/>
    <mergeCell ref="B79:B81"/>
    <mergeCell ref="B87:B89"/>
    <mergeCell ref="B90:B92"/>
    <mergeCell ref="B93:B95"/>
    <mergeCell ref="B102:B104"/>
    <mergeCell ref="I98:J98"/>
    <mergeCell ref="I71:J71"/>
    <mergeCell ref="I72:J72"/>
    <mergeCell ref="I79:J79"/>
    <mergeCell ref="I80:J80"/>
    <mergeCell ref="I81:J81"/>
    <mergeCell ref="I66:J66"/>
    <mergeCell ref="I67:J67"/>
  </mergeCells>
  <phoneticPr fontId="7" type="noConversion"/>
  <pageMargins left="0.7" right="0.7" top="0.75" bottom="0.75" header="0.3" footer="0.3"/>
  <pageSetup paperSize="9" scale="78" orientation="portrait" r:id="rId1"/>
  <rowBreaks count="2" manualBreakCount="2">
    <brk id="31" max="9" man="1"/>
    <brk id="84" max="9" man="1"/>
  </rowBreaks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J187"/>
  <sheetViews>
    <sheetView view="pageBreakPreview" zoomScaleNormal="100" zoomScaleSheetLayoutView="100" workbookViewId="0"/>
  </sheetViews>
  <sheetFormatPr defaultRowHeight="15"/>
  <cols>
    <col min="1" max="1" width="9" style="190" customWidth="1"/>
    <col min="2" max="2" width="8.21875" style="190" customWidth="1"/>
    <col min="3" max="3" width="8.88671875" style="190"/>
    <col min="4" max="8" width="10.77734375" style="190" customWidth="1"/>
    <col min="9" max="9" width="8.88671875" style="190"/>
  </cols>
  <sheetData>
    <row r="1" spans="1:9" ht="20.100000000000001" customHeight="1">
      <c r="A1" s="190" t="s">
        <v>764</v>
      </c>
    </row>
    <row r="2" spans="1:9" ht="20.100000000000001" customHeight="1">
      <c r="A2" s="190" t="s">
        <v>1533</v>
      </c>
    </row>
    <row r="3" spans="1:9" ht="33.950000000000003" customHeight="1">
      <c r="A3" s="1907" t="s">
        <v>546</v>
      </c>
      <c r="B3" s="1905"/>
      <c r="C3" s="1905" t="s">
        <v>17</v>
      </c>
      <c r="D3" s="1905" t="s">
        <v>18</v>
      </c>
      <c r="E3" s="1905"/>
      <c r="F3" s="1905"/>
      <c r="G3" s="1905" t="s">
        <v>95</v>
      </c>
      <c r="H3" s="1905" t="s">
        <v>97</v>
      </c>
      <c r="I3" s="1887" t="s">
        <v>144</v>
      </c>
    </row>
    <row r="4" spans="1:9" ht="33.950000000000003" customHeight="1">
      <c r="A4" s="1908"/>
      <c r="B4" s="1909"/>
      <c r="C4" s="1909"/>
      <c r="D4" s="513" t="s">
        <v>19</v>
      </c>
      <c r="E4" s="513" t="s">
        <v>20</v>
      </c>
      <c r="F4" s="514" t="s">
        <v>547</v>
      </c>
      <c r="G4" s="1906"/>
      <c r="H4" s="1906"/>
      <c r="I4" s="1888"/>
    </row>
    <row r="5" spans="1:9" ht="33.950000000000003" customHeight="1">
      <c r="A5" s="1900" t="s">
        <v>1534</v>
      </c>
      <c r="B5" s="511" t="s">
        <v>1535</v>
      </c>
      <c r="C5" s="512">
        <v>321</v>
      </c>
      <c r="D5" s="421">
        <f t="shared" ref="D5:D9" si="0">E5+F5</f>
        <v>51.884931506849313</v>
      </c>
      <c r="E5" s="421">
        <f>+'부윤(검측)'!M6</f>
        <v>29.158904109589042</v>
      </c>
      <c r="F5" s="421">
        <f>+'부윤(검측)'!N6</f>
        <v>22.726027397260271</v>
      </c>
      <c r="G5" s="422">
        <f t="shared" ref="G5:G8" si="1">ROUND(+D5/C5*1000,0)</f>
        <v>162</v>
      </c>
      <c r="H5" s="515">
        <f t="shared" ref="H5:H9" si="2">+ROUND(F5/D5*100,1)</f>
        <v>43.8</v>
      </c>
      <c r="I5" s="372"/>
    </row>
    <row r="6" spans="1:9" ht="33.950000000000003" customHeight="1">
      <c r="A6" s="1900"/>
      <c r="B6" s="511" t="s">
        <v>1536</v>
      </c>
      <c r="C6" s="512">
        <v>321</v>
      </c>
      <c r="D6" s="421">
        <f t="shared" si="0"/>
        <v>61.065753424657537</v>
      </c>
      <c r="E6" s="421">
        <f>+'부윤(검측)'!M7</f>
        <v>33.5013698630137</v>
      </c>
      <c r="F6" s="421">
        <f>+'부윤(검측)'!N7</f>
        <v>27.564383561643837</v>
      </c>
      <c r="G6" s="422">
        <f t="shared" si="1"/>
        <v>190</v>
      </c>
      <c r="H6" s="515">
        <f t="shared" si="2"/>
        <v>45.1</v>
      </c>
      <c r="I6" s="372"/>
    </row>
    <row r="7" spans="1:9" ht="33.950000000000003" customHeight="1">
      <c r="A7" s="1900"/>
      <c r="B7" s="511" t="s">
        <v>1537</v>
      </c>
      <c r="C7" s="512">
        <v>312</v>
      </c>
      <c r="D7" s="421">
        <f t="shared" si="0"/>
        <v>54.893150684931506</v>
      </c>
      <c r="E7" s="421">
        <f>+'부윤(검측)'!M8</f>
        <v>27.520547945205479</v>
      </c>
      <c r="F7" s="421">
        <f>+'부윤(검측)'!N8</f>
        <v>27.372602739726027</v>
      </c>
      <c r="G7" s="422">
        <f t="shared" si="1"/>
        <v>176</v>
      </c>
      <c r="H7" s="515">
        <f t="shared" si="2"/>
        <v>49.9</v>
      </c>
      <c r="I7" s="372"/>
    </row>
    <row r="8" spans="1:9" ht="33.950000000000003" customHeight="1">
      <c r="A8" s="1900"/>
      <c r="B8" s="511" t="s">
        <v>1538</v>
      </c>
      <c r="C8" s="512">
        <v>321</v>
      </c>
      <c r="D8" s="421">
        <f t="shared" si="0"/>
        <v>57.041095890410958</v>
      </c>
      <c r="E8" s="421">
        <f>+'부윤(검측)'!M9</f>
        <v>28.079452054794519</v>
      </c>
      <c r="F8" s="421">
        <f>+'부윤(검측)'!N9</f>
        <v>28.961643835616439</v>
      </c>
      <c r="G8" s="422">
        <f t="shared" si="1"/>
        <v>178</v>
      </c>
      <c r="H8" s="515">
        <f t="shared" si="2"/>
        <v>50.8</v>
      </c>
      <c r="I8" s="372"/>
    </row>
    <row r="9" spans="1:9" ht="33.950000000000003" customHeight="1">
      <c r="A9" s="1901"/>
      <c r="B9" s="516" t="s">
        <v>1539</v>
      </c>
      <c r="C9" s="517">
        <v>321</v>
      </c>
      <c r="D9" s="423">
        <f t="shared" si="0"/>
        <v>45.88219178082192</v>
      </c>
      <c r="E9" s="423">
        <f>+'부윤(검측)'!M10</f>
        <v>29.156164383561645</v>
      </c>
      <c r="F9" s="423">
        <f>+'부윤(검측)'!N10</f>
        <v>16.726027397260275</v>
      </c>
      <c r="G9" s="424">
        <f>ROUND(+D9/C9*1000,0)</f>
        <v>143</v>
      </c>
      <c r="H9" s="518">
        <f t="shared" si="2"/>
        <v>36.5</v>
      </c>
      <c r="I9" s="519"/>
    </row>
    <row r="10" spans="1:9" ht="33.950000000000003" customHeight="1">
      <c r="A10" s="190" t="s">
        <v>1540</v>
      </c>
    </row>
    <row r="11" spans="1:9" ht="33.950000000000003" customHeight="1">
      <c r="A11" s="1907" t="s">
        <v>546</v>
      </c>
      <c r="B11" s="1905"/>
      <c r="C11" s="1905" t="s">
        <v>17</v>
      </c>
      <c r="D11" s="1905" t="s">
        <v>18</v>
      </c>
      <c r="E11" s="1905"/>
      <c r="F11" s="1905"/>
      <c r="G11" s="1905" t="s">
        <v>95</v>
      </c>
      <c r="H11" s="1905" t="s">
        <v>97</v>
      </c>
      <c r="I11" s="1887" t="s">
        <v>144</v>
      </c>
    </row>
    <row r="12" spans="1:9" ht="33.950000000000003" customHeight="1">
      <c r="A12" s="1908"/>
      <c r="B12" s="1909"/>
      <c r="C12" s="1909"/>
      <c r="D12" s="513" t="s">
        <v>19</v>
      </c>
      <c r="E12" s="513" t="s">
        <v>20</v>
      </c>
      <c r="F12" s="514" t="s">
        <v>547</v>
      </c>
      <c r="G12" s="1906"/>
      <c r="H12" s="1906"/>
      <c r="I12" s="1888"/>
    </row>
    <row r="13" spans="1:9" ht="33.950000000000003" customHeight="1">
      <c r="A13" s="1900" t="s">
        <v>1543</v>
      </c>
      <c r="B13" s="511" t="s">
        <v>1535</v>
      </c>
      <c r="C13" s="512">
        <v>158</v>
      </c>
      <c r="D13" s="421">
        <f t="shared" ref="D13:D17" si="3">E13+F13</f>
        <v>14.624657534246575</v>
      </c>
      <c r="E13" s="421">
        <f>+'미곡(검측)'!M6</f>
        <v>14.624657534246575</v>
      </c>
      <c r="F13" s="421">
        <f>+'미곡(검측)'!N6</f>
        <v>0</v>
      </c>
      <c r="G13" s="422">
        <f t="shared" ref="G13:G16" si="4">ROUND(+D13/C13*1000,0)</f>
        <v>93</v>
      </c>
      <c r="H13" s="515">
        <f t="shared" ref="H13:H17" si="5">+ROUND(F13/D13*100,1)</f>
        <v>0</v>
      </c>
      <c r="I13" s="372"/>
    </row>
    <row r="14" spans="1:9" ht="33.950000000000003" customHeight="1">
      <c r="A14" s="1900"/>
      <c r="B14" s="511" t="s">
        <v>1536</v>
      </c>
      <c r="C14" s="512">
        <v>158</v>
      </c>
      <c r="D14" s="421">
        <f t="shared" si="3"/>
        <v>11.953424657534246</v>
      </c>
      <c r="E14" s="421">
        <f>+'미곡(검측)'!M7</f>
        <v>11.953424657534246</v>
      </c>
      <c r="F14" s="421">
        <f>+'미곡(검측)'!N7</f>
        <v>0</v>
      </c>
      <c r="G14" s="422">
        <f t="shared" si="4"/>
        <v>76</v>
      </c>
      <c r="H14" s="515">
        <f t="shared" si="5"/>
        <v>0</v>
      </c>
      <c r="I14" s="372"/>
    </row>
    <row r="15" spans="1:9" ht="33.950000000000003" customHeight="1">
      <c r="A15" s="1900"/>
      <c r="B15" s="511" t="s">
        <v>1537</v>
      </c>
      <c r="C15" s="512">
        <v>158</v>
      </c>
      <c r="D15" s="421">
        <f t="shared" si="3"/>
        <v>17.435616438356163</v>
      </c>
      <c r="E15" s="421">
        <f>+'미곡(검측)'!M8</f>
        <v>17.435616438356163</v>
      </c>
      <c r="F15" s="421">
        <f>+'미곡(검측)'!N8</f>
        <v>0</v>
      </c>
      <c r="G15" s="422">
        <f t="shared" si="4"/>
        <v>110</v>
      </c>
      <c r="H15" s="515">
        <f t="shared" si="5"/>
        <v>0</v>
      </c>
      <c r="I15" s="372"/>
    </row>
    <row r="16" spans="1:9" ht="33.950000000000003" customHeight="1">
      <c r="A16" s="1900"/>
      <c r="B16" s="511" t="s">
        <v>1538</v>
      </c>
      <c r="C16" s="512">
        <v>158</v>
      </c>
      <c r="D16" s="421">
        <f t="shared" si="3"/>
        <v>13.495890410958904</v>
      </c>
      <c r="E16" s="421">
        <f>+'미곡(검측)'!M9</f>
        <v>13.495890410958904</v>
      </c>
      <c r="F16" s="421">
        <f>+'미곡(검측)'!N9</f>
        <v>0</v>
      </c>
      <c r="G16" s="422">
        <f t="shared" si="4"/>
        <v>85</v>
      </c>
      <c r="H16" s="515">
        <f t="shared" si="5"/>
        <v>0</v>
      </c>
      <c r="I16" s="372"/>
    </row>
    <row r="17" spans="1:9" ht="33.950000000000003" customHeight="1">
      <c r="A17" s="1901"/>
      <c r="B17" s="516" t="s">
        <v>1539</v>
      </c>
      <c r="C17" s="517">
        <v>158</v>
      </c>
      <c r="D17" s="423">
        <f t="shared" si="3"/>
        <v>15.665753424657535</v>
      </c>
      <c r="E17" s="423">
        <f>+'미곡(검측)'!M10</f>
        <v>15.665753424657535</v>
      </c>
      <c r="F17" s="423">
        <f>+'미곡(검측)'!N10</f>
        <v>0</v>
      </c>
      <c r="G17" s="424">
        <f>ROUND(+D17/C17*1000,0)</f>
        <v>99</v>
      </c>
      <c r="H17" s="518">
        <f t="shared" si="5"/>
        <v>0</v>
      </c>
      <c r="I17" s="519"/>
    </row>
    <row r="18" spans="1:9" ht="33.950000000000003" customHeight="1">
      <c r="A18" s="190" t="s">
        <v>1541</v>
      </c>
    </row>
    <row r="19" spans="1:9" ht="33.950000000000003" customHeight="1">
      <c r="A19" s="1902" t="s">
        <v>546</v>
      </c>
      <c r="B19" s="1898"/>
      <c r="C19" s="1898" t="s">
        <v>17</v>
      </c>
      <c r="D19" s="1898" t="s">
        <v>18</v>
      </c>
      <c r="E19" s="1898"/>
      <c r="F19" s="1898"/>
      <c r="G19" s="1898" t="s">
        <v>95</v>
      </c>
      <c r="H19" s="1898" t="s">
        <v>97</v>
      </c>
      <c r="I19" s="1887" t="s">
        <v>144</v>
      </c>
    </row>
    <row r="20" spans="1:9" ht="33.950000000000003" customHeight="1">
      <c r="A20" s="1903"/>
      <c r="B20" s="1904"/>
      <c r="C20" s="1904"/>
      <c r="D20" s="520" t="s">
        <v>19</v>
      </c>
      <c r="E20" s="520" t="s">
        <v>20</v>
      </c>
      <c r="F20" s="521" t="s">
        <v>547</v>
      </c>
      <c r="G20" s="1899"/>
      <c r="H20" s="1899"/>
      <c r="I20" s="1888"/>
    </row>
    <row r="21" spans="1:9" ht="33.950000000000003" customHeight="1">
      <c r="A21" s="1900" t="s">
        <v>1544</v>
      </c>
      <c r="B21" s="511" t="s">
        <v>1535</v>
      </c>
      <c r="C21" s="512">
        <v>328</v>
      </c>
      <c r="D21" s="421">
        <f t="shared" ref="D21:D25" si="6">E21+F21</f>
        <v>10.526027397260274</v>
      </c>
      <c r="E21" s="421">
        <f>+'관성(검측)'!M6</f>
        <v>10.526027397260274</v>
      </c>
      <c r="F21" s="421">
        <f>+'관성(검측)'!N6</f>
        <v>0</v>
      </c>
      <c r="G21" s="422">
        <f t="shared" ref="G21:G24" si="7">ROUND(+D21/C21*1000,0)</f>
        <v>32</v>
      </c>
      <c r="H21" s="515">
        <f t="shared" ref="H21:H25" si="8">+ROUND(F21/D21*100,1)</f>
        <v>0</v>
      </c>
      <c r="I21" s="372"/>
    </row>
    <row r="22" spans="1:9" ht="33.950000000000003" customHeight="1">
      <c r="A22" s="1900"/>
      <c r="B22" s="511" t="s">
        <v>1536</v>
      </c>
      <c r="C22" s="512">
        <v>328</v>
      </c>
      <c r="D22" s="421">
        <f t="shared" si="6"/>
        <v>11.986301369863014</v>
      </c>
      <c r="E22" s="421">
        <f>+'관성(검측)'!M7</f>
        <v>11.986301369863014</v>
      </c>
      <c r="F22" s="421">
        <f>+'관성(검측)'!N7</f>
        <v>0</v>
      </c>
      <c r="G22" s="422">
        <f t="shared" si="7"/>
        <v>37</v>
      </c>
      <c r="H22" s="515">
        <f t="shared" si="8"/>
        <v>0</v>
      </c>
      <c r="I22" s="372"/>
    </row>
    <row r="23" spans="1:9" ht="33.950000000000003" customHeight="1">
      <c r="A23" s="1900"/>
      <c r="B23" s="511" t="s">
        <v>1537</v>
      </c>
      <c r="C23" s="512">
        <v>328</v>
      </c>
      <c r="D23" s="421">
        <f t="shared" si="6"/>
        <v>11.024657534246575</v>
      </c>
      <c r="E23" s="421">
        <f>+'관성(검측)'!M8</f>
        <v>11.024657534246575</v>
      </c>
      <c r="F23" s="421">
        <f>+'관성(검측)'!N8</f>
        <v>0</v>
      </c>
      <c r="G23" s="422">
        <f t="shared" si="7"/>
        <v>34</v>
      </c>
      <c r="H23" s="515">
        <f t="shared" si="8"/>
        <v>0</v>
      </c>
      <c r="I23" s="372"/>
    </row>
    <row r="24" spans="1:9" ht="33.950000000000003" customHeight="1">
      <c r="A24" s="1900"/>
      <c r="B24" s="511" t="s">
        <v>1538</v>
      </c>
      <c r="C24" s="512">
        <v>328</v>
      </c>
      <c r="D24" s="421">
        <f t="shared" si="6"/>
        <v>11.358904109589041</v>
      </c>
      <c r="E24" s="421">
        <f>+'관성(검측)'!M9</f>
        <v>11.358904109589041</v>
      </c>
      <c r="F24" s="421">
        <f>+'관성(검측)'!N9</f>
        <v>0</v>
      </c>
      <c r="G24" s="422">
        <f t="shared" si="7"/>
        <v>35</v>
      </c>
      <c r="H24" s="515">
        <f t="shared" si="8"/>
        <v>0</v>
      </c>
      <c r="I24" s="372"/>
    </row>
    <row r="25" spans="1:9" ht="33.950000000000003" customHeight="1">
      <c r="A25" s="1901"/>
      <c r="B25" s="516" t="s">
        <v>1539</v>
      </c>
      <c r="C25" s="517">
        <v>328</v>
      </c>
      <c r="D25" s="423">
        <f t="shared" si="6"/>
        <v>11.56986301369863</v>
      </c>
      <c r="E25" s="423">
        <f>+'관성(검측)'!M10</f>
        <v>11.56986301369863</v>
      </c>
      <c r="F25" s="423">
        <f>+'관성(검측)'!N10</f>
        <v>0</v>
      </c>
      <c r="G25" s="424">
        <f>ROUND(+D25/C25*1000,0)</f>
        <v>35</v>
      </c>
      <c r="H25" s="518">
        <f t="shared" si="8"/>
        <v>0</v>
      </c>
      <c r="I25" s="519"/>
    </row>
    <row r="26" spans="1:9" s="812" customFormat="1" ht="33.950000000000003" customHeight="1">
      <c r="A26" s="190" t="s">
        <v>1542</v>
      </c>
      <c r="B26" s="190"/>
      <c r="C26" s="190"/>
      <c r="D26" s="190"/>
      <c r="E26" s="190"/>
      <c r="F26" s="190"/>
      <c r="G26" s="190"/>
      <c r="H26" s="190"/>
      <c r="I26" s="190"/>
    </row>
    <row r="27" spans="1:9" s="812" customFormat="1" ht="33.950000000000003" customHeight="1">
      <c r="A27" s="1902" t="s">
        <v>135</v>
      </c>
      <c r="B27" s="1898"/>
      <c r="C27" s="1898" t="s">
        <v>17</v>
      </c>
      <c r="D27" s="1898" t="s">
        <v>18</v>
      </c>
      <c r="E27" s="1898"/>
      <c r="F27" s="1898"/>
      <c r="G27" s="1898" t="s">
        <v>95</v>
      </c>
      <c r="H27" s="1898" t="s">
        <v>97</v>
      </c>
      <c r="I27" s="1887" t="s">
        <v>144</v>
      </c>
    </row>
    <row r="28" spans="1:9" s="812" customFormat="1" ht="33.950000000000003" customHeight="1">
      <c r="A28" s="1903"/>
      <c r="B28" s="1904"/>
      <c r="C28" s="1904"/>
      <c r="D28" s="922" t="s">
        <v>19</v>
      </c>
      <c r="E28" s="922" t="s">
        <v>20</v>
      </c>
      <c r="F28" s="921" t="s">
        <v>547</v>
      </c>
      <c r="G28" s="1899"/>
      <c r="H28" s="1899"/>
      <c r="I28" s="1888"/>
    </row>
    <row r="29" spans="1:9" s="812" customFormat="1" ht="33.950000000000003" customHeight="1">
      <c r="A29" s="1900" t="s">
        <v>1545</v>
      </c>
      <c r="B29" s="511" t="s">
        <v>1535</v>
      </c>
      <c r="C29" s="512">
        <v>214</v>
      </c>
      <c r="D29" s="421">
        <f t="shared" ref="D29:D33" si="9">E29+F29</f>
        <v>26.545205479452054</v>
      </c>
      <c r="E29" s="421">
        <f>+'단평(검측)'!M6</f>
        <v>26.545205479452054</v>
      </c>
      <c r="F29" s="421">
        <f>+'단평(검측)'!N6</f>
        <v>0</v>
      </c>
      <c r="G29" s="422">
        <f t="shared" ref="G29:G32" si="10">ROUND(+D29/C29*1000,0)</f>
        <v>124</v>
      </c>
      <c r="H29" s="515">
        <f t="shared" ref="H29:H33" si="11">+ROUND(F29/D29*100,1)</f>
        <v>0</v>
      </c>
      <c r="I29" s="372"/>
    </row>
    <row r="30" spans="1:9" s="812" customFormat="1" ht="33.950000000000003" customHeight="1">
      <c r="A30" s="1900"/>
      <c r="B30" s="511" t="s">
        <v>1536</v>
      </c>
      <c r="C30" s="512">
        <v>214</v>
      </c>
      <c r="D30" s="421">
        <f t="shared" si="9"/>
        <v>26.641095890410959</v>
      </c>
      <c r="E30" s="421">
        <f>+'단평(검측)'!M7</f>
        <v>26.641095890410959</v>
      </c>
      <c r="F30" s="421">
        <f>+'단평(검측)'!N7</f>
        <v>0</v>
      </c>
      <c r="G30" s="422">
        <f t="shared" si="10"/>
        <v>124</v>
      </c>
      <c r="H30" s="515">
        <f t="shared" si="11"/>
        <v>0</v>
      </c>
      <c r="I30" s="372"/>
    </row>
    <row r="31" spans="1:9" s="812" customFormat="1" ht="33.950000000000003" customHeight="1">
      <c r="A31" s="1900"/>
      <c r="B31" s="511" t="s">
        <v>1537</v>
      </c>
      <c r="C31" s="512">
        <v>214</v>
      </c>
      <c r="D31" s="421">
        <f t="shared" si="9"/>
        <v>27.202739726027396</v>
      </c>
      <c r="E31" s="421">
        <f>+'단평(검측)'!M8</f>
        <v>27.202739726027396</v>
      </c>
      <c r="F31" s="421">
        <f>+'단평(검측)'!N8</f>
        <v>0</v>
      </c>
      <c r="G31" s="422">
        <f t="shared" si="10"/>
        <v>127</v>
      </c>
      <c r="H31" s="515">
        <f t="shared" si="11"/>
        <v>0</v>
      </c>
      <c r="I31" s="372"/>
    </row>
    <row r="32" spans="1:9" s="812" customFormat="1" ht="33.950000000000003" customHeight="1">
      <c r="A32" s="1900"/>
      <c r="B32" s="511" t="s">
        <v>1538</v>
      </c>
      <c r="C32" s="512">
        <v>214</v>
      </c>
      <c r="D32" s="421">
        <f t="shared" si="9"/>
        <v>27.717808219178082</v>
      </c>
      <c r="E32" s="421">
        <f>+'단평(검측)'!M9</f>
        <v>27.717808219178082</v>
      </c>
      <c r="F32" s="421">
        <f>+'단평(검측)'!N9</f>
        <v>0</v>
      </c>
      <c r="G32" s="422">
        <f t="shared" si="10"/>
        <v>130</v>
      </c>
      <c r="H32" s="515">
        <f t="shared" si="11"/>
        <v>0</v>
      </c>
      <c r="I32" s="372"/>
    </row>
    <row r="33" spans="1:9" s="812" customFormat="1" ht="33.950000000000003" customHeight="1">
      <c r="A33" s="1901"/>
      <c r="B33" s="516" t="s">
        <v>1539</v>
      </c>
      <c r="C33" s="517">
        <v>214</v>
      </c>
      <c r="D33" s="423">
        <f t="shared" si="9"/>
        <v>24.926027397260274</v>
      </c>
      <c r="E33" s="423">
        <f>+'단평(검측)'!M10</f>
        <v>24.926027397260274</v>
      </c>
      <c r="F33" s="423">
        <f>+'단평(검측)'!N10</f>
        <v>0</v>
      </c>
      <c r="G33" s="424">
        <f>ROUND(+D33/C33*1000,0)</f>
        <v>116</v>
      </c>
      <c r="H33" s="518">
        <f t="shared" si="11"/>
        <v>0</v>
      </c>
      <c r="I33" s="519"/>
    </row>
    <row r="34" spans="1:9" s="812" customFormat="1" ht="33.950000000000003" customHeight="1">
      <c r="A34" s="190" t="s">
        <v>1547</v>
      </c>
      <c r="B34" s="190"/>
      <c r="C34" s="190"/>
      <c r="D34" s="190"/>
      <c r="E34" s="190"/>
      <c r="F34" s="190"/>
      <c r="G34" s="190"/>
      <c r="H34" s="190"/>
      <c r="I34" s="190"/>
    </row>
    <row r="35" spans="1:9" s="812" customFormat="1" ht="33.950000000000003" customHeight="1">
      <c r="A35" s="1902" t="s">
        <v>135</v>
      </c>
      <c r="B35" s="1898"/>
      <c r="C35" s="1898" t="s">
        <v>17</v>
      </c>
      <c r="D35" s="1898" t="s">
        <v>18</v>
      </c>
      <c r="E35" s="1898"/>
      <c r="F35" s="1898"/>
      <c r="G35" s="1898" t="s">
        <v>95</v>
      </c>
      <c r="H35" s="1898" t="s">
        <v>97</v>
      </c>
      <c r="I35" s="1887" t="s">
        <v>144</v>
      </c>
    </row>
    <row r="36" spans="1:9" s="812" customFormat="1" ht="33.950000000000003" customHeight="1">
      <c r="A36" s="1903"/>
      <c r="B36" s="1904"/>
      <c r="C36" s="1904"/>
      <c r="D36" s="922" t="s">
        <v>19</v>
      </c>
      <c r="E36" s="922" t="s">
        <v>20</v>
      </c>
      <c r="F36" s="921" t="s">
        <v>547</v>
      </c>
      <c r="G36" s="1899"/>
      <c r="H36" s="1899"/>
      <c r="I36" s="1888"/>
    </row>
    <row r="37" spans="1:9" s="812" customFormat="1" ht="33.950000000000003" customHeight="1">
      <c r="A37" s="1900" t="s">
        <v>1546</v>
      </c>
      <c r="B37" s="511" t="s">
        <v>1535</v>
      </c>
      <c r="C37" s="512">
        <v>300</v>
      </c>
      <c r="D37" s="421">
        <f t="shared" ref="D37:D41" si="12">E37+F37</f>
        <v>61.391780821917813</v>
      </c>
      <c r="E37" s="421">
        <f>+'오궁(검측)'!M6</f>
        <v>53.728767123287675</v>
      </c>
      <c r="F37" s="421">
        <f>+'오궁(검측)'!N6</f>
        <v>7.663013698630138</v>
      </c>
      <c r="G37" s="422">
        <f t="shared" ref="G37:G40" si="13">ROUND(+D37/C37*1000,0)</f>
        <v>205</v>
      </c>
      <c r="H37" s="515">
        <f t="shared" ref="H37:H41" si="14">+ROUND(F37/D37*100,1)</f>
        <v>12.5</v>
      </c>
      <c r="I37" s="372"/>
    </row>
    <row r="38" spans="1:9" s="812" customFormat="1" ht="33.950000000000003" customHeight="1">
      <c r="A38" s="1900"/>
      <c r="B38" s="511" t="s">
        <v>1536</v>
      </c>
      <c r="C38" s="512">
        <v>300</v>
      </c>
      <c r="D38" s="421">
        <f t="shared" si="12"/>
        <v>59.320547945205476</v>
      </c>
      <c r="E38" s="421">
        <f>+'오궁(검측)'!M7</f>
        <v>52.386301369863013</v>
      </c>
      <c r="F38" s="421">
        <f>+'오궁(검측)'!N7</f>
        <v>6.9342465753424634</v>
      </c>
      <c r="G38" s="422">
        <f t="shared" si="13"/>
        <v>198</v>
      </c>
      <c r="H38" s="515">
        <f t="shared" si="14"/>
        <v>11.7</v>
      </c>
      <c r="I38" s="372"/>
    </row>
    <row r="39" spans="1:9" s="812" customFormat="1" ht="33.950000000000003" customHeight="1">
      <c r="A39" s="1900"/>
      <c r="B39" s="511" t="s">
        <v>1537</v>
      </c>
      <c r="C39" s="512">
        <v>300</v>
      </c>
      <c r="D39" s="421">
        <f t="shared" si="12"/>
        <v>61.454794520547942</v>
      </c>
      <c r="E39" s="421">
        <f>+'오궁(검측)'!M8</f>
        <v>54.060273972602737</v>
      </c>
      <c r="F39" s="421">
        <f>+'오궁(검측)'!N8</f>
        <v>7.3945205479452056</v>
      </c>
      <c r="G39" s="422">
        <f t="shared" si="13"/>
        <v>205</v>
      </c>
      <c r="H39" s="515">
        <f t="shared" si="14"/>
        <v>12</v>
      </c>
      <c r="I39" s="372"/>
    </row>
    <row r="40" spans="1:9" s="812" customFormat="1" ht="33.950000000000003" customHeight="1">
      <c r="A40" s="1900"/>
      <c r="B40" s="511" t="s">
        <v>1538</v>
      </c>
      <c r="C40" s="512">
        <v>300</v>
      </c>
      <c r="D40" s="421">
        <f t="shared" si="12"/>
        <v>56.586301369863016</v>
      </c>
      <c r="E40" s="421">
        <f>+'오궁(검측)'!M9</f>
        <v>49.969863013698628</v>
      </c>
      <c r="F40" s="421">
        <f>+'오궁(검측)'!N9</f>
        <v>6.6164383561643874</v>
      </c>
      <c r="G40" s="422">
        <f t="shared" si="13"/>
        <v>189</v>
      </c>
      <c r="H40" s="515">
        <f t="shared" si="14"/>
        <v>11.7</v>
      </c>
      <c r="I40" s="372"/>
    </row>
    <row r="41" spans="1:9" s="812" customFormat="1" ht="33.950000000000003" customHeight="1">
      <c r="A41" s="1901"/>
      <c r="B41" s="516" t="s">
        <v>1539</v>
      </c>
      <c r="C41" s="517">
        <v>300</v>
      </c>
      <c r="D41" s="423">
        <f t="shared" si="12"/>
        <v>54.723287671232882</v>
      </c>
      <c r="E41" s="423">
        <f>+'오궁(검측)'!M10</f>
        <v>49.583561643835615</v>
      </c>
      <c r="F41" s="423">
        <f>+'오궁(검측)'!N10</f>
        <v>5.1397260273972663</v>
      </c>
      <c r="G41" s="424">
        <f>ROUND(+D41/C41*1000,0)</f>
        <v>182</v>
      </c>
      <c r="H41" s="518">
        <f t="shared" si="14"/>
        <v>9.4</v>
      </c>
      <c r="I41" s="519"/>
    </row>
    <row r="42" spans="1:9" ht="20.100000000000001" customHeight="1"/>
    <row r="43" spans="1:9" ht="20.100000000000001" customHeight="1">
      <c r="A43" s="190" t="s">
        <v>1586</v>
      </c>
    </row>
    <row r="44" spans="1:9" ht="20.100000000000001" customHeight="1"/>
    <row r="45" spans="1:9" ht="24" customHeight="1">
      <c r="A45" s="1853" t="s">
        <v>268</v>
      </c>
      <c r="B45" s="1832"/>
      <c r="C45" s="1832"/>
      <c r="D45" s="1832" t="s">
        <v>380</v>
      </c>
      <c r="E45" s="1832"/>
      <c r="F45" s="1832"/>
      <c r="G45" s="1832"/>
      <c r="H45" s="1832"/>
      <c r="I45" s="1885" t="s">
        <v>144</v>
      </c>
    </row>
    <row r="46" spans="1:9" ht="24" customHeight="1">
      <c r="A46" s="1894"/>
      <c r="B46" s="1895"/>
      <c r="C46" s="1895"/>
      <c r="D46" s="1045" t="s">
        <v>1530</v>
      </c>
      <c r="E46" s="1045" t="s">
        <v>287</v>
      </c>
      <c r="F46" s="1045" t="s">
        <v>288</v>
      </c>
      <c r="G46" s="1045" t="s">
        <v>289</v>
      </c>
      <c r="H46" s="1045" t="s">
        <v>278</v>
      </c>
      <c r="I46" s="1886"/>
    </row>
    <row r="47" spans="1:9" ht="24" customHeight="1">
      <c r="A47" s="1890" t="s">
        <v>382</v>
      </c>
      <c r="B47" s="1896" t="s">
        <v>1534</v>
      </c>
      <c r="C47" s="1896"/>
      <c r="D47" s="1052">
        <f>D52</f>
        <v>162</v>
      </c>
      <c r="E47" s="1052">
        <f>+D47</f>
        <v>162</v>
      </c>
      <c r="F47" s="1052">
        <f t="shared" ref="F47:H47" si="15">+E47</f>
        <v>162</v>
      </c>
      <c r="G47" s="1052">
        <f t="shared" si="15"/>
        <v>162</v>
      </c>
      <c r="H47" s="1052">
        <f t="shared" si="15"/>
        <v>162</v>
      </c>
      <c r="I47" s="1882" t="s">
        <v>1939</v>
      </c>
    </row>
    <row r="48" spans="1:9" s="812" customFormat="1" ht="24" customHeight="1">
      <c r="A48" s="1890"/>
      <c r="B48" s="1896" t="s">
        <v>1543</v>
      </c>
      <c r="C48" s="1896"/>
      <c r="D48" s="1052">
        <f>D52</f>
        <v>162</v>
      </c>
      <c r="E48" s="1052">
        <f>+D48</f>
        <v>162</v>
      </c>
      <c r="F48" s="1052">
        <f t="shared" ref="F48:F49" si="16">+E48</f>
        <v>162</v>
      </c>
      <c r="G48" s="1052">
        <f t="shared" ref="G48:G49" si="17">+F48</f>
        <v>162</v>
      </c>
      <c r="H48" s="1052">
        <f t="shared" ref="H48:H49" si="18">+G48</f>
        <v>162</v>
      </c>
      <c r="I48" s="1883"/>
    </row>
    <row r="49" spans="1:10" s="812" customFormat="1" ht="24" customHeight="1">
      <c r="A49" s="1890"/>
      <c r="B49" s="1896" t="s">
        <v>1544</v>
      </c>
      <c r="C49" s="1896"/>
      <c r="D49" s="1052">
        <f>D52</f>
        <v>162</v>
      </c>
      <c r="E49" s="1052">
        <f>+D49</f>
        <v>162</v>
      </c>
      <c r="F49" s="1052">
        <f t="shared" si="16"/>
        <v>162</v>
      </c>
      <c r="G49" s="1052">
        <f t="shared" si="17"/>
        <v>162</v>
      </c>
      <c r="H49" s="1052">
        <f t="shared" si="18"/>
        <v>162</v>
      </c>
      <c r="I49" s="1883"/>
    </row>
    <row r="50" spans="1:10" ht="24" customHeight="1">
      <c r="A50" s="1890"/>
      <c r="B50" s="1896" t="s">
        <v>1551</v>
      </c>
      <c r="C50" s="1896"/>
      <c r="D50" s="1052">
        <f>D52</f>
        <v>162</v>
      </c>
      <c r="E50" s="1052">
        <f t="shared" ref="E50:H51" si="19">+D50</f>
        <v>162</v>
      </c>
      <c r="F50" s="1052">
        <f t="shared" si="19"/>
        <v>162</v>
      </c>
      <c r="G50" s="1052">
        <f t="shared" si="19"/>
        <v>162</v>
      </c>
      <c r="H50" s="1052">
        <f t="shared" si="19"/>
        <v>162</v>
      </c>
      <c r="I50" s="1883"/>
    </row>
    <row r="51" spans="1:10" ht="24" customHeight="1">
      <c r="A51" s="1890"/>
      <c r="B51" s="1896" t="s">
        <v>1552</v>
      </c>
      <c r="C51" s="1896"/>
      <c r="D51" s="1052">
        <f>D52</f>
        <v>162</v>
      </c>
      <c r="E51" s="1052">
        <f t="shared" si="19"/>
        <v>162</v>
      </c>
      <c r="F51" s="1052">
        <f t="shared" si="19"/>
        <v>162</v>
      </c>
      <c r="G51" s="1052">
        <f t="shared" si="19"/>
        <v>162</v>
      </c>
      <c r="H51" s="1052">
        <f t="shared" si="19"/>
        <v>162</v>
      </c>
      <c r="I51" s="1883"/>
    </row>
    <row r="52" spans="1:10" s="812" customFormat="1" ht="24" customHeight="1">
      <c r="A52" s="1890"/>
      <c r="B52" s="1896" t="s">
        <v>1591</v>
      </c>
      <c r="C52" s="1896"/>
      <c r="D52" s="1052">
        <v>162</v>
      </c>
      <c r="E52" s="1052">
        <f t="shared" ref="E52" si="20">+D52</f>
        <v>162</v>
      </c>
      <c r="F52" s="1052">
        <f t="shared" ref="F52" si="21">+E52</f>
        <v>162</v>
      </c>
      <c r="G52" s="1052">
        <f t="shared" ref="G52" si="22">+F52</f>
        <v>162</v>
      </c>
      <c r="H52" s="1052">
        <f t="shared" ref="H52" si="23">+G52</f>
        <v>162</v>
      </c>
      <c r="I52" s="1884"/>
    </row>
    <row r="53" spans="1:10" ht="24" customHeight="1">
      <c r="A53" s="1890" t="s">
        <v>383</v>
      </c>
      <c r="B53" s="1896" t="s">
        <v>1534</v>
      </c>
      <c r="C53" s="1896"/>
      <c r="D53" s="1048">
        <v>90</v>
      </c>
      <c r="E53" s="1048">
        <v>90</v>
      </c>
      <c r="F53" s="1048">
        <v>90</v>
      </c>
      <c r="G53" s="1048">
        <v>90</v>
      </c>
      <c r="H53" s="1048">
        <v>90</v>
      </c>
      <c r="I53" s="1113"/>
    </row>
    <row r="54" spans="1:10" s="812" customFormat="1" ht="24" customHeight="1">
      <c r="A54" s="1890"/>
      <c r="B54" s="1896" t="s">
        <v>1543</v>
      </c>
      <c r="C54" s="1896"/>
      <c r="D54" s="1048">
        <v>90</v>
      </c>
      <c r="E54" s="1048">
        <v>90</v>
      </c>
      <c r="F54" s="1048">
        <v>90</v>
      </c>
      <c r="G54" s="1048">
        <v>90</v>
      </c>
      <c r="H54" s="1048">
        <v>90</v>
      </c>
      <c r="I54" s="1113"/>
    </row>
    <row r="55" spans="1:10" s="812" customFormat="1" ht="24" customHeight="1">
      <c r="A55" s="1890"/>
      <c r="B55" s="1896" t="s">
        <v>1544</v>
      </c>
      <c r="C55" s="1896"/>
      <c r="D55" s="1048">
        <v>90</v>
      </c>
      <c r="E55" s="1048">
        <v>90</v>
      </c>
      <c r="F55" s="1048">
        <v>90</v>
      </c>
      <c r="G55" s="1048">
        <v>90</v>
      </c>
      <c r="H55" s="1048">
        <v>90</v>
      </c>
      <c r="I55" s="1113"/>
    </row>
    <row r="56" spans="1:10" ht="24" customHeight="1">
      <c r="A56" s="1890"/>
      <c r="B56" s="1896" t="s">
        <v>1551</v>
      </c>
      <c r="C56" s="1896"/>
      <c r="D56" s="1048">
        <f>+D53</f>
        <v>90</v>
      </c>
      <c r="E56" s="1048">
        <f>+E53</f>
        <v>90</v>
      </c>
      <c r="F56" s="1048">
        <f>+F53</f>
        <v>90</v>
      </c>
      <c r="G56" s="1048">
        <f>+G53</f>
        <v>90</v>
      </c>
      <c r="H56" s="1048">
        <f>+H53</f>
        <v>90</v>
      </c>
      <c r="I56" s="1113"/>
    </row>
    <row r="57" spans="1:10" ht="24" customHeight="1">
      <c r="A57" s="1890"/>
      <c r="B57" s="1896" t="s">
        <v>1552</v>
      </c>
      <c r="C57" s="1896"/>
      <c r="D57" s="1048">
        <f t="shared" ref="D57:D58" si="24">+D56</f>
        <v>90</v>
      </c>
      <c r="E57" s="1048">
        <f t="shared" ref="E57:H58" si="25">+E56</f>
        <v>90</v>
      </c>
      <c r="F57" s="1048">
        <f t="shared" si="25"/>
        <v>90</v>
      </c>
      <c r="G57" s="1048">
        <f t="shared" si="25"/>
        <v>90</v>
      </c>
      <c r="H57" s="1048">
        <f t="shared" si="25"/>
        <v>90</v>
      </c>
      <c r="I57" s="1113"/>
    </row>
    <row r="58" spans="1:10" s="812" customFormat="1" ht="24" customHeight="1">
      <c r="A58" s="1890"/>
      <c r="B58" s="1896" t="s">
        <v>1591</v>
      </c>
      <c r="C58" s="1896"/>
      <c r="D58" s="1048">
        <f t="shared" si="24"/>
        <v>90</v>
      </c>
      <c r="E58" s="1048">
        <f t="shared" si="25"/>
        <v>90</v>
      </c>
      <c r="F58" s="1048">
        <f t="shared" si="25"/>
        <v>90</v>
      </c>
      <c r="G58" s="1048">
        <f t="shared" si="25"/>
        <v>90</v>
      </c>
      <c r="H58" s="1048">
        <f t="shared" si="25"/>
        <v>90</v>
      </c>
      <c r="I58" s="1113"/>
    </row>
    <row r="59" spans="1:10" ht="24" customHeight="1">
      <c r="A59" s="1890" t="s">
        <v>545</v>
      </c>
      <c r="B59" s="1892" t="s">
        <v>1554</v>
      </c>
      <c r="C59" s="1053" t="s">
        <v>384</v>
      </c>
      <c r="D59" s="1050">
        <f>ROUND(+D47*D53/100,0)</f>
        <v>146</v>
      </c>
      <c r="E59" s="1050">
        <f>ROUND(+E47*E53/100,0)</f>
        <v>146</v>
      </c>
      <c r="F59" s="1050">
        <f>ROUND(+F47*F53/100,0)</f>
        <v>146</v>
      </c>
      <c r="G59" s="1050">
        <f>ROUND(+G47*G53/100,0)</f>
        <v>146</v>
      </c>
      <c r="H59" s="1050">
        <f>ROUND(+H47*H53/100,0)</f>
        <v>146</v>
      </c>
      <c r="I59" s="1114">
        <v>0.8</v>
      </c>
      <c r="J59" s="522"/>
    </row>
    <row r="60" spans="1:10" ht="24" customHeight="1">
      <c r="A60" s="1890"/>
      <c r="B60" s="1893"/>
      <c r="C60" s="1053" t="s">
        <v>385</v>
      </c>
      <c r="D60" s="1050">
        <f>ROUNDDOWN(+D59/$I59,0)</f>
        <v>182</v>
      </c>
      <c r="E60" s="1050">
        <f>ROUNDDOWN(+E59/$I59,0)</f>
        <v>182</v>
      </c>
      <c r="F60" s="1050">
        <f>ROUNDDOWN(+F59/$I59,0)</f>
        <v>182</v>
      </c>
      <c r="G60" s="1050">
        <f>ROUNDDOWN(+G59/$I59,0)</f>
        <v>182</v>
      </c>
      <c r="H60" s="1050">
        <f>ROUNDDOWN(+H59/$I59,0)</f>
        <v>182</v>
      </c>
      <c r="I60" s="1114">
        <v>1</v>
      </c>
      <c r="J60" s="522"/>
    </row>
    <row r="61" spans="1:10" ht="24" customHeight="1">
      <c r="A61" s="1890"/>
      <c r="B61" s="1893"/>
      <c r="C61" s="1053" t="s">
        <v>386</v>
      </c>
      <c r="D61" s="1050">
        <f>ROUND(+D60*$I61,0)</f>
        <v>328</v>
      </c>
      <c r="E61" s="1050">
        <f>ROUND(+E60*$I61,0)</f>
        <v>328</v>
      </c>
      <c r="F61" s="1050">
        <f>ROUND(+F60*$I61,0)</f>
        <v>328</v>
      </c>
      <c r="G61" s="1050">
        <f>ROUND(+G60*$I61,0)</f>
        <v>328</v>
      </c>
      <c r="H61" s="1050">
        <f>ROUND(+H60*$I61,0)</f>
        <v>328</v>
      </c>
      <c r="I61" s="1114">
        <v>1.8</v>
      </c>
      <c r="J61" s="522"/>
    </row>
    <row r="62" spans="1:10" ht="24" customHeight="1">
      <c r="A62" s="1890"/>
      <c r="B62" s="1892" t="s">
        <v>1556</v>
      </c>
      <c r="C62" s="1053" t="s">
        <v>384</v>
      </c>
      <c r="D62" s="1050">
        <f>ROUND(+D48*D54/100,0)</f>
        <v>146</v>
      </c>
      <c r="E62" s="1050">
        <f>ROUND(+E48*E54/100,0)</f>
        <v>146</v>
      </c>
      <c r="F62" s="1050">
        <f>ROUND(+F48*F54/100,0)</f>
        <v>146</v>
      </c>
      <c r="G62" s="1050">
        <f>ROUND(+G48*G54/100,0)</f>
        <v>146</v>
      </c>
      <c r="H62" s="1050">
        <f>ROUND(+H48*H54/100,0)</f>
        <v>146</v>
      </c>
      <c r="I62" s="1114">
        <v>0.8</v>
      </c>
      <c r="J62" s="522"/>
    </row>
    <row r="63" spans="1:10" ht="24" customHeight="1">
      <c r="A63" s="1890"/>
      <c r="B63" s="1893"/>
      <c r="C63" s="1053" t="s">
        <v>385</v>
      </c>
      <c r="D63" s="1050">
        <f>ROUNDDOWN(+D62/$I62,0)</f>
        <v>182</v>
      </c>
      <c r="E63" s="1050">
        <f>ROUNDDOWN(+E62/$I62,0)</f>
        <v>182</v>
      </c>
      <c r="F63" s="1050">
        <f>ROUNDDOWN(+F62/$I62,0)</f>
        <v>182</v>
      </c>
      <c r="G63" s="1050">
        <f>ROUNDDOWN(+G62/$I62,0)</f>
        <v>182</v>
      </c>
      <c r="H63" s="1050">
        <f>ROUNDDOWN(+H62/$I62,0)</f>
        <v>182</v>
      </c>
      <c r="I63" s="1114">
        <v>1</v>
      </c>
      <c r="J63" s="522"/>
    </row>
    <row r="64" spans="1:10" ht="24" customHeight="1">
      <c r="A64" s="1890"/>
      <c r="B64" s="1893"/>
      <c r="C64" s="1053" t="s">
        <v>386</v>
      </c>
      <c r="D64" s="1050">
        <f>ROUND(+D63*$I64,0)</f>
        <v>328</v>
      </c>
      <c r="E64" s="1050">
        <f>ROUND(+E63*$I64,0)</f>
        <v>328</v>
      </c>
      <c r="F64" s="1050">
        <f>ROUND(+F63*$I64,0)</f>
        <v>328</v>
      </c>
      <c r="G64" s="1050">
        <f>ROUND(+G63*$I64,0)</f>
        <v>328</v>
      </c>
      <c r="H64" s="1050">
        <f>ROUND(+H63*$I64,0)</f>
        <v>328</v>
      </c>
      <c r="I64" s="1114">
        <v>1.8</v>
      </c>
      <c r="J64" s="522"/>
    </row>
    <row r="65" spans="1:10" s="812" customFormat="1" ht="24" customHeight="1">
      <c r="A65" s="1890"/>
      <c r="B65" s="1892" t="s">
        <v>1558</v>
      </c>
      <c r="C65" s="1053" t="s">
        <v>384</v>
      </c>
      <c r="D65" s="1050">
        <f>ROUND(+D49*D55/100,0)</f>
        <v>146</v>
      </c>
      <c r="E65" s="1050">
        <f>ROUND(+E49*E55/100,0)</f>
        <v>146</v>
      </c>
      <c r="F65" s="1050">
        <f>ROUND(+F49*F55/100,0)</f>
        <v>146</v>
      </c>
      <c r="G65" s="1050">
        <f>ROUND(+G49*G55/100,0)</f>
        <v>146</v>
      </c>
      <c r="H65" s="1050">
        <f>ROUND(+H49*H55/100,0)</f>
        <v>146</v>
      </c>
      <c r="I65" s="1114">
        <v>0.8</v>
      </c>
      <c r="J65" s="522"/>
    </row>
    <row r="66" spans="1:10" s="812" customFormat="1" ht="24" customHeight="1">
      <c r="A66" s="1890"/>
      <c r="B66" s="1893"/>
      <c r="C66" s="1053" t="s">
        <v>385</v>
      </c>
      <c r="D66" s="1050">
        <f>ROUNDDOWN(+D62/$I62,0)</f>
        <v>182</v>
      </c>
      <c r="E66" s="1050">
        <f>ROUNDDOWN(+E62/$I62,0)</f>
        <v>182</v>
      </c>
      <c r="F66" s="1050">
        <f>ROUNDDOWN(+F62/$I62,0)</f>
        <v>182</v>
      </c>
      <c r="G66" s="1050">
        <f>ROUNDDOWN(+G62/$I62,0)</f>
        <v>182</v>
      </c>
      <c r="H66" s="1050">
        <f>ROUNDDOWN(+H62/$I62,0)</f>
        <v>182</v>
      </c>
      <c r="I66" s="1114">
        <v>1</v>
      </c>
      <c r="J66" s="522"/>
    </row>
    <row r="67" spans="1:10" s="812" customFormat="1" ht="24" customHeight="1">
      <c r="A67" s="1890"/>
      <c r="B67" s="1893"/>
      <c r="C67" s="1053" t="s">
        <v>386</v>
      </c>
      <c r="D67" s="1050">
        <f>ROUND(+D63*$I64,0)</f>
        <v>328</v>
      </c>
      <c r="E67" s="1050">
        <f>ROUND(+E63*$I64,0)</f>
        <v>328</v>
      </c>
      <c r="F67" s="1050">
        <f>ROUND(+F63*$I64,0)</f>
        <v>328</v>
      </c>
      <c r="G67" s="1050">
        <f>ROUND(+G63*$I64,0)</f>
        <v>328</v>
      </c>
      <c r="H67" s="1050">
        <f>ROUND(+H63*$I64,0)</f>
        <v>328</v>
      </c>
      <c r="I67" s="1114">
        <v>1.8</v>
      </c>
      <c r="J67" s="522"/>
    </row>
    <row r="68" spans="1:10" s="812" customFormat="1" ht="24" customHeight="1">
      <c r="A68" s="1890"/>
      <c r="B68" s="1892" t="s">
        <v>1560</v>
      </c>
      <c r="C68" s="1053" t="s">
        <v>384</v>
      </c>
      <c r="D68" s="1050">
        <f>ROUND(+D50*D56/100,0)</f>
        <v>146</v>
      </c>
      <c r="E68" s="1050">
        <f>ROUND(+E50*E54/100,0)</f>
        <v>146</v>
      </c>
      <c r="F68" s="1050">
        <f>ROUND(+F50*F54/100,0)</f>
        <v>146</v>
      </c>
      <c r="G68" s="1050">
        <f>ROUND(+G50*G54/100,0)</f>
        <v>146</v>
      </c>
      <c r="H68" s="1050">
        <f>ROUND(+H50*H54/100,0)</f>
        <v>146</v>
      </c>
      <c r="I68" s="1114">
        <v>0.8</v>
      </c>
      <c r="J68" s="522"/>
    </row>
    <row r="69" spans="1:10" s="812" customFormat="1" ht="24" customHeight="1">
      <c r="A69" s="1890"/>
      <c r="B69" s="1893"/>
      <c r="C69" s="1053" t="s">
        <v>385</v>
      </c>
      <c r="D69" s="1050">
        <f>ROUNDDOWN(+D68/$I68,0)</f>
        <v>182</v>
      </c>
      <c r="E69" s="1050">
        <f>ROUNDDOWN(+E68/$I68,0)</f>
        <v>182</v>
      </c>
      <c r="F69" s="1050">
        <f>ROUNDDOWN(+F68/$I68,0)</f>
        <v>182</v>
      </c>
      <c r="G69" s="1050">
        <f>ROUNDDOWN(+G68/$I68,0)</f>
        <v>182</v>
      </c>
      <c r="H69" s="1050">
        <f>ROUNDDOWN(+H68/$I68,0)</f>
        <v>182</v>
      </c>
      <c r="I69" s="1114">
        <v>1</v>
      </c>
      <c r="J69" s="522"/>
    </row>
    <row r="70" spans="1:10" s="812" customFormat="1" ht="24" customHeight="1">
      <c r="A70" s="1890"/>
      <c r="B70" s="1893"/>
      <c r="C70" s="1053" t="s">
        <v>386</v>
      </c>
      <c r="D70" s="1050">
        <f>ROUND(+D69*$I70,0)</f>
        <v>328</v>
      </c>
      <c r="E70" s="1050">
        <f>ROUND(+E69*$I70,0)</f>
        <v>328</v>
      </c>
      <c r="F70" s="1050">
        <f>ROUND(+F69*$I70,0)</f>
        <v>328</v>
      </c>
      <c r="G70" s="1050">
        <f>ROUND(+G69*$I70,0)</f>
        <v>328</v>
      </c>
      <c r="H70" s="1050">
        <f>ROUND(+H69*$I70,0)</f>
        <v>328</v>
      </c>
      <c r="I70" s="1114">
        <v>1.8</v>
      </c>
      <c r="J70" s="522"/>
    </row>
    <row r="71" spans="1:10" ht="24" customHeight="1">
      <c r="A71" s="1890"/>
      <c r="B71" s="1892" t="s">
        <v>1562</v>
      </c>
      <c r="C71" s="1053" t="s">
        <v>384</v>
      </c>
      <c r="D71" s="1050">
        <f>ROUND(+D51*D57/100,0)</f>
        <v>146</v>
      </c>
      <c r="E71" s="1050">
        <f>ROUND(+E51*E57/100,0)</f>
        <v>146</v>
      </c>
      <c r="F71" s="1050">
        <f>ROUND(+F51*F57/100,0)</f>
        <v>146</v>
      </c>
      <c r="G71" s="1050">
        <f>ROUND(+G51*G57/100,0)</f>
        <v>146</v>
      </c>
      <c r="H71" s="1050">
        <f>ROUND(+H51*H57/100,0)</f>
        <v>146</v>
      </c>
      <c r="I71" s="1114">
        <v>0.8</v>
      </c>
      <c r="J71" s="522"/>
    </row>
    <row r="72" spans="1:10" ht="24" customHeight="1">
      <c r="A72" s="1890"/>
      <c r="B72" s="1893"/>
      <c r="C72" s="1053" t="s">
        <v>385</v>
      </c>
      <c r="D72" s="1050">
        <f>ROUNDDOWN(+D71/$I71,0)</f>
        <v>182</v>
      </c>
      <c r="E72" s="1050">
        <f>ROUNDDOWN(+E71/$I71,0)</f>
        <v>182</v>
      </c>
      <c r="F72" s="1050">
        <f>ROUNDDOWN(+F71/$I71,0)</f>
        <v>182</v>
      </c>
      <c r="G72" s="1050">
        <f>ROUNDDOWN(+G71/$I71,0)</f>
        <v>182</v>
      </c>
      <c r="H72" s="1050">
        <f>ROUNDDOWN(+H71/$I71,0)</f>
        <v>182</v>
      </c>
      <c r="I72" s="1114">
        <v>1</v>
      </c>
      <c r="J72" s="522"/>
    </row>
    <row r="73" spans="1:10" ht="24" customHeight="1">
      <c r="A73" s="1890"/>
      <c r="B73" s="1893"/>
      <c r="C73" s="1053" t="s">
        <v>386</v>
      </c>
      <c r="D73" s="1050">
        <f>ROUND(+D72*$I73,0)</f>
        <v>328</v>
      </c>
      <c r="E73" s="1050">
        <f>ROUND(+E72*$I73,0)</f>
        <v>328</v>
      </c>
      <c r="F73" s="1050">
        <f>ROUND(+F72*$I73,0)</f>
        <v>328</v>
      </c>
      <c r="G73" s="1050">
        <f>ROUND(+G72*$I73,0)</f>
        <v>328</v>
      </c>
      <c r="H73" s="1050">
        <f>ROUND(+H72*$I73,0)</f>
        <v>328</v>
      </c>
      <c r="I73" s="1114">
        <v>1.8</v>
      </c>
      <c r="J73" s="522"/>
    </row>
    <row r="74" spans="1:10" s="812" customFormat="1" ht="24" customHeight="1">
      <c r="A74" s="1890"/>
      <c r="B74" s="1892" t="s">
        <v>5</v>
      </c>
      <c r="C74" s="1053" t="s">
        <v>384</v>
      </c>
      <c r="D74" s="1050">
        <f>ROUND(+D52*D58/100,0)</f>
        <v>146</v>
      </c>
      <c r="E74" s="1050">
        <f>ROUND(+E52*E58/100,0)</f>
        <v>146</v>
      </c>
      <c r="F74" s="1050">
        <f>ROUND(+F52*F58/100,0)</f>
        <v>146</v>
      </c>
      <c r="G74" s="1050">
        <f>ROUND(+G52*G58/100,0)</f>
        <v>146</v>
      </c>
      <c r="H74" s="1050">
        <f>ROUND(+H52*H58/100,0)</f>
        <v>146</v>
      </c>
      <c r="I74" s="1114">
        <v>0.8</v>
      </c>
      <c r="J74" s="522"/>
    </row>
    <row r="75" spans="1:10" s="812" customFormat="1" ht="24" customHeight="1">
      <c r="A75" s="1890"/>
      <c r="B75" s="1893"/>
      <c r="C75" s="1053" t="s">
        <v>385</v>
      </c>
      <c r="D75" s="1050">
        <f>ROUNDDOWN(+D74/$I74,0)</f>
        <v>182</v>
      </c>
      <c r="E75" s="1050">
        <f>ROUNDDOWN(+E74/$I74,0)</f>
        <v>182</v>
      </c>
      <c r="F75" s="1050">
        <f>ROUNDDOWN(+F74/$I74,0)</f>
        <v>182</v>
      </c>
      <c r="G75" s="1050">
        <f>ROUNDDOWN(+G74/$I74,0)</f>
        <v>182</v>
      </c>
      <c r="H75" s="1050">
        <f>ROUNDDOWN(+H74/$I74,0)</f>
        <v>182</v>
      </c>
      <c r="I75" s="1114">
        <v>1</v>
      </c>
      <c r="J75" s="522"/>
    </row>
    <row r="76" spans="1:10" s="812" customFormat="1" ht="24" customHeight="1">
      <c r="A76" s="1891"/>
      <c r="B76" s="1910"/>
      <c r="C76" s="1115" t="s">
        <v>386</v>
      </c>
      <c r="D76" s="1116">
        <f>ROUND(+D75*$I76,0)</f>
        <v>328</v>
      </c>
      <c r="E76" s="1116">
        <f>ROUND(+E75*$I76,0)</f>
        <v>328</v>
      </c>
      <c r="F76" s="1116">
        <f>ROUND(+F75*$I76,0)</f>
        <v>328</v>
      </c>
      <c r="G76" s="1116">
        <f>ROUND(+G75*$I76,0)</f>
        <v>328</v>
      </c>
      <c r="H76" s="1116">
        <f>ROUND(+H75*$I76,0)</f>
        <v>328</v>
      </c>
      <c r="I76" s="1117">
        <v>1.8</v>
      </c>
      <c r="J76" s="522"/>
    </row>
    <row r="77" spans="1:10" s="812" customFormat="1" ht="24" customHeight="1">
      <c r="A77" s="1853" t="s">
        <v>268</v>
      </c>
      <c r="B77" s="1832"/>
      <c r="C77" s="1832"/>
      <c r="D77" s="1832" t="s">
        <v>380</v>
      </c>
      <c r="E77" s="1832"/>
      <c r="F77" s="1832"/>
      <c r="G77" s="1832"/>
      <c r="H77" s="1832"/>
      <c r="I77" s="1885" t="s">
        <v>144</v>
      </c>
    </row>
    <row r="78" spans="1:10" s="812" customFormat="1" ht="24" customHeight="1">
      <c r="A78" s="1894"/>
      <c r="B78" s="1895"/>
      <c r="C78" s="1895"/>
      <c r="D78" s="1226" t="s">
        <v>1524</v>
      </c>
      <c r="E78" s="1226" t="s">
        <v>287</v>
      </c>
      <c r="F78" s="1226" t="s">
        <v>288</v>
      </c>
      <c r="G78" s="1226" t="s">
        <v>289</v>
      </c>
      <c r="H78" s="1226" t="s">
        <v>278</v>
      </c>
      <c r="I78" s="1886"/>
    </row>
    <row r="79" spans="1:10" ht="24" customHeight="1">
      <c r="A79" s="1889" t="s">
        <v>1905</v>
      </c>
      <c r="B79" s="1897" t="s">
        <v>1554</v>
      </c>
      <c r="C79" s="1106" t="s">
        <v>384</v>
      </c>
      <c r="D79" s="1107">
        <f>+D80</f>
        <v>18</v>
      </c>
      <c r="E79" s="1107">
        <f t="shared" ref="E79:H79" si="26">+E80</f>
        <v>18</v>
      </c>
      <c r="F79" s="1107">
        <f t="shared" si="26"/>
        <v>18</v>
      </c>
      <c r="G79" s="1107">
        <f t="shared" si="26"/>
        <v>18</v>
      </c>
      <c r="H79" s="1107">
        <f t="shared" si="26"/>
        <v>18</v>
      </c>
      <c r="I79" s="1108"/>
    </row>
    <row r="80" spans="1:10" ht="24" customHeight="1">
      <c r="A80" s="1890"/>
      <c r="B80" s="1893"/>
      <c r="C80" s="1049" t="s">
        <v>385</v>
      </c>
      <c r="D80" s="1051">
        <f>ROUND(+D60*0.1,0)</f>
        <v>18</v>
      </c>
      <c r="E80" s="1051">
        <f>ROUND(+E60*0.1,0)</f>
        <v>18</v>
      </c>
      <c r="F80" s="1051">
        <f>ROUND(+F60*0.1,0)</f>
        <v>18</v>
      </c>
      <c r="G80" s="1051">
        <f>ROUND(+G60*0.1,0)</f>
        <v>18</v>
      </c>
      <c r="H80" s="1051">
        <f>ROUND(+H60*0.1,0)</f>
        <v>18</v>
      </c>
      <c r="I80" s="1109"/>
    </row>
    <row r="81" spans="1:9" ht="24" customHeight="1">
      <c r="A81" s="1890"/>
      <c r="B81" s="1893"/>
      <c r="C81" s="1049" t="s">
        <v>386</v>
      </c>
      <c r="D81" s="1051">
        <f>+D80</f>
        <v>18</v>
      </c>
      <c r="E81" s="1051">
        <f t="shared" ref="E81:H81" si="27">+E80</f>
        <v>18</v>
      </c>
      <c r="F81" s="1051">
        <f t="shared" si="27"/>
        <v>18</v>
      </c>
      <c r="G81" s="1051">
        <f t="shared" si="27"/>
        <v>18</v>
      </c>
      <c r="H81" s="1051">
        <f t="shared" si="27"/>
        <v>18</v>
      </c>
      <c r="I81" s="1109"/>
    </row>
    <row r="82" spans="1:9" ht="24" customHeight="1">
      <c r="A82" s="1890"/>
      <c r="B82" s="1892" t="s">
        <v>1556</v>
      </c>
      <c r="C82" s="1049" t="s">
        <v>384</v>
      </c>
      <c r="D82" s="1051">
        <f>+D83</f>
        <v>18</v>
      </c>
      <c r="E82" s="1051">
        <f t="shared" ref="E82:H82" si="28">+E83</f>
        <v>18</v>
      </c>
      <c r="F82" s="1051">
        <f t="shared" si="28"/>
        <v>18</v>
      </c>
      <c r="G82" s="1051">
        <f t="shared" si="28"/>
        <v>18</v>
      </c>
      <c r="H82" s="1051">
        <f t="shared" si="28"/>
        <v>18</v>
      </c>
      <c r="I82" s="1109"/>
    </row>
    <row r="83" spans="1:9" ht="24" customHeight="1">
      <c r="A83" s="1890"/>
      <c r="B83" s="1893"/>
      <c r="C83" s="1049" t="s">
        <v>385</v>
      </c>
      <c r="D83" s="1051">
        <f>ROUND(+D63*0.1,0)</f>
        <v>18</v>
      </c>
      <c r="E83" s="1051">
        <f>ROUND(+E63*0.1,0)</f>
        <v>18</v>
      </c>
      <c r="F83" s="1051">
        <f>ROUND(+F63*0.1,0)</f>
        <v>18</v>
      </c>
      <c r="G83" s="1051">
        <f>ROUND(+G63*0.1,0)</f>
        <v>18</v>
      </c>
      <c r="H83" s="1051">
        <f>ROUND(+H63*0.1,0)</f>
        <v>18</v>
      </c>
      <c r="I83" s="1109"/>
    </row>
    <row r="84" spans="1:9" ht="24" customHeight="1">
      <c r="A84" s="1890"/>
      <c r="B84" s="1893"/>
      <c r="C84" s="1049" t="s">
        <v>386</v>
      </c>
      <c r="D84" s="1051">
        <f>+D83</f>
        <v>18</v>
      </c>
      <c r="E84" s="1051">
        <f t="shared" ref="E84:H84" si="29">+E83</f>
        <v>18</v>
      </c>
      <c r="F84" s="1051">
        <f t="shared" si="29"/>
        <v>18</v>
      </c>
      <c r="G84" s="1051">
        <f t="shared" si="29"/>
        <v>18</v>
      </c>
      <c r="H84" s="1051">
        <f t="shared" si="29"/>
        <v>18</v>
      </c>
      <c r="I84" s="1109"/>
    </row>
    <row r="85" spans="1:9" s="812" customFormat="1" ht="24" customHeight="1">
      <c r="A85" s="1890"/>
      <c r="B85" s="1892" t="s">
        <v>1558</v>
      </c>
      <c r="C85" s="1049" t="s">
        <v>384</v>
      </c>
      <c r="D85" s="1051">
        <f>+D86</f>
        <v>18</v>
      </c>
      <c r="E85" s="1051">
        <f t="shared" ref="E85:H85" si="30">+E86</f>
        <v>18</v>
      </c>
      <c r="F85" s="1051">
        <f t="shared" si="30"/>
        <v>18</v>
      </c>
      <c r="G85" s="1051">
        <f t="shared" si="30"/>
        <v>18</v>
      </c>
      <c r="H85" s="1051">
        <f t="shared" si="30"/>
        <v>18</v>
      </c>
      <c r="I85" s="1109"/>
    </row>
    <row r="86" spans="1:9" s="812" customFormat="1" ht="24" customHeight="1">
      <c r="A86" s="1890"/>
      <c r="B86" s="1893"/>
      <c r="C86" s="1049" t="s">
        <v>385</v>
      </c>
      <c r="D86" s="1051">
        <f>ROUND(+D66*0.1,0)</f>
        <v>18</v>
      </c>
      <c r="E86" s="1051">
        <f>ROUND(+E66*0.1,0)</f>
        <v>18</v>
      </c>
      <c r="F86" s="1051">
        <f>ROUND(+F66*0.1,0)</f>
        <v>18</v>
      </c>
      <c r="G86" s="1051">
        <f>ROUND(+G66*0.1,0)</f>
        <v>18</v>
      </c>
      <c r="H86" s="1051">
        <f>ROUND(+H66*0.1,0)</f>
        <v>18</v>
      </c>
      <c r="I86" s="1109"/>
    </row>
    <row r="87" spans="1:9" s="812" customFormat="1" ht="24" customHeight="1">
      <c r="A87" s="1890"/>
      <c r="B87" s="1893"/>
      <c r="C87" s="1049" t="s">
        <v>386</v>
      </c>
      <c r="D87" s="1051">
        <f>+D86</f>
        <v>18</v>
      </c>
      <c r="E87" s="1051">
        <f t="shared" ref="E87:H87" si="31">+E86</f>
        <v>18</v>
      </c>
      <c r="F87" s="1051">
        <f t="shared" si="31"/>
        <v>18</v>
      </c>
      <c r="G87" s="1051">
        <f t="shared" si="31"/>
        <v>18</v>
      </c>
      <c r="H87" s="1051">
        <f t="shared" si="31"/>
        <v>18</v>
      </c>
      <c r="I87" s="1109"/>
    </row>
    <row r="88" spans="1:9" s="812" customFormat="1" ht="24" customHeight="1">
      <c r="A88" s="1890"/>
      <c r="B88" s="1892" t="s">
        <v>1560</v>
      </c>
      <c r="C88" s="1049" t="s">
        <v>384</v>
      </c>
      <c r="D88" s="1051">
        <f>+D89</f>
        <v>18</v>
      </c>
      <c r="E88" s="1051">
        <f t="shared" ref="E88:H88" si="32">+E89</f>
        <v>18</v>
      </c>
      <c r="F88" s="1051">
        <f t="shared" si="32"/>
        <v>18</v>
      </c>
      <c r="G88" s="1051">
        <f t="shared" si="32"/>
        <v>18</v>
      </c>
      <c r="H88" s="1051">
        <f t="shared" si="32"/>
        <v>18</v>
      </c>
      <c r="I88" s="1109"/>
    </row>
    <row r="89" spans="1:9" s="812" customFormat="1" ht="24" customHeight="1">
      <c r="A89" s="1890"/>
      <c r="B89" s="1893"/>
      <c r="C89" s="1049" t="s">
        <v>385</v>
      </c>
      <c r="D89" s="1051">
        <f>ROUND(+D69*0.1,0)</f>
        <v>18</v>
      </c>
      <c r="E89" s="1051">
        <f>ROUND(+E69*0.1,0)</f>
        <v>18</v>
      </c>
      <c r="F89" s="1051">
        <f>ROUND(+F69*0.1,0)</f>
        <v>18</v>
      </c>
      <c r="G89" s="1051">
        <f>ROUND(+G69*0.1,0)</f>
        <v>18</v>
      </c>
      <c r="H89" s="1051">
        <f>ROUND(+H69*0.1,0)</f>
        <v>18</v>
      </c>
      <c r="I89" s="1109"/>
    </row>
    <row r="90" spans="1:9" s="812" customFormat="1" ht="24" customHeight="1">
      <c r="A90" s="1890"/>
      <c r="B90" s="1893"/>
      <c r="C90" s="1049" t="s">
        <v>386</v>
      </c>
      <c r="D90" s="1051">
        <f>+D89</f>
        <v>18</v>
      </c>
      <c r="E90" s="1051">
        <f t="shared" ref="E90:H90" si="33">+E89</f>
        <v>18</v>
      </c>
      <c r="F90" s="1051">
        <f t="shared" si="33"/>
        <v>18</v>
      </c>
      <c r="G90" s="1051">
        <f t="shared" si="33"/>
        <v>18</v>
      </c>
      <c r="H90" s="1051">
        <f t="shared" si="33"/>
        <v>18</v>
      </c>
      <c r="I90" s="1109"/>
    </row>
    <row r="91" spans="1:9" ht="24" customHeight="1">
      <c r="A91" s="1890"/>
      <c r="B91" s="1892" t="s">
        <v>1562</v>
      </c>
      <c r="C91" s="1049" t="s">
        <v>384</v>
      </c>
      <c r="D91" s="1051">
        <f>+D92</f>
        <v>18</v>
      </c>
      <c r="E91" s="1051">
        <f t="shared" ref="E91:H91" si="34">+E92</f>
        <v>18</v>
      </c>
      <c r="F91" s="1051">
        <f t="shared" si="34"/>
        <v>18</v>
      </c>
      <c r="G91" s="1051">
        <f t="shared" si="34"/>
        <v>18</v>
      </c>
      <c r="H91" s="1051">
        <f t="shared" si="34"/>
        <v>18</v>
      </c>
      <c r="I91" s="1109"/>
    </row>
    <row r="92" spans="1:9" ht="24" customHeight="1">
      <c r="A92" s="1890"/>
      <c r="B92" s="1893"/>
      <c r="C92" s="1049" t="s">
        <v>385</v>
      </c>
      <c r="D92" s="1051">
        <f>ROUND(+D72*0.1,0)</f>
        <v>18</v>
      </c>
      <c r="E92" s="1051">
        <f>ROUND(+E72*0.1,0)</f>
        <v>18</v>
      </c>
      <c r="F92" s="1051">
        <f>ROUND(+F72*0.1,0)</f>
        <v>18</v>
      </c>
      <c r="G92" s="1051">
        <f>ROUND(+G72*0.1,0)</f>
        <v>18</v>
      </c>
      <c r="H92" s="1051">
        <f>ROUND(+H72*0.1,0)</f>
        <v>18</v>
      </c>
      <c r="I92" s="1109"/>
    </row>
    <row r="93" spans="1:9" ht="24" customHeight="1">
      <c r="A93" s="1890"/>
      <c r="B93" s="1893"/>
      <c r="C93" s="1049" t="s">
        <v>386</v>
      </c>
      <c r="D93" s="1051">
        <f>+D92</f>
        <v>18</v>
      </c>
      <c r="E93" s="1051">
        <f t="shared" ref="E93:H93" si="35">+E92</f>
        <v>18</v>
      </c>
      <c r="F93" s="1051">
        <f t="shared" si="35"/>
        <v>18</v>
      </c>
      <c r="G93" s="1051">
        <f t="shared" si="35"/>
        <v>18</v>
      </c>
      <c r="H93" s="1051">
        <f t="shared" si="35"/>
        <v>18</v>
      </c>
      <c r="I93" s="1109"/>
    </row>
    <row r="94" spans="1:9" s="812" customFormat="1" ht="24" customHeight="1">
      <c r="A94" s="1890"/>
      <c r="B94" s="1892" t="s">
        <v>5</v>
      </c>
      <c r="C94" s="1049" t="s">
        <v>384</v>
      </c>
      <c r="D94" s="1051">
        <f>+D95</f>
        <v>18</v>
      </c>
      <c r="E94" s="1051">
        <f t="shared" ref="E94:H94" si="36">+E95</f>
        <v>18</v>
      </c>
      <c r="F94" s="1051">
        <f t="shared" si="36"/>
        <v>18</v>
      </c>
      <c r="G94" s="1051">
        <f t="shared" si="36"/>
        <v>18</v>
      </c>
      <c r="H94" s="1051">
        <f t="shared" si="36"/>
        <v>18</v>
      </c>
      <c r="I94" s="1109"/>
    </row>
    <row r="95" spans="1:9" s="812" customFormat="1" ht="24" customHeight="1">
      <c r="A95" s="1890"/>
      <c r="B95" s="1893"/>
      <c r="C95" s="1049" t="s">
        <v>385</v>
      </c>
      <c r="D95" s="1051">
        <f>ROUND(+D75*0.1,0)</f>
        <v>18</v>
      </c>
      <c r="E95" s="1051">
        <f>ROUND(+E75*0.1,0)</f>
        <v>18</v>
      </c>
      <c r="F95" s="1051">
        <f>ROUND(+F75*0.1,0)</f>
        <v>18</v>
      </c>
      <c r="G95" s="1051">
        <f>ROUND(+G75*0.1,0)</f>
        <v>18</v>
      </c>
      <c r="H95" s="1051">
        <f>ROUND(+H75*0.1,0)</f>
        <v>18</v>
      </c>
      <c r="I95" s="1109"/>
    </row>
    <row r="96" spans="1:9" s="812" customFormat="1" ht="24" customHeight="1">
      <c r="A96" s="1891"/>
      <c r="B96" s="1910"/>
      <c r="C96" s="1110" t="s">
        <v>386</v>
      </c>
      <c r="D96" s="1111">
        <f>+D95</f>
        <v>18</v>
      </c>
      <c r="E96" s="1111">
        <f t="shared" ref="E96:H96" si="37">+E95</f>
        <v>18</v>
      </c>
      <c r="F96" s="1111">
        <f t="shared" si="37"/>
        <v>18</v>
      </c>
      <c r="G96" s="1111">
        <f t="shared" si="37"/>
        <v>18</v>
      </c>
      <c r="H96" s="1111">
        <f t="shared" si="37"/>
        <v>18</v>
      </c>
      <c r="I96" s="1112"/>
    </row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  <row r="102" ht="20.100000000000001" customHeight="1"/>
    <row r="103" ht="20.100000000000001" customHeight="1"/>
    <row r="104" ht="20.100000000000001" customHeight="1"/>
    <row r="105" ht="20.100000000000001" customHeight="1"/>
    <row r="106" ht="20.100000000000001" customHeight="1"/>
    <row r="107" ht="20.100000000000001" customHeight="1"/>
    <row r="108" ht="20.100000000000001" customHeight="1"/>
    <row r="109" ht="20.100000000000001" customHeight="1"/>
    <row r="110" ht="20.100000000000001" customHeight="1"/>
    <row r="111" ht="20.100000000000001" customHeight="1"/>
    <row r="112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57" ht="20.100000000000001" customHeight="1"/>
    <row r="158" ht="20.100000000000001" customHeight="1"/>
    <row r="159" ht="20.100000000000001" customHeight="1"/>
    <row r="160" ht="20.100000000000001" customHeight="1"/>
    <row r="161" ht="20.100000000000001" customHeight="1"/>
    <row r="162" ht="20.100000000000001" customHeight="1"/>
    <row r="163" ht="20.100000000000001" customHeight="1"/>
    <row r="164" ht="20.100000000000001" customHeight="1"/>
    <row r="165" ht="20.100000000000001" customHeight="1"/>
    <row r="166" ht="20.100000000000001" customHeight="1"/>
    <row r="167" ht="20.100000000000001" customHeight="1"/>
    <row r="168" ht="20.100000000000001" customHeight="1"/>
    <row r="169" ht="20.100000000000001" customHeight="1"/>
    <row r="170" ht="20.100000000000001" customHeight="1"/>
    <row r="171" ht="20.100000000000001" customHeight="1"/>
    <row r="172" ht="20.100000000000001" customHeight="1"/>
    <row r="173" ht="20.100000000000001" customHeight="1"/>
    <row r="174" ht="20.100000000000001" customHeight="1"/>
    <row r="175" ht="20.100000000000001" customHeight="1"/>
    <row r="176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</sheetData>
  <mergeCells count="70">
    <mergeCell ref="I77:I78"/>
    <mergeCell ref="B94:B96"/>
    <mergeCell ref="B85:B87"/>
    <mergeCell ref="B88:B90"/>
    <mergeCell ref="A27:B28"/>
    <mergeCell ref="C27:C28"/>
    <mergeCell ref="B52:C52"/>
    <mergeCell ref="B58:C58"/>
    <mergeCell ref="B74:B76"/>
    <mergeCell ref="B53:C53"/>
    <mergeCell ref="B56:C56"/>
    <mergeCell ref="B57:C57"/>
    <mergeCell ref="B54:C54"/>
    <mergeCell ref="B55:C55"/>
    <mergeCell ref="B68:B70"/>
    <mergeCell ref="B65:B67"/>
    <mergeCell ref="H11:H12"/>
    <mergeCell ref="A13:A17"/>
    <mergeCell ref="A3:B4"/>
    <mergeCell ref="C3:C4"/>
    <mergeCell ref="D3:F3"/>
    <mergeCell ref="G3:G4"/>
    <mergeCell ref="H3:H4"/>
    <mergeCell ref="A5:A9"/>
    <mergeCell ref="A11:B12"/>
    <mergeCell ref="C11:C12"/>
    <mergeCell ref="D11:F11"/>
    <mergeCell ref="G11:G12"/>
    <mergeCell ref="A19:B20"/>
    <mergeCell ref="C19:C20"/>
    <mergeCell ref="D19:F19"/>
    <mergeCell ref="G19:G20"/>
    <mergeCell ref="H19:H20"/>
    <mergeCell ref="A37:A41"/>
    <mergeCell ref="B48:C48"/>
    <mergeCell ref="B47:C47"/>
    <mergeCell ref="B50:C50"/>
    <mergeCell ref="B49:C49"/>
    <mergeCell ref="A21:A25"/>
    <mergeCell ref="A29:A33"/>
    <mergeCell ref="A35:B36"/>
    <mergeCell ref="C35:C36"/>
    <mergeCell ref="D35:F35"/>
    <mergeCell ref="G35:G36"/>
    <mergeCell ref="H35:H36"/>
    <mergeCell ref="D27:F27"/>
    <mergeCell ref="G27:G28"/>
    <mergeCell ref="H27:H28"/>
    <mergeCell ref="A79:A96"/>
    <mergeCell ref="B82:B84"/>
    <mergeCell ref="D45:H45"/>
    <mergeCell ref="A47:A52"/>
    <mergeCell ref="A53:A58"/>
    <mergeCell ref="B59:B61"/>
    <mergeCell ref="B62:B64"/>
    <mergeCell ref="B71:B73"/>
    <mergeCell ref="A45:C46"/>
    <mergeCell ref="A59:A76"/>
    <mergeCell ref="B91:B93"/>
    <mergeCell ref="B51:C51"/>
    <mergeCell ref="B79:B81"/>
    <mergeCell ref="A77:C78"/>
    <mergeCell ref="D77:H77"/>
    <mergeCell ref="I47:I52"/>
    <mergeCell ref="I45:I46"/>
    <mergeCell ref="I19:I20"/>
    <mergeCell ref="I11:I12"/>
    <mergeCell ref="I3:I4"/>
    <mergeCell ref="I27:I28"/>
    <mergeCell ref="I35:I36"/>
  </mergeCells>
  <phoneticPr fontId="7" type="noConversion"/>
  <pageMargins left="0.7" right="0.7" top="0.75" bottom="0.75" header="0.3" footer="0.3"/>
  <pageSetup paperSize="9" scale="85" orientation="portrait" r:id="rId1"/>
  <rowBreaks count="3" manualBreakCount="3">
    <brk id="25" max="16383" man="1"/>
    <brk id="42" max="16383" man="1"/>
    <brk id="7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AD75"/>
  <sheetViews>
    <sheetView view="pageBreakPreview" zoomScaleNormal="100" zoomScaleSheetLayoutView="100" workbookViewId="0"/>
  </sheetViews>
  <sheetFormatPr defaultRowHeight="12"/>
  <cols>
    <col min="1" max="8" width="4.77734375" style="538" customWidth="1"/>
    <col min="9" max="12" width="5.77734375" style="538" customWidth="1"/>
    <col min="13" max="20" width="5.77734375" style="536" customWidth="1"/>
    <col min="21" max="22" width="4.77734375" style="536" customWidth="1"/>
    <col min="23" max="25" width="8.88671875" style="536"/>
    <col min="26" max="26" width="11.109375" style="536" bestFit="1" customWidth="1"/>
    <col min="27" max="255" width="8.88671875" style="536"/>
    <col min="256" max="263" width="4.77734375" style="536" customWidth="1"/>
    <col min="264" max="275" width="5.77734375" style="536" customWidth="1"/>
    <col min="276" max="277" width="4.77734375" style="536" customWidth="1"/>
    <col min="278" max="511" width="8.88671875" style="536"/>
    <col min="512" max="519" width="4.77734375" style="536" customWidth="1"/>
    <col min="520" max="531" width="5.77734375" style="536" customWidth="1"/>
    <col min="532" max="533" width="4.77734375" style="536" customWidth="1"/>
    <col min="534" max="767" width="8.88671875" style="536"/>
    <col min="768" max="775" width="4.77734375" style="536" customWidth="1"/>
    <col min="776" max="787" width="5.77734375" style="536" customWidth="1"/>
    <col min="788" max="789" width="4.77734375" style="536" customWidth="1"/>
    <col min="790" max="1023" width="8.88671875" style="536"/>
    <col min="1024" max="1031" width="4.77734375" style="536" customWidth="1"/>
    <col min="1032" max="1043" width="5.77734375" style="536" customWidth="1"/>
    <col min="1044" max="1045" width="4.77734375" style="536" customWidth="1"/>
    <col min="1046" max="1279" width="8.88671875" style="536"/>
    <col min="1280" max="1287" width="4.77734375" style="536" customWidth="1"/>
    <col min="1288" max="1299" width="5.77734375" style="536" customWidth="1"/>
    <col min="1300" max="1301" width="4.77734375" style="536" customWidth="1"/>
    <col min="1302" max="1535" width="8.88671875" style="536"/>
    <col min="1536" max="1543" width="4.77734375" style="536" customWidth="1"/>
    <col min="1544" max="1555" width="5.77734375" style="536" customWidth="1"/>
    <col min="1556" max="1557" width="4.77734375" style="536" customWidth="1"/>
    <col min="1558" max="1791" width="8.88671875" style="536"/>
    <col min="1792" max="1799" width="4.77734375" style="536" customWidth="1"/>
    <col min="1800" max="1811" width="5.77734375" style="536" customWidth="1"/>
    <col min="1812" max="1813" width="4.77734375" style="536" customWidth="1"/>
    <col min="1814" max="2047" width="8.88671875" style="536"/>
    <col min="2048" max="2055" width="4.77734375" style="536" customWidth="1"/>
    <col min="2056" max="2067" width="5.77734375" style="536" customWidth="1"/>
    <col min="2068" max="2069" width="4.77734375" style="536" customWidth="1"/>
    <col min="2070" max="2303" width="8.88671875" style="536"/>
    <col min="2304" max="2311" width="4.77734375" style="536" customWidth="1"/>
    <col min="2312" max="2323" width="5.77734375" style="536" customWidth="1"/>
    <col min="2324" max="2325" width="4.77734375" style="536" customWidth="1"/>
    <col min="2326" max="2559" width="8.88671875" style="536"/>
    <col min="2560" max="2567" width="4.77734375" style="536" customWidth="1"/>
    <col min="2568" max="2579" width="5.77734375" style="536" customWidth="1"/>
    <col min="2580" max="2581" width="4.77734375" style="536" customWidth="1"/>
    <col min="2582" max="2815" width="8.88671875" style="536"/>
    <col min="2816" max="2823" width="4.77734375" style="536" customWidth="1"/>
    <col min="2824" max="2835" width="5.77734375" style="536" customWidth="1"/>
    <col min="2836" max="2837" width="4.77734375" style="536" customWidth="1"/>
    <col min="2838" max="3071" width="8.88671875" style="536"/>
    <col min="3072" max="3079" width="4.77734375" style="536" customWidth="1"/>
    <col min="3080" max="3091" width="5.77734375" style="536" customWidth="1"/>
    <col min="3092" max="3093" width="4.77734375" style="536" customWidth="1"/>
    <col min="3094" max="3327" width="8.88671875" style="536"/>
    <col min="3328" max="3335" width="4.77734375" style="536" customWidth="1"/>
    <col min="3336" max="3347" width="5.77734375" style="536" customWidth="1"/>
    <col min="3348" max="3349" width="4.77734375" style="536" customWidth="1"/>
    <col min="3350" max="3583" width="8.88671875" style="536"/>
    <col min="3584" max="3591" width="4.77734375" style="536" customWidth="1"/>
    <col min="3592" max="3603" width="5.77734375" style="536" customWidth="1"/>
    <col min="3604" max="3605" width="4.77734375" style="536" customWidth="1"/>
    <col min="3606" max="3839" width="8.88671875" style="536"/>
    <col min="3840" max="3847" width="4.77734375" style="536" customWidth="1"/>
    <col min="3848" max="3859" width="5.77734375" style="536" customWidth="1"/>
    <col min="3860" max="3861" width="4.77734375" style="536" customWidth="1"/>
    <col min="3862" max="4095" width="8.88671875" style="536"/>
    <col min="4096" max="4103" width="4.77734375" style="536" customWidth="1"/>
    <col min="4104" max="4115" width="5.77734375" style="536" customWidth="1"/>
    <col min="4116" max="4117" width="4.77734375" style="536" customWidth="1"/>
    <col min="4118" max="4351" width="8.88671875" style="536"/>
    <col min="4352" max="4359" width="4.77734375" style="536" customWidth="1"/>
    <col min="4360" max="4371" width="5.77734375" style="536" customWidth="1"/>
    <col min="4372" max="4373" width="4.77734375" style="536" customWidth="1"/>
    <col min="4374" max="4607" width="8.88671875" style="536"/>
    <col min="4608" max="4615" width="4.77734375" style="536" customWidth="1"/>
    <col min="4616" max="4627" width="5.77734375" style="536" customWidth="1"/>
    <col min="4628" max="4629" width="4.77734375" style="536" customWidth="1"/>
    <col min="4630" max="4863" width="8.88671875" style="536"/>
    <col min="4864" max="4871" width="4.77734375" style="536" customWidth="1"/>
    <col min="4872" max="4883" width="5.77734375" style="536" customWidth="1"/>
    <col min="4884" max="4885" width="4.77734375" style="536" customWidth="1"/>
    <col min="4886" max="5119" width="8.88671875" style="536"/>
    <col min="5120" max="5127" width="4.77734375" style="536" customWidth="1"/>
    <col min="5128" max="5139" width="5.77734375" style="536" customWidth="1"/>
    <col min="5140" max="5141" width="4.77734375" style="536" customWidth="1"/>
    <col min="5142" max="5375" width="8.88671875" style="536"/>
    <col min="5376" max="5383" width="4.77734375" style="536" customWidth="1"/>
    <col min="5384" max="5395" width="5.77734375" style="536" customWidth="1"/>
    <col min="5396" max="5397" width="4.77734375" style="536" customWidth="1"/>
    <col min="5398" max="5631" width="8.88671875" style="536"/>
    <col min="5632" max="5639" width="4.77734375" style="536" customWidth="1"/>
    <col min="5640" max="5651" width="5.77734375" style="536" customWidth="1"/>
    <col min="5652" max="5653" width="4.77734375" style="536" customWidth="1"/>
    <col min="5654" max="5887" width="8.88671875" style="536"/>
    <col min="5888" max="5895" width="4.77734375" style="536" customWidth="1"/>
    <col min="5896" max="5907" width="5.77734375" style="536" customWidth="1"/>
    <col min="5908" max="5909" width="4.77734375" style="536" customWidth="1"/>
    <col min="5910" max="6143" width="8.88671875" style="536"/>
    <col min="6144" max="6151" width="4.77734375" style="536" customWidth="1"/>
    <col min="6152" max="6163" width="5.77734375" style="536" customWidth="1"/>
    <col min="6164" max="6165" width="4.77734375" style="536" customWidth="1"/>
    <col min="6166" max="6399" width="8.88671875" style="536"/>
    <col min="6400" max="6407" width="4.77734375" style="536" customWidth="1"/>
    <col min="6408" max="6419" width="5.77734375" style="536" customWidth="1"/>
    <col min="6420" max="6421" width="4.77734375" style="536" customWidth="1"/>
    <col min="6422" max="6655" width="8.88671875" style="536"/>
    <col min="6656" max="6663" width="4.77734375" style="536" customWidth="1"/>
    <col min="6664" max="6675" width="5.77734375" style="536" customWidth="1"/>
    <col min="6676" max="6677" width="4.77734375" style="536" customWidth="1"/>
    <col min="6678" max="6911" width="8.88671875" style="536"/>
    <col min="6912" max="6919" width="4.77734375" style="536" customWidth="1"/>
    <col min="6920" max="6931" width="5.77734375" style="536" customWidth="1"/>
    <col min="6932" max="6933" width="4.77734375" style="536" customWidth="1"/>
    <col min="6934" max="7167" width="8.88671875" style="536"/>
    <col min="7168" max="7175" width="4.77734375" style="536" customWidth="1"/>
    <col min="7176" max="7187" width="5.77734375" style="536" customWidth="1"/>
    <col min="7188" max="7189" width="4.77734375" style="536" customWidth="1"/>
    <col min="7190" max="7423" width="8.88671875" style="536"/>
    <col min="7424" max="7431" width="4.77734375" style="536" customWidth="1"/>
    <col min="7432" max="7443" width="5.77734375" style="536" customWidth="1"/>
    <col min="7444" max="7445" width="4.77734375" style="536" customWidth="1"/>
    <col min="7446" max="7679" width="8.88671875" style="536"/>
    <col min="7680" max="7687" width="4.77734375" style="536" customWidth="1"/>
    <col min="7688" max="7699" width="5.77734375" style="536" customWidth="1"/>
    <col min="7700" max="7701" width="4.77734375" style="536" customWidth="1"/>
    <col min="7702" max="7935" width="8.88671875" style="536"/>
    <col min="7936" max="7943" width="4.77734375" style="536" customWidth="1"/>
    <col min="7944" max="7955" width="5.77734375" style="536" customWidth="1"/>
    <col min="7956" max="7957" width="4.77734375" style="536" customWidth="1"/>
    <col min="7958" max="8191" width="8.88671875" style="536"/>
    <col min="8192" max="8199" width="4.77734375" style="536" customWidth="1"/>
    <col min="8200" max="8211" width="5.77734375" style="536" customWidth="1"/>
    <col min="8212" max="8213" width="4.77734375" style="536" customWidth="1"/>
    <col min="8214" max="8447" width="8.88671875" style="536"/>
    <col min="8448" max="8455" width="4.77734375" style="536" customWidth="1"/>
    <col min="8456" max="8467" width="5.77734375" style="536" customWidth="1"/>
    <col min="8468" max="8469" width="4.77734375" style="536" customWidth="1"/>
    <col min="8470" max="8703" width="8.88671875" style="536"/>
    <col min="8704" max="8711" width="4.77734375" style="536" customWidth="1"/>
    <col min="8712" max="8723" width="5.77734375" style="536" customWidth="1"/>
    <col min="8724" max="8725" width="4.77734375" style="536" customWidth="1"/>
    <col min="8726" max="8959" width="8.88671875" style="536"/>
    <col min="8960" max="8967" width="4.77734375" style="536" customWidth="1"/>
    <col min="8968" max="8979" width="5.77734375" style="536" customWidth="1"/>
    <col min="8980" max="8981" width="4.77734375" style="536" customWidth="1"/>
    <col min="8982" max="9215" width="8.88671875" style="536"/>
    <col min="9216" max="9223" width="4.77734375" style="536" customWidth="1"/>
    <col min="9224" max="9235" width="5.77734375" style="536" customWidth="1"/>
    <col min="9236" max="9237" width="4.77734375" style="536" customWidth="1"/>
    <col min="9238" max="9471" width="8.88671875" style="536"/>
    <col min="9472" max="9479" width="4.77734375" style="536" customWidth="1"/>
    <col min="9480" max="9491" width="5.77734375" style="536" customWidth="1"/>
    <col min="9492" max="9493" width="4.77734375" style="536" customWidth="1"/>
    <col min="9494" max="9727" width="8.88671875" style="536"/>
    <col min="9728" max="9735" width="4.77734375" style="536" customWidth="1"/>
    <col min="9736" max="9747" width="5.77734375" style="536" customWidth="1"/>
    <col min="9748" max="9749" width="4.77734375" style="536" customWidth="1"/>
    <col min="9750" max="9983" width="8.88671875" style="536"/>
    <col min="9984" max="9991" width="4.77734375" style="536" customWidth="1"/>
    <col min="9992" max="10003" width="5.77734375" style="536" customWidth="1"/>
    <col min="10004" max="10005" width="4.77734375" style="536" customWidth="1"/>
    <col min="10006" max="10239" width="8.88671875" style="536"/>
    <col min="10240" max="10247" width="4.77734375" style="536" customWidth="1"/>
    <col min="10248" max="10259" width="5.77734375" style="536" customWidth="1"/>
    <col min="10260" max="10261" width="4.77734375" style="536" customWidth="1"/>
    <col min="10262" max="10495" width="8.88671875" style="536"/>
    <col min="10496" max="10503" width="4.77734375" style="536" customWidth="1"/>
    <col min="10504" max="10515" width="5.77734375" style="536" customWidth="1"/>
    <col min="10516" max="10517" width="4.77734375" style="536" customWidth="1"/>
    <col min="10518" max="10751" width="8.88671875" style="536"/>
    <col min="10752" max="10759" width="4.77734375" style="536" customWidth="1"/>
    <col min="10760" max="10771" width="5.77734375" style="536" customWidth="1"/>
    <col min="10772" max="10773" width="4.77734375" style="536" customWidth="1"/>
    <col min="10774" max="11007" width="8.88671875" style="536"/>
    <col min="11008" max="11015" width="4.77734375" style="536" customWidth="1"/>
    <col min="11016" max="11027" width="5.77734375" style="536" customWidth="1"/>
    <col min="11028" max="11029" width="4.77734375" style="536" customWidth="1"/>
    <col min="11030" max="11263" width="8.88671875" style="536"/>
    <col min="11264" max="11271" width="4.77734375" style="536" customWidth="1"/>
    <col min="11272" max="11283" width="5.77734375" style="536" customWidth="1"/>
    <col min="11284" max="11285" width="4.77734375" style="536" customWidth="1"/>
    <col min="11286" max="11519" width="8.88671875" style="536"/>
    <col min="11520" max="11527" width="4.77734375" style="536" customWidth="1"/>
    <col min="11528" max="11539" width="5.77734375" style="536" customWidth="1"/>
    <col min="11540" max="11541" width="4.77734375" style="536" customWidth="1"/>
    <col min="11542" max="11775" width="8.88671875" style="536"/>
    <col min="11776" max="11783" width="4.77734375" style="536" customWidth="1"/>
    <col min="11784" max="11795" width="5.77734375" style="536" customWidth="1"/>
    <col min="11796" max="11797" width="4.77734375" style="536" customWidth="1"/>
    <col min="11798" max="12031" width="8.88671875" style="536"/>
    <col min="12032" max="12039" width="4.77734375" style="536" customWidth="1"/>
    <col min="12040" max="12051" width="5.77734375" style="536" customWidth="1"/>
    <col min="12052" max="12053" width="4.77734375" style="536" customWidth="1"/>
    <col min="12054" max="12287" width="8.88671875" style="536"/>
    <col min="12288" max="12295" width="4.77734375" style="536" customWidth="1"/>
    <col min="12296" max="12307" width="5.77734375" style="536" customWidth="1"/>
    <col min="12308" max="12309" width="4.77734375" style="536" customWidth="1"/>
    <col min="12310" max="12543" width="8.88671875" style="536"/>
    <col min="12544" max="12551" width="4.77734375" style="536" customWidth="1"/>
    <col min="12552" max="12563" width="5.77734375" style="536" customWidth="1"/>
    <col min="12564" max="12565" width="4.77734375" style="536" customWidth="1"/>
    <col min="12566" max="12799" width="8.88671875" style="536"/>
    <col min="12800" max="12807" width="4.77734375" style="536" customWidth="1"/>
    <col min="12808" max="12819" width="5.77734375" style="536" customWidth="1"/>
    <col min="12820" max="12821" width="4.77734375" style="536" customWidth="1"/>
    <col min="12822" max="13055" width="8.88671875" style="536"/>
    <col min="13056" max="13063" width="4.77734375" style="536" customWidth="1"/>
    <col min="13064" max="13075" width="5.77734375" style="536" customWidth="1"/>
    <col min="13076" max="13077" width="4.77734375" style="536" customWidth="1"/>
    <col min="13078" max="13311" width="8.88671875" style="536"/>
    <col min="13312" max="13319" width="4.77734375" style="536" customWidth="1"/>
    <col min="13320" max="13331" width="5.77734375" style="536" customWidth="1"/>
    <col min="13332" max="13333" width="4.77734375" style="536" customWidth="1"/>
    <col min="13334" max="13567" width="8.88671875" style="536"/>
    <col min="13568" max="13575" width="4.77734375" style="536" customWidth="1"/>
    <col min="13576" max="13587" width="5.77734375" style="536" customWidth="1"/>
    <col min="13588" max="13589" width="4.77734375" style="536" customWidth="1"/>
    <col min="13590" max="13823" width="8.88671875" style="536"/>
    <col min="13824" max="13831" width="4.77734375" style="536" customWidth="1"/>
    <col min="13832" max="13843" width="5.77734375" style="536" customWidth="1"/>
    <col min="13844" max="13845" width="4.77734375" style="536" customWidth="1"/>
    <col min="13846" max="14079" width="8.88671875" style="536"/>
    <col min="14080" max="14087" width="4.77734375" style="536" customWidth="1"/>
    <col min="14088" max="14099" width="5.77734375" style="536" customWidth="1"/>
    <col min="14100" max="14101" width="4.77734375" style="536" customWidth="1"/>
    <col min="14102" max="14335" width="8.88671875" style="536"/>
    <col min="14336" max="14343" width="4.77734375" style="536" customWidth="1"/>
    <col min="14344" max="14355" width="5.77734375" style="536" customWidth="1"/>
    <col min="14356" max="14357" width="4.77734375" style="536" customWidth="1"/>
    <col min="14358" max="14591" width="8.88671875" style="536"/>
    <col min="14592" max="14599" width="4.77734375" style="536" customWidth="1"/>
    <col min="14600" max="14611" width="5.77734375" style="536" customWidth="1"/>
    <col min="14612" max="14613" width="4.77734375" style="536" customWidth="1"/>
    <col min="14614" max="14847" width="8.88671875" style="536"/>
    <col min="14848" max="14855" width="4.77734375" style="536" customWidth="1"/>
    <col min="14856" max="14867" width="5.77734375" style="536" customWidth="1"/>
    <col min="14868" max="14869" width="4.77734375" style="536" customWidth="1"/>
    <col min="14870" max="15103" width="8.88671875" style="536"/>
    <col min="15104" max="15111" width="4.77734375" style="536" customWidth="1"/>
    <col min="15112" max="15123" width="5.77734375" style="536" customWidth="1"/>
    <col min="15124" max="15125" width="4.77734375" style="536" customWidth="1"/>
    <col min="15126" max="15359" width="8.88671875" style="536"/>
    <col min="15360" max="15367" width="4.77734375" style="536" customWidth="1"/>
    <col min="15368" max="15379" width="5.77734375" style="536" customWidth="1"/>
    <col min="15380" max="15381" width="4.77734375" style="536" customWidth="1"/>
    <col min="15382" max="15615" width="8.88671875" style="536"/>
    <col min="15616" max="15623" width="4.77734375" style="536" customWidth="1"/>
    <col min="15624" max="15635" width="5.77734375" style="536" customWidth="1"/>
    <col min="15636" max="15637" width="4.77734375" style="536" customWidth="1"/>
    <col min="15638" max="15871" width="8.88671875" style="536"/>
    <col min="15872" max="15879" width="4.77734375" style="536" customWidth="1"/>
    <col min="15880" max="15891" width="5.77734375" style="536" customWidth="1"/>
    <col min="15892" max="15893" width="4.77734375" style="536" customWidth="1"/>
    <col min="15894" max="16127" width="8.88671875" style="536"/>
    <col min="16128" max="16135" width="4.77734375" style="536" customWidth="1"/>
    <col min="16136" max="16147" width="5.77734375" style="536" customWidth="1"/>
    <col min="16148" max="16149" width="4.77734375" style="536" customWidth="1"/>
    <col min="16150" max="16384" width="8.88671875" style="536"/>
  </cols>
  <sheetData>
    <row r="1" spans="1:30" s="2" customFormat="1" ht="19.5" customHeight="1">
      <c r="A1" s="531" t="s">
        <v>765</v>
      </c>
      <c r="D1" s="532"/>
      <c r="E1" s="532"/>
      <c r="F1" s="532"/>
      <c r="G1" s="532"/>
      <c r="H1" s="532"/>
      <c r="J1" s="532"/>
      <c r="M1" s="532"/>
      <c r="O1" s="532"/>
    </row>
    <row r="2" spans="1:30" ht="19.5" customHeight="1">
      <c r="A2" s="531" t="s">
        <v>766</v>
      </c>
    </row>
    <row r="3" spans="1:30" ht="19.5" customHeight="1">
      <c r="A3" s="2009" t="s">
        <v>549</v>
      </c>
      <c r="B3" s="1998"/>
      <c r="C3" s="1998"/>
      <c r="D3" s="1998"/>
      <c r="E3" s="1996" t="s">
        <v>550</v>
      </c>
      <c r="F3" s="1996"/>
      <c r="G3" s="1998" t="s">
        <v>1597</v>
      </c>
      <c r="H3" s="1998"/>
      <c r="I3" s="1998"/>
      <c r="J3" s="1998"/>
      <c r="K3" s="1998"/>
      <c r="L3" s="1998"/>
      <c r="M3" s="1998"/>
      <c r="N3" s="1998"/>
      <c r="O3" s="1998"/>
      <c r="P3" s="1998"/>
      <c r="Q3" s="1998"/>
      <c r="R3" s="1998"/>
      <c r="S3" s="1998"/>
      <c r="T3" s="1998"/>
      <c r="U3" s="1998" t="s">
        <v>551</v>
      </c>
      <c r="V3" s="1999"/>
    </row>
    <row r="4" spans="1:30" ht="19.5" customHeight="1">
      <c r="A4" s="2010"/>
      <c r="B4" s="2000"/>
      <c r="C4" s="2000"/>
      <c r="D4" s="2000"/>
      <c r="E4" s="1997"/>
      <c r="F4" s="1997"/>
      <c r="G4" s="2000" t="s">
        <v>552</v>
      </c>
      <c r="H4" s="2000"/>
      <c r="I4" s="539" t="s">
        <v>553</v>
      </c>
      <c r="J4" s="539" t="s">
        <v>38</v>
      </c>
      <c r="K4" s="539" t="s">
        <v>39</v>
      </c>
      <c r="L4" s="539" t="s">
        <v>40</v>
      </c>
      <c r="M4" s="539" t="s">
        <v>41</v>
      </c>
      <c r="N4" s="539" t="s">
        <v>28</v>
      </c>
      <c r="O4" s="539" t="s">
        <v>29</v>
      </c>
      <c r="P4" s="539" t="s">
        <v>30</v>
      </c>
      <c r="Q4" s="539" t="s">
        <v>31</v>
      </c>
      <c r="R4" s="539" t="s">
        <v>32</v>
      </c>
      <c r="S4" s="539" t="s">
        <v>33</v>
      </c>
      <c r="T4" s="539" t="s">
        <v>34</v>
      </c>
      <c r="U4" s="2000"/>
      <c r="V4" s="2001"/>
      <c r="X4" s="1927" t="s">
        <v>35</v>
      </c>
      <c r="Y4" s="1927"/>
      <c r="Z4" s="680" t="s">
        <v>695</v>
      </c>
      <c r="AA4" s="680" t="s">
        <v>696</v>
      </c>
      <c r="AB4" s="680" t="s">
        <v>697</v>
      </c>
      <c r="AC4" s="680" t="s">
        <v>698</v>
      </c>
      <c r="AD4" s="681" t="s">
        <v>36</v>
      </c>
    </row>
    <row r="5" spans="1:30" ht="19.5" customHeight="1">
      <c r="A5" s="1992" t="s">
        <v>1512</v>
      </c>
      <c r="B5" s="1993"/>
      <c r="C5" s="2002" t="s">
        <v>1516</v>
      </c>
      <c r="D5" s="2002"/>
      <c r="E5" s="2003">
        <f t="shared" ref="E5" si="0">G5/365</f>
        <v>378.18904109589039</v>
      </c>
      <c r="F5" s="2003"/>
      <c r="G5" s="2004">
        <f>SUM(I5:T5)</f>
        <v>138039</v>
      </c>
      <c r="H5" s="2004"/>
      <c r="I5" s="540">
        <v>12221</v>
      </c>
      <c r="J5" s="540">
        <v>13562</v>
      </c>
      <c r="K5" s="540">
        <v>14726</v>
      </c>
      <c r="L5" s="540">
        <v>10863</v>
      </c>
      <c r="M5" s="540">
        <v>12948</v>
      </c>
      <c r="N5" s="540">
        <v>11370</v>
      </c>
      <c r="O5" s="540">
        <v>9696</v>
      </c>
      <c r="P5" s="540">
        <v>8967</v>
      </c>
      <c r="Q5" s="540">
        <v>8457</v>
      </c>
      <c r="R5" s="540">
        <v>10878</v>
      </c>
      <c r="S5" s="540">
        <v>10342</v>
      </c>
      <c r="T5" s="540">
        <v>14009</v>
      </c>
      <c r="U5" s="1988"/>
      <c r="V5" s="1989"/>
      <c r="X5" s="1929" t="s">
        <v>694</v>
      </c>
      <c r="Y5" s="683" t="s">
        <v>681</v>
      </c>
      <c r="Z5" s="685">
        <v>32518</v>
      </c>
      <c r="AA5" s="685">
        <v>2755</v>
      </c>
      <c r="AB5" s="685">
        <v>1942</v>
      </c>
      <c r="AC5" s="685">
        <v>7385</v>
      </c>
      <c r="AD5" s="684"/>
    </row>
    <row r="6" spans="1:30" ht="19.5" customHeight="1">
      <c r="A6" s="1994"/>
      <c r="B6" s="1995"/>
      <c r="C6" s="2011"/>
      <c r="D6" s="2011"/>
      <c r="E6" s="1936"/>
      <c r="F6" s="1936"/>
      <c r="G6" s="1937"/>
      <c r="H6" s="1937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1938"/>
      <c r="V6" s="1939"/>
      <c r="X6" s="1930"/>
      <c r="Y6" s="683" t="s">
        <v>682</v>
      </c>
      <c r="Z6" s="685">
        <v>36807</v>
      </c>
      <c r="AA6" s="685">
        <v>2750</v>
      </c>
      <c r="AB6" s="685">
        <v>2458</v>
      </c>
      <c r="AC6" s="685">
        <v>7755</v>
      </c>
      <c r="AD6" s="684"/>
    </row>
    <row r="7" spans="1:30" ht="19.5" customHeight="1">
      <c r="A7" s="1921" t="s">
        <v>554</v>
      </c>
      <c r="B7" s="1922"/>
      <c r="C7" s="1922"/>
      <c r="D7" s="1922"/>
      <c r="E7" s="1923">
        <f>SUM(E5:E6)</f>
        <v>378.18904109589039</v>
      </c>
      <c r="F7" s="1923"/>
      <c r="G7" s="1924">
        <f>SUM(G5:G6)</f>
        <v>138039</v>
      </c>
      <c r="H7" s="1924"/>
      <c r="I7" s="542">
        <f t="shared" ref="I7:T7" si="1">SUM(I5:I6)</f>
        <v>12221</v>
      </c>
      <c r="J7" s="542">
        <f t="shared" si="1"/>
        <v>13562</v>
      </c>
      <c r="K7" s="542">
        <f t="shared" si="1"/>
        <v>14726</v>
      </c>
      <c r="L7" s="542">
        <f t="shared" si="1"/>
        <v>10863</v>
      </c>
      <c r="M7" s="542">
        <f t="shared" si="1"/>
        <v>12948</v>
      </c>
      <c r="N7" s="542">
        <f t="shared" si="1"/>
        <v>11370</v>
      </c>
      <c r="O7" s="542">
        <f t="shared" si="1"/>
        <v>9696</v>
      </c>
      <c r="P7" s="542">
        <f t="shared" si="1"/>
        <v>8967</v>
      </c>
      <c r="Q7" s="542">
        <f t="shared" si="1"/>
        <v>8457</v>
      </c>
      <c r="R7" s="542">
        <f t="shared" si="1"/>
        <v>10878</v>
      </c>
      <c r="S7" s="542">
        <f t="shared" si="1"/>
        <v>10342</v>
      </c>
      <c r="T7" s="542">
        <f t="shared" si="1"/>
        <v>14009</v>
      </c>
      <c r="U7" s="1925"/>
      <c r="V7" s="1926"/>
      <c r="X7" s="1930"/>
      <c r="Y7" s="683" t="s">
        <v>683</v>
      </c>
      <c r="Z7" s="685">
        <v>29317</v>
      </c>
      <c r="AA7" s="685">
        <v>2675</v>
      </c>
      <c r="AB7" s="685">
        <v>1699</v>
      </c>
      <c r="AC7" s="685">
        <v>6056</v>
      </c>
      <c r="AD7" s="684"/>
    </row>
    <row r="8" spans="1:30" ht="19.5" customHeight="1">
      <c r="A8" s="2005" t="s">
        <v>1513</v>
      </c>
      <c r="B8" s="2006"/>
      <c r="C8" s="2012" t="s">
        <v>1517</v>
      </c>
      <c r="D8" s="2012"/>
      <c r="E8" s="1986">
        <f t="shared" ref="E8" si="2">G8/365</f>
        <v>461.55068493150685</v>
      </c>
      <c r="F8" s="1986"/>
      <c r="G8" s="1987">
        <f>SUM(I8:T8)</f>
        <v>168466</v>
      </c>
      <c r="H8" s="1987"/>
      <c r="I8" s="540">
        <v>17962</v>
      </c>
      <c r="J8" s="540">
        <v>16033</v>
      </c>
      <c r="K8" s="540">
        <v>18396</v>
      </c>
      <c r="L8" s="540">
        <v>10652</v>
      </c>
      <c r="M8" s="540">
        <v>10692</v>
      </c>
      <c r="N8" s="540">
        <v>14606</v>
      </c>
      <c r="O8" s="540">
        <v>16116</v>
      </c>
      <c r="P8" s="540">
        <v>14452</v>
      </c>
      <c r="Q8" s="540">
        <v>10990</v>
      </c>
      <c r="R8" s="540">
        <v>13223</v>
      </c>
      <c r="S8" s="540">
        <v>13212</v>
      </c>
      <c r="T8" s="540">
        <v>12132</v>
      </c>
      <c r="U8" s="1988"/>
      <c r="V8" s="1989"/>
      <c r="X8" s="1930"/>
      <c r="Y8" s="683" t="s">
        <v>684</v>
      </c>
      <c r="Z8" s="685">
        <v>32244</v>
      </c>
      <c r="AA8" s="685">
        <v>2666</v>
      </c>
      <c r="AB8" s="685">
        <v>1902</v>
      </c>
      <c r="AC8" s="685">
        <v>6833</v>
      </c>
      <c r="AD8" s="684"/>
    </row>
    <row r="9" spans="1:30" ht="19.5" customHeight="1">
      <c r="A9" s="2022"/>
      <c r="B9" s="2023"/>
      <c r="C9" s="1990" t="s">
        <v>1598</v>
      </c>
      <c r="D9" s="1991"/>
      <c r="E9" s="1936">
        <f t="shared" ref="E9" si="3">G9/365</f>
        <v>10.084931506849315</v>
      </c>
      <c r="F9" s="1936"/>
      <c r="G9" s="1937">
        <f>SUM(I9:T9)</f>
        <v>3681</v>
      </c>
      <c r="H9" s="1937"/>
      <c r="I9" s="541">
        <v>245</v>
      </c>
      <c r="J9" s="541">
        <v>256</v>
      </c>
      <c r="K9" s="541">
        <v>360</v>
      </c>
      <c r="L9" s="541">
        <v>428</v>
      </c>
      <c r="M9" s="541">
        <v>490</v>
      </c>
      <c r="N9" s="541">
        <v>337</v>
      </c>
      <c r="O9" s="541">
        <v>232</v>
      </c>
      <c r="P9" s="541">
        <v>331</v>
      </c>
      <c r="Q9" s="541">
        <v>294</v>
      </c>
      <c r="R9" s="541">
        <v>311</v>
      </c>
      <c r="S9" s="541">
        <v>181</v>
      </c>
      <c r="T9" s="541">
        <v>216</v>
      </c>
      <c r="U9" s="1938"/>
      <c r="V9" s="1939"/>
      <c r="X9" s="1930"/>
      <c r="Y9" s="683" t="s">
        <v>685</v>
      </c>
      <c r="Z9" s="685">
        <v>32255</v>
      </c>
      <c r="AA9" s="685">
        <v>2903</v>
      </c>
      <c r="AB9" s="685">
        <v>2132</v>
      </c>
      <c r="AC9" s="685">
        <v>7002</v>
      </c>
      <c r="AD9" s="684"/>
    </row>
    <row r="10" spans="1:30" ht="19.5" customHeight="1">
      <c r="A10" s="2007"/>
      <c r="B10" s="2008"/>
      <c r="C10" s="2013"/>
      <c r="D10" s="2013"/>
      <c r="E10" s="1936"/>
      <c r="F10" s="1936"/>
      <c r="G10" s="1937"/>
      <c r="H10" s="1937"/>
      <c r="I10" s="541"/>
      <c r="J10" s="541"/>
      <c r="K10" s="541"/>
      <c r="L10" s="541"/>
      <c r="M10" s="541"/>
      <c r="N10" s="541"/>
      <c r="O10" s="541"/>
      <c r="P10" s="541"/>
      <c r="Q10" s="541"/>
      <c r="R10" s="541"/>
      <c r="S10" s="541"/>
      <c r="T10" s="541"/>
      <c r="U10" s="1938"/>
      <c r="V10" s="1939"/>
      <c r="X10" s="1930"/>
      <c r="Y10" s="683" t="s">
        <v>686</v>
      </c>
      <c r="Z10" s="685">
        <v>33005</v>
      </c>
      <c r="AA10" s="685">
        <v>2890</v>
      </c>
      <c r="AB10" s="685">
        <v>2241</v>
      </c>
      <c r="AC10" s="685">
        <v>6549</v>
      </c>
      <c r="AD10" s="684"/>
    </row>
    <row r="11" spans="1:30" ht="19.5" customHeight="1">
      <c r="A11" s="2020" t="s">
        <v>554</v>
      </c>
      <c r="B11" s="2021"/>
      <c r="C11" s="2021"/>
      <c r="D11" s="2021"/>
      <c r="E11" s="1982">
        <f>SUM(E8:E10)</f>
        <v>471.63561643835618</v>
      </c>
      <c r="F11" s="1982"/>
      <c r="G11" s="1983">
        <f>SUM(G8:G10)</f>
        <v>172147</v>
      </c>
      <c r="H11" s="1983"/>
      <c r="I11" s="980">
        <f t="shared" ref="I11:T11" si="4">SUM(I8:I10)</f>
        <v>18207</v>
      </c>
      <c r="J11" s="980">
        <f t="shared" si="4"/>
        <v>16289</v>
      </c>
      <c r="K11" s="980">
        <f t="shared" si="4"/>
        <v>18756</v>
      </c>
      <c r="L11" s="980">
        <f t="shared" si="4"/>
        <v>11080</v>
      </c>
      <c r="M11" s="980">
        <f t="shared" si="4"/>
        <v>11182</v>
      </c>
      <c r="N11" s="980">
        <f t="shared" si="4"/>
        <v>14943</v>
      </c>
      <c r="O11" s="980">
        <f t="shared" si="4"/>
        <v>16348</v>
      </c>
      <c r="P11" s="980">
        <f t="shared" si="4"/>
        <v>14783</v>
      </c>
      <c r="Q11" s="980">
        <f t="shared" si="4"/>
        <v>11284</v>
      </c>
      <c r="R11" s="980">
        <f t="shared" si="4"/>
        <v>13534</v>
      </c>
      <c r="S11" s="980">
        <f t="shared" si="4"/>
        <v>13393</v>
      </c>
      <c r="T11" s="980">
        <f t="shared" si="4"/>
        <v>12348</v>
      </c>
      <c r="U11" s="1984"/>
      <c r="V11" s="1985"/>
      <c r="X11" s="1930"/>
      <c r="Y11" s="683" t="s">
        <v>687</v>
      </c>
      <c r="Z11" s="685">
        <v>35717</v>
      </c>
      <c r="AA11" s="685">
        <v>2744</v>
      </c>
      <c r="AB11" s="685">
        <v>1899</v>
      </c>
      <c r="AC11" s="685">
        <v>8125</v>
      </c>
      <c r="AD11" s="684"/>
    </row>
    <row r="12" spans="1:30" ht="19.5" customHeight="1">
      <c r="A12" s="2024" t="s">
        <v>1514</v>
      </c>
      <c r="B12" s="2025"/>
      <c r="C12" s="2014" t="s">
        <v>1518</v>
      </c>
      <c r="D12" s="2014"/>
      <c r="E12" s="1978">
        <f t="shared" ref="E12" si="5">G12/365</f>
        <v>119.43561643835616</v>
      </c>
      <c r="F12" s="1978"/>
      <c r="G12" s="1979">
        <f>SUM(I12:T12)</f>
        <v>43594</v>
      </c>
      <c r="H12" s="1979"/>
      <c r="I12" s="982">
        <v>4651</v>
      </c>
      <c r="J12" s="982">
        <v>3893</v>
      </c>
      <c r="K12" s="982">
        <v>3845</v>
      </c>
      <c r="L12" s="982">
        <v>3986</v>
      </c>
      <c r="M12" s="982">
        <v>3260</v>
      </c>
      <c r="N12" s="982">
        <v>3652</v>
      </c>
      <c r="O12" s="982">
        <v>3766</v>
      </c>
      <c r="P12" s="982">
        <v>3419</v>
      </c>
      <c r="Q12" s="982">
        <v>2924</v>
      </c>
      <c r="R12" s="982">
        <v>3925</v>
      </c>
      <c r="S12" s="982">
        <v>2930</v>
      </c>
      <c r="T12" s="982">
        <v>3343</v>
      </c>
      <c r="U12" s="1980"/>
      <c r="V12" s="1981"/>
      <c r="X12" s="1930"/>
      <c r="Y12" s="683" t="s">
        <v>688</v>
      </c>
      <c r="Z12" s="685">
        <v>36184</v>
      </c>
      <c r="AA12" s="685">
        <v>2767</v>
      </c>
      <c r="AB12" s="685">
        <v>1817</v>
      </c>
      <c r="AC12" s="685">
        <v>8028</v>
      </c>
      <c r="AD12" s="684"/>
    </row>
    <row r="13" spans="1:30" ht="19.5" customHeight="1">
      <c r="A13" s="2026"/>
      <c r="B13" s="2027"/>
      <c r="C13" s="2015" t="s">
        <v>1519</v>
      </c>
      <c r="D13" s="2015"/>
      <c r="E13" s="1932">
        <f t="shared" ref="E13" si="6">G13/365</f>
        <v>15.712328767123287</v>
      </c>
      <c r="F13" s="1932"/>
      <c r="G13" s="1933">
        <f>SUM(I13:T13)</f>
        <v>5735</v>
      </c>
      <c r="H13" s="1933"/>
      <c r="I13" s="983">
        <v>359</v>
      </c>
      <c r="J13" s="983">
        <v>338</v>
      </c>
      <c r="K13" s="983">
        <v>407</v>
      </c>
      <c r="L13" s="983">
        <v>366</v>
      </c>
      <c r="M13" s="983">
        <v>455</v>
      </c>
      <c r="N13" s="983">
        <v>523</v>
      </c>
      <c r="O13" s="983">
        <v>607</v>
      </c>
      <c r="P13" s="983">
        <v>609</v>
      </c>
      <c r="Q13" s="983">
        <v>504</v>
      </c>
      <c r="R13" s="983">
        <v>620</v>
      </c>
      <c r="S13" s="983">
        <v>441</v>
      </c>
      <c r="T13" s="983">
        <v>506</v>
      </c>
      <c r="U13" s="1934"/>
      <c r="V13" s="1935"/>
      <c r="X13" s="1930"/>
      <c r="Y13" s="683" t="s">
        <v>689</v>
      </c>
      <c r="Z13" s="685">
        <v>37202</v>
      </c>
      <c r="AA13" s="685">
        <v>3031</v>
      </c>
      <c r="AB13" s="685">
        <v>1794</v>
      </c>
      <c r="AC13" s="685">
        <v>8509</v>
      </c>
      <c r="AD13" s="684"/>
    </row>
    <row r="14" spans="1:30" ht="19.5" customHeight="1">
      <c r="A14" s="2028"/>
      <c r="B14" s="2029"/>
      <c r="C14" s="2015"/>
      <c r="D14" s="2015"/>
      <c r="E14" s="1932"/>
      <c r="F14" s="1932"/>
      <c r="G14" s="1933"/>
      <c r="H14" s="193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1934"/>
      <c r="V14" s="1935"/>
      <c r="X14" s="1930"/>
      <c r="Y14" s="683" t="s">
        <v>690</v>
      </c>
      <c r="Z14" s="685">
        <v>34994</v>
      </c>
      <c r="AA14" s="685">
        <v>3016</v>
      </c>
      <c r="AB14" s="685">
        <v>2120</v>
      </c>
      <c r="AC14" s="685">
        <v>7955</v>
      </c>
      <c r="AD14" s="684"/>
    </row>
    <row r="15" spans="1:30" ht="19.5" customHeight="1">
      <c r="A15" s="2016" t="s">
        <v>554</v>
      </c>
      <c r="B15" s="2017"/>
      <c r="C15" s="2017"/>
      <c r="D15" s="2017"/>
      <c r="E15" s="1940">
        <f>SUM(E12:E14)</f>
        <v>135.14794520547946</v>
      </c>
      <c r="F15" s="1940"/>
      <c r="G15" s="1941">
        <f>SUM(G12:G14)</f>
        <v>49329</v>
      </c>
      <c r="H15" s="1941"/>
      <c r="I15" s="984">
        <f t="shared" ref="I15:T15" si="7">SUM(I12:I14)</f>
        <v>5010</v>
      </c>
      <c r="J15" s="984">
        <f t="shared" si="7"/>
        <v>4231</v>
      </c>
      <c r="K15" s="984">
        <f t="shared" si="7"/>
        <v>4252</v>
      </c>
      <c r="L15" s="984">
        <f t="shared" si="7"/>
        <v>4352</v>
      </c>
      <c r="M15" s="984">
        <f t="shared" si="7"/>
        <v>3715</v>
      </c>
      <c r="N15" s="984">
        <f t="shared" si="7"/>
        <v>4175</v>
      </c>
      <c r="O15" s="984">
        <f t="shared" si="7"/>
        <v>4373</v>
      </c>
      <c r="P15" s="984">
        <f t="shared" si="7"/>
        <v>4028</v>
      </c>
      <c r="Q15" s="984">
        <f t="shared" si="7"/>
        <v>3428</v>
      </c>
      <c r="R15" s="984">
        <f t="shared" si="7"/>
        <v>4545</v>
      </c>
      <c r="S15" s="984">
        <f t="shared" si="7"/>
        <v>3371</v>
      </c>
      <c r="T15" s="984">
        <f t="shared" si="7"/>
        <v>3849</v>
      </c>
      <c r="U15" s="1942"/>
      <c r="V15" s="1943"/>
      <c r="X15" s="1930"/>
      <c r="Y15" s="683" t="s">
        <v>691</v>
      </c>
      <c r="Z15" s="685">
        <v>31500</v>
      </c>
      <c r="AA15" s="685">
        <v>2711</v>
      </c>
      <c r="AB15" s="685">
        <v>1577</v>
      </c>
      <c r="AC15" s="685">
        <v>6278</v>
      </c>
      <c r="AD15" s="684"/>
    </row>
    <row r="16" spans="1:30" ht="19.5" customHeight="1">
      <c r="A16" s="2005" t="s">
        <v>1515</v>
      </c>
      <c r="B16" s="2006"/>
      <c r="C16" s="2018" t="s">
        <v>1599</v>
      </c>
      <c r="D16" s="2018"/>
      <c r="E16" s="1974">
        <f>G16/365</f>
        <v>134.78082191780823</v>
      </c>
      <c r="F16" s="1974"/>
      <c r="G16" s="1975">
        <f>SUM(I16:T16)</f>
        <v>49195</v>
      </c>
      <c r="H16" s="1975"/>
      <c r="I16" s="981">
        <v>5585</v>
      </c>
      <c r="J16" s="981">
        <v>3721</v>
      </c>
      <c r="K16" s="981">
        <v>4241</v>
      </c>
      <c r="L16" s="981">
        <v>4071</v>
      </c>
      <c r="M16" s="981">
        <v>3998</v>
      </c>
      <c r="N16" s="981">
        <v>4027</v>
      </c>
      <c r="O16" s="981">
        <v>4207</v>
      </c>
      <c r="P16" s="981">
        <v>3855</v>
      </c>
      <c r="Q16" s="981">
        <v>3792</v>
      </c>
      <c r="R16" s="981">
        <v>4421</v>
      </c>
      <c r="S16" s="981">
        <v>3078</v>
      </c>
      <c r="T16" s="981">
        <v>4199</v>
      </c>
      <c r="U16" s="1976"/>
      <c r="V16" s="1977"/>
      <c r="X16" s="1930"/>
      <c r="Y16" s="683" t="s">
        <v>692</v>
      </c>
      <c r="Z16" s="685">
        <v>35633</v>
      </c>
      <c r="AA16" s="685">
        <v>2930</v>
      </c>
      <c r="AB16" s="685">
        <v>1846</v>
      </c>
      <c r="AC16" s="685">
        <v>7817</v>
      </c>
      <c r="AD16" s="684"/>
    </row>
    <row r="17" spans="1:30" ht="19.5" customHeight="1">
      <c r="A17" s="2007"/>
      <c r="B17" s="2008"/>
      <c r="C17" s="2019"/>
      <c r="D17" s="2019"/>
      <c r="E17" s="1936"/>
      <c r="F17" s="1936"/>
      <c r="G17" s="1937"/>
      <c r="H17" s="1937"/>
      <c r="I17" s="541"/>
      <c r="J17" s="541"/>
      <c r="K17" s="541"/>
      <c r="L17" s="541"/>
      <c r="M17" s="541"/>
      <c r="N17" s="541"/>
      <c r="O17" s="541"/>
      <c r="P17" s="541"/>
      <c r="Q17" s="541"/>
      <c r="R17" s="541"/>
      <c r="S17" s="541"/>
      <c r="T17" s="541"/>
      <c r="U17" s="1938"/>
      <c r="V17" s="1939"/>
      <c r="X17" s="1931"/>
      <c r="Y17" s="682" t="s">
        <v>372</v>
      </c>
      <c r="Z17" s="685">
        <v>407376</v>
      </c>
      <c r="AA17" s="685">
        <v>33838</v>
      </c>
      <c r="AB17" s="685">
        <v>23427</v>
      </c>
      <c r="AC17" s="685">
        <v>88292</v>
      </c>
      <c r="AD17" s="684"/>
    </row>
    <row r="18" spans="1:30" ht="19.5" customHeight="1">
      <c r="A18" s="1921" t="s">
        <v>554</v>
      </c>
      <c r="B18" s="1922"/>
      <c r="C18" s="1922"/>
      <c r="D18" s="1922"/>
      <c r="E18" s="1923">
        <f>SUM(E16:E17)</f>
        <v>134.78082191780823</v>
      </c>
      <c r="F18" s="1923"/>
      <c r="G18" s="1924">
        <f>SUM(G16:G17)</f>
        <v>49195</v>
      </c>
      <c r="H18" s="1924"/>
      <c r="I18" s="542">
        <f t="shared" ref="I18:T18" si="8">SUM(I16:I17)</f>
        <v>5585</v>
      </c>
      <c r="J18" s="542">
        <f t="shared" si="8"/>
        <v>3721</v>
      </c>
      <c r="K18" s="542">
        <f t="shared" si="8"/>
        <v>4241</v>
      </c>
      <c r="L18" s="542">
        <f t="shared" si="8"/>
        <v>4071</v>
      </c>
      <c r="M18" s="542">
        <f t="shared" si="8"/>
        <v>3998</v>
      </c>
      <c r="N18" s="542">
        <f t="shared" si="8"/>
        <v>4027</v>
      </c>
      <c r="O18" s="542">
        <f t="shared" si="8"/>
        <v>4207</v>
      </c>
      <c r="P18" s="542">
        <f t="shared" si="8"/>
        <v>3855</v>
      </c>
      <c r="Q18" s="542">
        <f t="shared" si="8"/>
        <v>3792</v>
      </c>
      <c r="R18" s="542">
        <f t="shared" si="8"/>
        <v>4421</v>
      </c>
      <c r="S18" s="542">
        <f t="shared" si="8"/>
        <v>3078</v>
      </c>
      <c r="T18" s="542">
        <f t="shared" si="8"/>
        <v>4199</v>
      </c>
      <c r="U18" s="1925"/>
      <c r="V18" s="1926"/>
      <c r="X18" s="1928" t="s">
        <v>693</v>
      </c>
      <c r="Y18" s="1928"/>
      <c r="Z18" s="685">
        <f>ROUND(+Z17/365,0)</f>
        <v>1116</v>
      </c>
      <c r="AA18" s="685">
        <f>ROUND(+AA17/365,0)</f>
        <v>93</v>
      </c>
      <c r="AB18" s="685">
        <f>ROUND(+AB17/365,0)</f>
        <v>64</v>
      </c>
      <c r="AC18" s="685">
        <f>ROUND(+AC17/365,0)</f>
        <v>242</v>
      </c>
      <c r="AD18" s="684"/>
    </row>
    <row r="19" spans="1:30" ht="19.5" customHeight="1">
      <c r="A19" s="531" t="s">
        <v>767</v>
      </c>
      <c r="B19" s="2"/>
      <c r="C19" s="2"/>
      <c r="D19" s="533"/>
      <c r="E19" s="533"/>
      <c r="F19" s="533"/>
      <c r="G19" s="533"/>
      <c r="H19" s="533"/>
      <c r="I19" s="2"/>
      <c r="J19" s="533"/>
      <c r="K19" s="2"/>
      <c r="L19" s="2"/>
      <c r="M19" s="533"/>
      <c r="N19" s="2"/>
      <c r="O19" s="8"/>
      <c r="P19" s="2"/>
      <c r="Q19" s="2"/>
      <c r="R19" s="2"/>
      <c r="S19" s="2"/>
      <c r="T19" s="2"/>
      <c r="U19" s="2"/>
      <c r="V19" s="534"/>
    </row>
    <row r="20" spans="1:30" ht="19.5" customHeight="1">
      <c r="A20" s="1969" t="s">
        <v>555</v>
      </c>
      <c r="B20" s="1970"/>
      <c r="C20" s="1970"/>
      <c r="D20" s="1970"/>
      <c r="E20" s="1970" t="s">
        <v>556</v>
      </c>
      <c r="F20" s="1970"/>
      <c r="G20" s="1970"/>
      <c r="H20" s="1970"/>
      <c r="I20" s="1944" t="s">
        <v>557</v>
      </c>
      <c r="J20" s="1944"/>
      <c r="K20" s="1944"/>
      <c r="L20" s="1944"/>
      <c r="M20" s="1944" t="s">
        <v>558</v>
      </c>
      <c r="N20" s="1944"/>
      <c r="O20" s="1944"/>
      <c r="P20" s="1944"/>
      <c r="Q20" s="1971" t="s">
        <v>629</v>
      </c>
      <c r="R20" s="1972"/>
      <c r="S20" s="1972"/>
      <c r="T20" s="1973"/>
      <c r="U20" s="1944" t="s">
        <v>559</v>
      </c>
      <c r="V20" s="1945"/>
    </row>
    <row r="21" spans="1:30" ht="19.5" customHeight="1">
      <c r="A21" s="1946" t="s">
        <v>1520</v>
      </c>
      <c r="B21" s="1947"/>
      <c r="C21" s="1947"/>
      <c r="D21" s="1947"/>
      <c r="E21" s="1948">
        <f>E7</f>
        <v>378.18904109589039</v>
      </c>
      <c r="F21" s="1948"/>
      <c r="G21" s="1948"/>
      <c r="H21" s="1948"/>
      <c r="I21" s="1949">
        <v>0.9</v>
      </c>
      <c r="J21" s="1950"/>
      <c r="K21" s="1950"/>
      <c r="L21" s="1951"/>
      <c r="M21" s="1958">
        <v>1</v>
      </c>
      <c r="N21" s="1959"/>
      <c r="O21" s="1959"/>
      <c r="P21" s="1960"/>
      <c r="Q21" s="1948">
        <f>ROUND(E21*I$21*M$21,0)</f>
        <v>340</v>
      </c>
      <c r="R21" s="1948"/>
      <c r="S21" s="1948"/>
      <c r="T21" s="1948"/>
      <c r="U21" s="1967"/>
      <c r="V21" s="1968"/>
    </row>
    <row r="22" spans="1:30" ht="19.5" customHeight="1">
      <c r="A22" s="1916" t="s">
        <v>1521</v>
      </c>
      <c r="B22" s="1917"/>
      <c r="C22" s="1917"/>
      <c r="D22" s="1917"/>
      <c r="E22" s="1918">
        <f>E11</f>
        <v>471.63561643835618</v>
      </c>
      <c r="F22" s="1918"/>
      <c r="G22" s="1918"/>
      <c r="H22" s="1918"/>
      <c r="I22" s="1952"/>
      <c r="J22" s="1953"/>
      <c r="K22" s="1953"/>
      <c r="L22" s="1954"/>
      <c r="M22" s="1961"/>
      <c r="N22" s="1962"/>
      <c r="O22" s="1962"/>
      <c r="P22" s="1963"/>
      <c r="Q22" s="1918">
        <f>ROUND(E22*I$21*M$21,0)</f>
        <v>424</v>
      </c>
      <c r="R22" s="1918"/>
      <c r="S22" s="1918"/>
      <c r="T22" s="1918"/>
      <c r="U22" s="1919"/>
      <c r="V22" s="1920"/>
    </row>
    <row r="23" spans="1:30" ht="19.5" customHeight="1">
      <c r="A23" s="1916" t="s">
        <v>1522</v>
      </c>
      <c r="B23" s="1917"/>
      <c r="C23" s="1917"/>
      <c r="D23" s="1917"/>
      <c r="E23" s="1918">
        <f>E15</f>
        <v>135.14794520547946</v>
      </c>
      <c r="F23" s="1918"/>
      <c r="G23" s="1918"/>
      <c r="H23" s="1918"/>
      <c r="I23" s="1952"/>
      <c r="J23" s="1953"/>
      <c r="K23" s="1953"/>
      <c r="L23" s="1954"/>
      <c r="M23" s="1961"/>
      <c r="N23" s="1962"/>
      <c r="O23" s="1962"/>
      <c r="P23" s="1963"/>
      <c r="Q23" s="1918">
        <f>ROUND(E23*I$21*M$21,0)</f>
        <v>122</v>
      </c>
      <c r="R23" s="1918"/>
      <c r="S23" s="1918"/>
      <c r="T23" s="1918"/>
      <c r="U23" s="1919"/>
      <c r="V23" s="1920"/>
    </row>
    <row r="24" spans="1:30" ht="19.5" customHeight="1">
      <c r="A24" s="1916" t="s">
        <v>1523</v>
      </c>
      <c r="B24" s="1917"/>
      <c r="C24" s="1917"/>
      <c r="D24" s="1917"/>
      <c r="E24" s="1918">
        <f>E18</f>
        <v>134.78082191780823</v>
      </c>
      <c r="F24" s="1918"/>
      <c r="G24" s="1918"/>
      <c r="H24" s="1918"/>
      <c r="I24" s="1952"/>
      <c r="J24" s="1953"/>
      <c r="K24" s="1953"/>
      <c r="L24" s="1954"/>
      <c r="M24" s="1961"/>
      <c r="N24" s="1962"/>
      <c r="O24" s="1962"/>
      <c r="P24" s="1963"/>
      <c r="Q24" s="1918">
        <f>ROUND(E24*I$21*M$21,0)</f>
        <v>121</v>
      </c>
      <c r="R24" s="1918"/>
      <c r="S24" s="1918"/>
      <c r="T24" s="1918"/>
      <c r="U24" s="1919"/>
      <c r="V24" s="1920"/>
    </row>
    <row r="25" spans="1:30" ht="19.5" customHeight="1">
      <c r="A25" s="1911" t="s">
        <v>552</v>
      </c>
      <c r="B25" s="1912"/>
      <c r="C25" s="1912"/>
      <c r="D25" s="1912"/>
      <c r="E25" s="1913">
        <f>SUM(E21:E24)</f>
        <v>1119.7534246575342</v>
      </c>
      <c r="F25" s="1913"/>
      <c r="G25" s="1913"/>
      <c r="H25" s="1913"/>
      <c r="I25" s="1955"/>
      <c r="J25" s="1956"/>
      <c r="K25" s="1956"/>
      <c r="L25" s="1957"/>
      <c r="M25" s="1964"/>
      <c r="N25" s="1965"/>
      <c r="O25" s="1965"/>
      <c r="P25" s="1966"/>
      <c r="Q25" s="1913">
        <f>SUM(Q21:Q24)</f>
        <v>1007</v>
      </c>
      <c r="R25" s="1913"/>
      <c r="S25" s="1913"/>
      <c r="T25" s="1913"/>
      <c r="U25" s="1914"/>
      <c r="V25" s="1915"/>
    </row>
    <row r="26" spans="1:30" ht="19.5" customHeight="1">
      <c r="A26" s="537" t="s">
        <v>548</v>
      </c>
    </row>
    <row r="27" spans="1:30" ht="19.5" customHeight="1"/>
    <row r="28" spans="1:30" ht="19.5" customHeight="1"/>
    <row r="29" spans="1:30" ht="19.5" customHeight="1"/>
    <row r="30" spans="1:30" ht="19.5" customHeight="1"/>
    <row r="31" spans="1:30" s="538" customFormat="1" ht="19.5" customHeight="1">
      <c r="M31" s="536"/>
      <c r="N31" s="536"/>
      <c r="O31" s="536"/>
      <c r="P31" s="536"/>
      <c r="Q31" s="536"/>
      <c r="R31" s="536"/>
      <c r="S31" s="536"/>
      <c r="T31" s="536"/>
      <c r="U31" s="536"/>
      <c r="V31" s="536"/>
    </row>
    <row r="32" spans="1:30" s="538" customFormat="1" ht="19.5" customHeight="1">
      <c r="M32" s="536"/>
      <c r="N32" s="536"/>
      <c r="O32" s="536"/>
      <c r="P32" s="536"/>
      <c r="Q32" s="536"/>
      <c r="R32" s="536"/>
      <c r="S32" s="536"/>
      <c r="T32" s="536"/>
      <c r="U32" s="536"/>
      <c r="V32" s="536"/>
    </row>
    <row r="33" spans="13:22" s="538" customFormat="1" ht="19.5" customHeight="1">
      <c r="M33" s="536"/>
      <c r="N33" s="536"/>
      <c r="O33" s="536"/>
      <c r="P33" s="536"/>
      <c r="Q33" s="536"/>
      <c r="R33" s="536"/>
      <c r="S33" s="536"/>
      <c r="T33" s="536"/>
      <c r="U33" s="536"/>
      <c r="V33" s="536"/>
    </row>
    <row r="34" spans="13:22" s="538" customFormat="1" ht="19.5" customHeight="1">
      <c r="M34" s="536"/>
      <c r="N34" s="536"/>
      <c r="O34" s="536"/>
      <c r="P34" s="536"/>
      <c r="Q34" s="536"/>
      <c r="R34" s="536"/>
      <c r="S34" s="536"/>
      <c r="T34" s="536"/>
      <c r="U34" s="536"/>
      <c r="V34" s="536"/>
    </row>
    <row r="35" spans="13:22" s="538" customFormat="1" ht="19.5" customHeight="1">
      <c r="M35" s="536"/>
      <c r="N35" s="536"/>
      <c r="O35" s="536"/>
      <c r="P35" s="536"/>
      <c r="Q35" s="536"/>
      <c r="R35" s="536"/>
      <c r="S35" s="536"/>
      <c r="T35" s="536"/>
      <c r="U35" s="536"/>
      <c r="V35" s="536"/>
    </row>
    <row r="36" spans="13:22" s="538" customFormat="1" ht="19.5" customHeight="1">
      <c r="M36" s="536"/>
      <c r="N36" s="536"/>
      <c r="O36" s="536"/>
      <c r="P36" s="536"/>
      <c r="Q36" s="536"/>
      <c r="R36" s="536"/>
      <c r="S36" s="536"/>
      <c r="T36" s="536"/>
      <c r="U36" s="536"/>
      <c r="V36" s="536"/>
    </row>
    <row r="37" spans="13:22" s="538" customFormat="1" ht="19.5" customHeight="1">
      <c r="M37" s="536"/>
      <c r="N37" s="536"/>
      <c r="O37" s="536"/>
      <c r="P37" s="536"/>
      <c r="Q37" s="536"/>
      <c r="R37" s="536"/>
      <c r="S37" s="536"/>
      <c r="T37" s="536"/>
      <c r="U37" s="536"/>
      <c r="V37" s="536"/>
    </row>
    <row r="38" spans="13:22" s="538" customFormat="1" ht="19.5" customHeight="1">
      <c r="M38" s="536"/>
      <c r="N38" s="536"/>
      <c r="O38" s="536"/>
      <c r="P38" s="536"/>
      <c r="Q38" s="536"/>
      <c r="R38" s="536"/>
      <c r="S38" s="536"/>
      <c r="T38" s="536"/>
      <c r="U38" s="536"/>
      <c r="V38" s="536"/>
    </row>
    <row r="39" spans="13:22" s="538" customFormat="1" ht="19.5" customHeight="1">
      <c r="M39" s="536"/>
      <c r="N39" s="536"/>
      <c r="O39" s="536"/>
      <c r="P39" s="536"/>
      <c r="Q39" s="536"/>
      <c r="R39" s="536"/>
      <c r="S39" s="536"/>
      <c r="T39" s="536"/>
      <c r="U39" s="536"/>
      <c r="V39" s="536"/>
    </row>
    <row r="40" spans="13:22" s="538" customFormat="1" ht="19.5" customHeight="1">
      <c r="M40" s="536"/>
      <c r="N40" s="536"/>
      <c r="O40" s="536"/>
      <c r="P40" s="536"/>
      <c r="Q40" s="536"/>
      <c r="R40" s="536"/>
      <c r="S40" s="536"/>
      <c r="T40" s="536"/>
      <c r="U40" s="536"/>
      <c r="V40" s="536"/>
    </row>
    <row r="41" spans="13:22" s="538" customFormat="1" ht="19.5" customHeight="1">
      <c r="M41" s="536"/>
      <c r="N41" s="536"/>
      <c r="O41" s="536"/>
      <c r="P41" s="536"/>
      <c r="Q41" s="536"/>
      <c r="R41" s="536"/>
      <c r="S41" s="536"/>
      <c r="T41" s="536"/>
      <c r="U41" s="536"/>
      <c r="V41" s="536"/>
    </row>
    <row r="42" spans="13:22" s="538" customFormat="1" ht="19.5" customHeight="1">
      <c r="M42" s="536"/>
      <c r="N42" s="536"/>
      <c r="O42" s="536"/>
      <c r="P42" s="536"/>
      <c r="Q42" s="536"/>
      <c r="R42" s="536"/>
      <c r="S42" s="536"/>
      <c r="T42" s="536"/>
      <c r="U42" s="536"/>
      <c r="V42" s="536"/>
    </row>
    <row r="43" spans="13:22" s="538" customFormat="1" ht="19.5" customHeight="1">
      <c r="M43" s="536"/>
      <c r="N43" s="536"/>
      <c r="O43" s="536"/>
      <c r="P43" s="536"/>
      <c r="Q43" s="536"/>
      <c r="R43" s="536"/>
      <c r="S43" s="536"/>
      <c r="T43" s="536"/>
      <c r="U43" s="536"/>
      <c r="V43" s="536"/>
    </row>
    <row r="44" spans="13:22" s="538" customFormat="1" ht="19.5" customHeight="1">
      <c r="M44" s="536"/>
      <c r="N44" s="536"/>
      <c r="O44" s="536"/>
      <c r="P44" s="536"/>
      <c r="Q44" s="536"/>
      <c r="R44" s="536"/>
      <c r="S44" s="536"/>
      <c r="T44" s="536"/>
      <c r="U44" s="536"/>
      <c r="V44" s="536"/>
    </row>
    <row r="45" spans="13:22" s="538" customFormat="1" ht="19.5" customHeight="1">
      <c r="M45" s="536"/>
      <c r="N45" s="536"/>
      <c r="O45" s="536"/>
      <c r="P45" s="536"/>
      <c r="Q45" s="536"/>
      <c r="R45" s="536"/>
      <c r="S45" s="536"/>
      <c r="T45" s="536"/>
      <c r="U45" s="536"/>
      <c r="V45" s="536"/>
    </row>
    <row r="46" spans="13:22" s="538" customFormat="1" ht="19.5" customHeight="1">
      <c r="M46" s="536"/>
      <c r="N46" s="536"/>
      <c r="O46" s="536"/>
      <c r="P46" s="536"/>
      <c r="Q46" s="536"/>
      <c r="R46" s="536"/>
      <c r="S46" s="536"/>
      <c r="T46" s="536"/>
      <c r="U46" s="536"/>
      <c r="V46" s="536"/>
    </row>
    <row r="47" spans="13:22" s="538" customFormat="1" ht="19.5" customHeight="1">
      <c r="M47" s="536"/>
      <c r="N47" s="536"/>
      <c r="O47" s="536"/>
      <c r="P47" s="536"/>
      <c r="Q47" s="536"/>
      <c r="R47" s="536"/>
      <c r="S47" s="536"/>
      <c r="T47" s="536"/>
      <c r="U47" s="536"/>
      <c r="V47" s="536"/>
    </row>
    <row r="48" spans="13:22" s="538" customFormat="1" ht="19.5" customHeight="1">
      <c r="M48" s="536"/>
      <c r="N48" s="536"/>
      <c r="O48" s="536"/>
      <c r="P48" s="536"/>
      <c r="Q48" s="536"/>
      <c r="R48" s="536"/>
      <c r="S48" s="536"/>
      <c r="T48" s="536"/>
      <c r="U48" s="536"/>
      <c r="V48" s="536"/>
    </row>
    <row r="49" spans="1:23" s="538" customFormat="1" ht="19.5" customHeight="1">
      <c r="M49" s="536"/>
      <c r="N49" s="536"/>
      <c r="O49" s="536"/>
      <c r="P49" s="536"/>
      <c r="Q49" s="536"/>
      <c r="R49" s="536"/>
      <c r="S49" s="536"/>
      <c r="T49" s="536"/>
      <c r="U49" s="536"/>
      <c r="V49" s="536"/>
    </row>
    <row r="50" spans="1:23" s="538" customFormat="1" ht="19.5" customHeight="1">
      <c r="M50" s="536"/>
      <c r="N50" s="536"/>
      <c r="O50" s="536"/>
      <c r="P50" s="536"/>
      <c r="Q50" s="536"/>
      <c r="R50" s="536"/>
      <c r="S50" s="536"/>
      <c r="T50" s="536"/>
      <c r="U50" s="536"/>
      <c r="V50" s="536"/>
    </row>
    <row r="51" spans="1:23" s="538" customFormat="1" ht="19.5" customHeight="1">
      <c r="M51" s="536"/>
      <c r="N51" s="536"/>
      <c r="O51" s="536"/>
      <c r="P51" s="536"/>
      <c r="Q51" s="536"/>
      <c r="R51" s="536"/>
      <c r="S51" s="536"/>
      <c r="T51" s="536"/>
      <c r="U51" s="536"/>
      <c r="V51" s="536"/>
    </row>
    <row r="52" spans="1:23" s="538" customFormat="1" ht="19.5" customHeight="1">
      <c r="M52" s="536"/>
      <c r="N52" s="536"/>
      <c r="O52" s="536"/>
      <c r="P52" s="536"/>
      <c r="Q52" s="536"/>
      <c r="R52" s="536"/>
      <c r="S52" s="536"/>
      <c r="T52" s="536"/>
      <c r="U52" s="536"/>
      <c r="V52" s="536"/>
    </row>
    <row r="53" spans="1:23" s="538" customFormat="1" ht="19.5" customHeight="1">
      <c r="M53" s="536"/>
      <c r="N53" s="536"/>
      <c r="O53" s="536"/>
      <c r="P53" s="536"/>
      <c r="Q53" s="536"/>
      <c r="R53" s="536"/>
      <c r="S53" s="536"/>
      <c r="T53" s="536"/>
      <c r="U53" s="536"/>
      <c r="V53" s="536"/>
    </row>
    <row r="54" spans="1:23" s="538" customFormat="1" ht="19.5" customHeight="1">
      <c r="M54" s="536"/>
      <c r="N54" s="536"/>
      <c r="O54" s="536"/>
      <c r="P54" s="536"/>
      <c r="Q54" s="536"/>
      <c r="R54" s="536"/>
      <c r="S54" s="536"/>
      <c r="T54" s="536"/>
      <c r="U54" s="536"/>
      <c r="V54" s="536"/>
    </row>
    <row r="55" spans="1:23" s="538" customFormat="1" ht="19.5" customHeight="1">
      <c r="M55" s="536"/>
      <c r="N55" s="536"/>
      <c r="O55" s="536"/>
      <c r="P55" s="536"/>
      <c r="Q55" s="536"/>
      <c r="R55" s="536"/>
      <c r="S55" s="536"/>
      <c r="T55" s="536"/>
      <c r="U55" s="536"/>
      <c r="V55" s="536"/>
    </row>
    <row r="56" spans="1:23" s="2" customFormat="1" ht="19.5" customHeight="1">
      <c r="A56" s="538"/>
      <c r="B56" s="538"/>
      <c r="C56" s="538"/>
      <c r="D56" s="538"/>
      <c r="E56" s="538"/>
      <c r="F56" s="538"/>
      <c r="G56" s="538"/>
      <c r="H56" s="538"/>
      <c r="I56" s="538"/>
      <c r="J56" s="538"/>
      <c r="K56" s="538"/>
      <c r="L56" s="538"/>
      <c r="M56" s="536"/>
      <c r="N56" s="536"/>
      <c r="O56" s="536"/>
      <c r="P56" s="536"/>
      <c r="Q56" s="536"/>
      <c r="R56" s="536"/>
      <c r="S56" s="536"/>
      <c r="T56" s="536"/>
      <c r="U56" s="536"/>
      <c r="V56" s="536"/>
    </row>
    <row r="57" spans="1:23" ht="19.5" customHeight="1">
      <c r="W57" s="535"/>
    </row>
    <row r="58" spans="1:23" ht="19.5" customHeight="1">
      <c r="W58" s="535"/>
    </row>
    <row r="59" spans="1:23" ht="19.5" customHeight="1">
      <c r="W59" s="535"/>
    </row>
    <row r="60" spans="1:23" ht="19.5" customHeight="1">
      <c r="W60" s="535"/>
    </row>
    <row r="61" spans="1:23" ht="19.5" customHeight="1">
      <c r="W61" s="535"/>
    </row>
    <row r="62" spans="1:23" ht="19.5" customHeight="1">
      <c r="W62" s="535"/>
    </row>
    <row r="63" spans="1:23" ht="16.5" customHeight="1"/>
    <row r="75" spans="1:1">
      <c r="A75" s="538" t="s">
        <v>1941</v>
      </c>
    </row>
  </sheetData>
  <mergeCells count="96">
    <mergeCell ref="A16:B17"/>
    <mergeCell ref="A3:D4"/>
    <mergeCell ref="C6:D6"/>
    <mergeCell ref="C8:D8"/>
    <mergeCell ref="C10:D10"/>
    <mergeCell ref="C12:D12"/>
    <mergeCell ref="C14:D14"/>
    <mergeCell ref="A15:D15"/>
    <mergeCell ref="C16:D16"/>
    <mergeCell ref="C17:D17"/>
    <mergeCell ref="C13:D13"/>
    <mergeCell ref="A11:D11"/>
    <mergeCell ref="A8:B10"/>
    <mergeCell ref="A12:B14"/>
    <mergeCell ref="E3:F4"/>
    <mergeCell ref="G3:T3"/>
    <mergeCell ref="U3:V4"/>
    <mergeCell ref="G4:H4"/>
    <mergeCell ref="C5:D5"/>
    <mergeCell ref="E5:F5"/>
    <mergeCell ref="G5:H5"/>
    <mergeCell ref="U5:V5"/>
    <mergeCell ref="E6:F6"/>
    <mergeCell ref="G6:H6"/>
    <mergeCell ref="U6:V6"/>
    <mergeCell ref="A7:D7"/>
    <mergeCell ref="E7:F7"/>
    <mergeCell ref="G7:H7"/>
    <mergeCell ref="U7:V7"/>
    <mergeCell ref="A5:B6"/>
    <mergeCell ref="E8:F8"/>
    <mergeCell ref="G8:H8"/>
    <mergeCell ref="U8:V8"/>
    <mergeCell ref="C9:D9"/>
    <mergeCell ref="E9:F9"/>
    <mergeCell ref="G9:H9"/>
    <mergeCell ref="U9:V9"/>
    <mergeCell ref="E10:F10"/>
    <mergeCell ref="G10:H10"/>
    <mergeCell ref="U10:V10"/>
    <mergeCell ref="E11:F11"/>
    <mergeCell ref="G11:H11"/>
    <mergeCell ref="U11:V11"/>
    <mergeCell ref="E16:F16"/>
    <mergeCell ref="G16:H16"/>
    <mergeCell ref="U16:V16"/>
    <mergeCell ref="E12:F12"/>
    <mergeCell ref="G12:H12"/>
    <mergeCell ref="U12:V12"/>
    <mergeCell ref="E13:F13"/>
    <mergeCell ref="G13:H13"/>
    <mergeCell ref="U13:V13"/>
    <mergeCell ref="U20:V20"/>
    <mergeCell ref="A21:D21"/>
    <mergeCell ref="E21:H21"/>
    <mergeCell ref="I21:L25"/>
    <mergeCell ref="M21:P25"/>
    <mergeCell ref="Q21:T21"/>
    <mergeCell ref="U21:V21"/>
    <mergeCell ref="A22:D22"/>
    <mergeCell ref="E22:H22"/>
    <mergeCell ref="Q22:T22"/>
    <mergeCell ref="A20:D20"/>
    <mergeCell ref="E20:H20"/>
    <mergeCell ref="I20:L20"/>
    <mergeCell ref="M20:P20"/>
    <mergeCell ref="Q20:T20"/>
    <mergeCell ref="U22:V22"/>
    <mergeCell ref="A18:D18"/>
    <mergeCell ref="E18:F18"/>
    <mergeCell ref="G18:H18"/>
    <mergeCell ref="U18:V18"/>
    <mergeCell ref="X4:Y4"/>
    <mergeCell ref="X18:Y18"/>
    <mergeCell ref="X5:X17"/>
    <mergeCell ref="E14:F14"/>
    <mergeCell ref="G14:H14"/>
    <mergeCell ref="U14:V14"/>
    <mergeCell ref="E17:F17"/>
    <mergeCell ref="G17:H17"/>
    <mergeCell ref="U17:V17"/>
    <mergeCell ref="E15:F15"/>
    <mergeCell ref="G15:H15"/>
    <mergeCell ref="U15:V15"/>
    <mergeCell ref="A25:D25"/>
    <mergeCell ref="E25:H25"/>
    <mergeCell ref="Q25:T25"/>
    <mergeCell ref="U25:V25"/>
    <mergeCell ref="A23:D23"/>
    <mergeCell ref="E23:H23"/>
    <mergeCell ref="Q23:T23"/>
    <mergeCell ref="U23:V23"/>
    <mergeCell ref="A24:D24"/>
    <mergeCell ref="E24:H24"/>
    <mergeCell ref="Q24:T24"/>
    <mergeCell ref="U24:V24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64" orientation="portrait" r:id="rId1"/>
  <headerFooter alignWithMargins="0"/>
  <rowBreaks count="1" manualBreakCount="1">
    <brk id="25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1"/>
  <sheetViews>
    <sheetView workbookViewId="0"/>
  </sheetViews>
  <sheetFormatPr defaultRowHeight="13.5"/>
  <cols>
    <col min="1" max="9" width="8.88671875" style="190"/>
    <col min="10" max="10" width="9.6640625" style="190" customWidth="1"/>
    <col min="11" max="16384" width="8.88671875" style="190"/>
  </cols>
  <sheetData>
    <row r="1" spans="1:10" ht="24.95" customHeight="1">
      <c r="A1" s="298" t="s">
        <v>768</v>
      </c>
    </row>
    <row r="2" spans="1:10" ht="24.95" customHeight="1">
      <c r="A2" s="2034" t="s">
        <v>408</v>
      </c>
      <c r="B2" s="2035"/>
      <c r="C2" s="2035"/>
      <c r="D2" s="367" t="s">
        <v>409</v>
      </c>
      <c r="E2" s="368" t="s">
        <v>869</v>
      </c>
      <c r="F2" s="368" t="s">
        <v>56</v>
      </c>
      <c r="G2" s="369" t="s">
        <v>410</v>
      </c>
      <c r="H2" s="368" t="s">
        <v>411</v>
      </c>
      <c r="I2" s="369" t="s">
        <v>412</v>
      </c>
      <c r="J2" s="370" t="s">
        <v>27</v>
      </c>
    </row>
    <row r="3" spans="1:10" ht="24.95" customHeight="1">
      <c r="A3" s="2032" t="s">
        <v>560</v>
      </c>
      <c r="B3" s="2033" t="s">
        <v>5</v>
      </c>
      <c r="C3" s="379" t="s">
        <v>8</v>
      </c>
      <c r="D3" s="377">
        <v>0.8</v>
      </c>
      <c r="E3" s="371" t="e">
        <f>+'7.1소규모원단위'!#REF!+'7.1소규모원단위'!#REF!</f>
        <v>#REF!</v>
      </c>
      <c r="F3" s="371" t="e">
        <f>+'7.1소규모원단위'!#REF!+'7.1소규모원단위'!#REF!</f>
        <v>#REF!</v>
      </c>
      <c r="G3" s="371" t="e">
        <f>+'7.1소규모원단위'!#REF!+'7.1소규모원단위'!#REF!</f>
        <v>#REF!</v>
      </c>
      <c r="H3" s="371" t="e">
        <f>+'7.1소규모원단위'!#REF!+'7.1소규모원단위'!#REF!</f>
        <v>#REF!</v>
      </c>
      <c r="I3" s="371" t="e">
        <f>+'7.1소규모원단위'!#REF!+'7.1소규모원단위'!#REF!</f>
        <v>#REF!</v>
      </c>
      <c r="J3" s="372"/>
    </row>
    <row r="4" spans="1:10" ht="24.95" customHeight="1">
      <c r="A4" s="2032"/>
      <c r="B4" s="2033"/>
      <c r="C4" s="379" t="s">
        <v>406</v>
      </c>
      <c r="D4" s="377">
        <v>1</v>
      </c>
      <c r="E4" s="371" t="e">
        <f>+'7.1소규모원단위'!#REF!+'7.1소규모원단위'!#REF!</f>
        <v>#REF!</v>
      </c>
      <c r="F4" s="371" t="e">
        <f>+'7.1소규모원단위'!#REF!+'7.1소규모원단위'!#REF!</f>
        <v>#REF!</v>
      </c>
      <c r="G4" s="371" t="e">
        <f>+'7.1소규모원단위'!#REF!+'7.1소규모원단위'!#REF!</f>
        <v>#REF!</v>
      </c>
      <c r="H4" s="371" t="e">
        <f>+'7.1소규모원단위'!#REF!+'7.1소규모원단위'!#REF!</f>
        <v>#REF!</v>
      </c>
      <c r="I4" s="371" t="e">
        <f>+'7.1소규모원단위'!#REF!+'7.1소규모원단위'!#REF!</f>
        <v>#REF!</v>
      </c>
      <c r="J4" s="372"/>
    </row>
    <row r="5" spans="1:10" ht="24.95" customHeight="1">
      <c r="A5" s="2032"/>
      <c r="B5" s="2033"/>
      <c r="C5" s="379" t="s">
        <v>407</v>
      </c>
      <c r="D5" s="377">
        <v>1.8</v>
      </c>
      <c r="E5" s="371" t="e">
        <f>+'7.1소규모원단위'!#REF!+'7.1소규모원단위'!#REF!</f>
        <v>#REF!</v>
      </c>
      <c r="F5" s="371" t="e">
        <f>+'7.1소규모원단위'!#REF!+'7.1소규모원단위'!#REF!</f>
        <v>#REF!</v>
      </c>
      <c r="G5" s="371" t="e">
        <f>+'7.1소규모원단위'!#REF!+'7.1소규모원단위'!#REF!</f>
        <v>#REF!</v>
      </c>
      <c r="H5" s="371" t="e">
        <f>+'7.1소규모원단위'!#REF!+'7.1소규모원단위'!#REF!</f>
        <v>#REF!</v>
      </c>
      <c r="I5" s="371" t="e">
        <f>+'7.1소규모원단위'!#REF!+'7.1소규모원단위'!#REF!</f>
        <v>#REF!</v>
      </c>
      <c r="J5" s="372"/>
    </row>
    <row r="6" spans="1:10" ht="24.95" customHeight="1">
      <c r="A6" s="2038" t="s">
        <v>401</v>
      </c>
      <c r="B6" s="2036" t="s">
        <v>561</v>
      </c>
      <c r="C6" s="379" t="s">
        <v>402</v>
      </c>
      <c r="D6" s="377">
        <v>1</v>
      </c>
      <c r="E6" s="374" t="e">
        <f>+ROUND(E3*0.5,0)</f>
        <v>#REF!</v>
      </c>
      <c r="F6" s="374" t="e">
        <f>+ROUND(F3*0.5,0)</f>
        <v>#REF!</v>
      </c>
      <c r="G6" s="374" t="e">
        <f>+ROUND(G3*0.5,0)</f>
        <v>#REF!</v>
      </c>
      <c r="H6" s="374" t="e">
        <f>+ROUND(H3*0.5,0)</f>
        <v>#REF!</v>
      </c>
      <c r="I6" s="374" t="e">
        <f>+ROUND(I3*0.5,0)</f>
        <v>#REF!</v>
      </c>
      <c r="J6" s="2030"/>
    </row>
    <row r="7" spans="1:10" ht="24.95" customHeight="1">
      <c r="A7" s="2039"/>
      <c r="B7" s="2036"/>
      <c r="C7" s="379" t="s">
        <v>403</v>
      </c>
      <c r="D7" s="377">
        <v>1</v>
      </c>
      <c r="E7" s="374" t="e">
        <f>+E6</f>
        <v>#REF!</v>
      </c>
      <c r="F7" s="374" t="e">
        <f t="shared" ref="F7:I7" si="0">+F6</f>
        <v>#REF!</v>
      </c>
      <c r="G7" s="374" t="e">
        <f t="shared" si="0"/>
        <v>#REF!</v>
      </c>
      <c r="H7" s="374" t="e">
        <f t="shared" si="0"/>
        <v>#REF!</v>
      </c>
      <c r="I7" s="374" t="e">
        <f t="shared" si="0"/>
        <v>#REF!</v>
      </c>
      <c r="J7" s="2030"/>
    </row>
    <row r="8" spans="1:10" ht="24.95" customHeight="1">
      <c r="A8" s="2040"/>
      <c r="B8" s="2036"/>
      <c r="C8" s="379" t="s">
        <v>404</v>
      </c>
      <c r="D8" s="377">
        <v>1.8</v>
      </c>
      <c r="E8" s="373" t="e">
        <f>ROUND(+E7*$D8,0)</f>
        <v>#REF!</v>
      </c>
      <c r="F8" s="373" t="e">
        <f t="shared" ref="F8:I8" si="1">ROUND(+F7*$D8,0)</f>
        <v>#REF!</v>
      </c>
      <c r="G8" s="373" t="e">
        <f t="shared" si="1"/>
        <v>#REF!</v>
      </c>
      <c r="H8" s="373" t="e">
        <f t="shared" si="1"/>
        <v>#REF!</v>
      </c>
      <c r="I8" s="373" t="e">
        <f t="shared" si="1"/>
        <v>#REF!</v>
      </c>
      <c r="J8" s="2030"/>
    </row>
    <row r="9" spans="1:10" ht="24.95" customHeight="1">
      <c r="A9" s="2038" t="s">
        <v>405</v>
      </c>
      <c r="B9" s="2036" t="s">
        <v>561</v>
      </c>
      <c r="C9" s="379" t="s">
        <v>402</v>
      </c>
      <c r="D9" s="377">
        <v>1</v>
      </c>
      <c r="E9" s="375" t="e">
        <f>ROUND(E3*0.15,0)</f>
        <v>#REF!</v>
      </c>
      <c r="F9" s="375" t="e">
        <f>ROUND(F3*0.15,0)</f>
        <v>#REF!</v>
      </c>
      <c r="G9" s="375" t="e">
        <f>ROUND(G3*0.15,0)</f>
        <v>#REF!</v>
      </c>
      <c r="H9" s="375" t="e">
        <f>ROUND(H3*0.15,0)</f>
        <v>#REF!</v>
      </c>
      <c r="I9" s="375" t="e">
        <f>ROUND(I3*0.15,0)</f>
        <v>#REF!</v>
      </c>
      <c r="J9" s="2030"/>
    </row>
    <row r="10" spans="1:10" ht="24.95" customHeight="1">
      <c r="A10" s="2039"/>
      <c r="B10" s="2036"/>
      <c r="C10" s="379" t="s">
        <v>403</v>
      </c>
      <c r="D10" s="377">
        <v>1</v>
      </c>
      <c r="E10" s="373" t="e">
        <f>+E9</f>
        <v>#REF!</v>
      </c>
      <c r="F10" s="373" t="e">
        <f>+F9</f>
        <v>#REF!</v>
      </c>
      <c r="G10" s="373" t="e">
        <f>+G9</f>
        <v>#REF!</v>
      </c>
      <c r="H10" s="373" t="e">
        <f>+H9</f>
        <v>#REF!</v>
      </c>
      <c r="I10" s="373" t="e">
        <f>+I9</f>
        <v>#REF!</v>
      </c>
      <c r="J10" s="2030"/>
    </row>
    <row r="11" spans="1:10" ht="24.95" customHeight="1">
      <c r="A11" s="2041"/>
      <c r="B11" s="2037"/>
      <c r="C11" s="380" t="s">
        <v>404</v>
      </c>
      <c r="D11" s="378">
        <v>1.8</v>
      </c>
      <c r="E11" s="376" t="e">
        <f>ROUND(+E10*$D11,0)</f>
        <v>#REF!</v>
      </c>
      <c r="F11" s="376" t="e">
        <f t="shared" ref="F11" si="2">ROUND(+F10*$D11,0)</f>
        <v>#REF!</v>
      </c>
      <c r="G11" s="376" t="e">
        <f t="shared" ref="G11" si="3">ROUND(+G10*$D11,0)</f>
        <v>#REF!</v>
      </c>
      <c r="H11" s="376" t="e">
        <f t="shared" ref="H11" si="4">ROUND(+H10*$D11,0)</f>
        <v>#REF!</v>
      </c>
      <c r="I11" s="376" t="e">
        <f t="shared" ref="I11" si="5">ROUND(+I10*$D11,0)</f>
        <v>#REF!</v>
      </c>
      <c r="J11" s="2031"/>
    </row>
  </sheetData>
  <mergeCells count="9">
    <mergeCell ref="J6:J8"/>
    <mergeCell ref="J9:J11"/>
    <mergeCell ref="A3:A5"/>
    <mergeCell ref="B3:B5"/>
    <mergeCell ref="A2:C2"/>
    <mergeCell ref="B6:B8"/>
    <mergeCell ref="B9:B11"/>
    <mergeCell ref="A6:A8"/>
    <mergeCell ref="A9:A11"/>
  </mergeCells>
  <phoneticPr fontId="7" type="noConversion"/>
  <pageMargins left="0.7" right="0.7" top="0.75" bottom="0.75" header="0.3" footer="0.3"/>
  <pageSetup paperSize="9" scale="8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T75"/>
  <sheetViews>
    <sheetView view="pageBreakPreview" zoomScale="60" zoomScaleNormal="70" workbookViewId="0"/>
  </sheetViews>
  <sheetFormatPr defaultColWidth="7.77734375" defaultRowHeight="29.45" customHeight="1"/>
  <cols>
    <col min="1" max="1" width="28.88671875" style="615" customWidth="1"/>
    <col min="2" max="2" width="7.77734375" style="615"/>
    <col min="3" max="12" width="12.33203125" style="615" customWidth="1"/>
    <col min="13" max="13" width="17.44140625" style="615" customWidth="1"/>
    <col min="14" max="16384" width="7.77734375" style="615"/>
  </cols>
  <sheetData>
    <row r="1" spans="1:13" ht="29.45" customHeight="1">
      <c r="A1" s="752" t="s">
        <v>1896</v>
      </c>
    </row>
    <row r="2" spans="1:13" s="706" customFormat="1" ht="24.95" customHeight="1">
      <c r="A2" s="1319" t="s">
        <v>1840</v>
      </c>
      <c r="B2" s="1320"/>
      <c r="C2" s="1320"/>
      <c r="D2" s="1320"/>
      <c r="E2" s="1320"/>
      <c r="F2" s="1320"/>
      <c r="G2" s="1320"/>
      <c r="H2" s="1320"/>
      <c r="I2" s="1320"/>
      <c r="J2" s="1320"/>
      <c r="K2" s="1320"/>
      <c r="L2" s="1320"/>
      <c r="M2" s="1320"/>
    </row>
    <row r="3" spans="1:13" s="706" customFormat="1" ht="24.95" customHeight="1">
      <c r="A3" s="2044" t="s">
        <v>1841</v>
      </c>
      <c r="B3" s="2046" t="s">
        <v>1842</v>
      </c>
      <c r="C3" s="2048" t="s">
        <v>1843</v>
      </c>
      <c r="D3" s="2048"/>
      <c r="E3" s="2048"/>
      <c r="F3" s="2048"/>
      <c r="G3" s="2048"/>
      <c r="H3" s="2048" t="s">
        <v>1844</v>
      </c>
      <c r="I3" s="2048"/>
      <c r="J3" s="2048"/>
      <c r="K3" s="2048"/>
      <c r="L3" s="2048"/>
      <c r="M3" s="2049" t="s">
        <v>1845</v>
      </c>
    </row>
    <row r="4" spans="1:13" s="706" customFormat="1" ht="24.95" customHeight="1" thickBot="1">
      <c r="A4" s="2045"/>
      <c r="B4" s="2047"/>
      <c r="C4" s="1321" t="s">
        <v>1846</v>
      </c>
      <c r="D4" s="1321" t="s">
        <v>1847</v>
      </c>
      <c r="E4" s="1321" t="s">
        <v>1848</v>
      </c>
      <c r="F4" s="1321" t="s">
        <v>1849</v>
      </c>
      <c r="G4" s="1321" t="s">
        <v>1850</v>
      </c>
      <c r="H4" s="1321" t="s">
        <v>1846</v>
      </c>
      <c r="I4" s="1321" t="s">
        <v>1847</v>
      </c>
      <c r="J4" s="1321" t="s">
        <v>1848</v>
      </c>
      <c r="K4" s="1321" t="s">
        <v>1849</v>
      </c>
      <c r="L4" s="1321" t="s">
        <v>1850</v>
      </c>
      <c r="M4" s="2050"/>
    </row>
    <row r="5" spans="1:13" s="706" customFormat="1" ht="24.95" customHeight="1" thickTop="1">
      <c r="A5" s="1322" t="s">
        <v>1851</v>
      </c>
      <c r="B5" s="1323">
        <v>37.799999999999997</v>
      </c>
      <c r="C5" s="1324">
        <v>3610.8</v>
      </c>
      <c r="D5" s="1324">
        <v>4229.6000000000004</v>
      </c>
      <c r="E5" s="1324">
        <v>4176.3</v>
      </c>
      <c r="F5" s="1324">
        <v>387.83</v>
      </c>
      <c r="G5" s="1324">
        <v>41.15</v>
      </c>
      <c r="H5" s="1323">
        <f>($B$5*C5)/1000</f>
        <v>136.48823999999999</v>
      </c>
      <c r="I5" s="1323">
        <f>($B$5*D5)/1000</f>
        <v>159.87888000000001</v>
      </c>
      <c r="J5" s="1323">
        <f>($B$5*E5)/1000</f>
        <v>157.86413999999999</v>
      </c>
      <c r="K5" s="1325">
        <f>($B$5*F5)/1000</f>
        <v>14.659973999999998</v>
      </c>
      <c r="L5" s="1325">
        <f>($B$5*G5)/1000</f>
        <v>1.5554699999999999</v>
      </c>
      <c r="M5" s="1326" t="s">
        <v>1852</v>
      </c>
    </row>
    <row r="6" spans="1:13" s="706" customFormat="1" ht="24.95" customHeight="1">
      <c r="A6" s="1327" t="s">
        <v>1853</v>
      </c>
      <c r="B6" s="1324">
        <v>31.5</v>
      </c>
      <c r="C6" s="1324">
        <v>3962.0537594268485</v>
      </c>
      <c r="D6" s="1324">
        <v>2807.8022096530917</v>
      </c>
      <c r="E6" s="1324">
        <v>4092.1335595776777</v>
      </c>
      <c r="F6" s="1324">
        <v>369.45809238310704</v>
      </c>
      <c r="G6" s="1324">
        <v>77.904535822021117</v>
      </c>
      <c r="H6" s="1324">
        <f>($B$6*C6)/1000</f>
        <v>124.80469342194573</v>
      </c>
      <c r="I6" s="1324">
        <f>($B$6*D6)/1000</f>
        <v>88.445769604072382</v>
      </c>
      <c r="J6" s="1324">
        <f>($B$6*E6)/1000</f>
        <v>128.90220712669685</v>
      </c>
      <c r="K6" s="1328">
        <f>($B$6*F6)/1000</f>
        <v>11.637929910067873</v>
      </c>
      <c r="L6" s="1328">
        <f>($B$6*G6)/1000</f>
        <v>2.4539928783936653</v>
      </c>
      <c r="M6" s="1329" t="s">
        <v>1852</v>
      </c>
    </row>
    <row r="7" spans="1:13" s="706" customFormat="1" ht="24.95" customHeight="1">
      <c r="A7" s="1327" t="s">
        <v>1854</v>
      </c>
      <c r="B7" s="1324">
        <v>40</v>
      </c>
      <c r="C7" s="1324">
        <f>(H7/B7)*1000</f>
        <v>82.499999999999986</v>
      </c>
      <c r="D7" s="1324">
        <f>(I7/B7)*1000</f>
        <v>255</v>
      </c>
      <c r="E7" s="1324">
        <f>(J7/B7)*1000</f>
        <v>265</v>
      </c>
      <c r="F7" s="1324">
        <f>(K7/B7)*1000</f>
        <v>45.174999999999997</v>
      </c>
      <c r="G7" s="1324">
        <f>(L7/B7)*1000</f>
        <v>19.349999999999998</v>
      </c>
      <c r="H7" s="1324">
        <v>3.3</v>
      </c>
      <c r="I7" s="1324">
        <v>10.199999999999999</v>
      </c>
      <c r="J7" s="1324">
        <v>10.6</v>
      </c>
      <c r="K7" s="1328">
        <v>1.8069999999999999</v>
      </c>
      <c r="L7" s="1328">
        <v>0.77400000000000002</v>
      </c>
      <c r="M7" s="1329" t="s">
        <v>1855</v>
      </c>
    </row>
    <row r="8" spans="1:13" s="706" customFormat="1" ht="24.95" customHeight="1">
      <c r="A8" s="1327" t="s">
        <v>1856</v>
      </c>
      <c r="B8" s="1324">
        <v>40</v>
      </c>
      <c r="C8" s="1324">
        <v>117.7</v>
      </c>
      <c r="D8" s="1324">
        <v>399.4</v>
      </c>
      <c r="E8" s="1324">
        <v>262.3</v>
      </c>
      <c r="F8" s="1324">
        <v>84.9</v>
      </c>
      <c r="G8" s="1324">
        <v>52.2</v>
      </c>
      <c r="H8" s="1324">
        <f>($B$8*C8)/1000</f>
        <v>4.7080000000000002</v>
      </c>
      <c r="I8" s="1324">
        <f>($B$8*D8)/1000</f>
        <v>15.976000000000001</v>
      </c>
      <c r="J8" s="1324">
        <f>($B$8*E8)/1000</f>
        <v>10.492000000000001</v>
      </c>
      <c r="K8" s="1328">
        <f>($B$8*F8)/1000</f>
        <v>3.3959999999999999</v>
      </c>
      <c r="L8" s="1328">
        <f>($B$8*G8)/1000</f>
        <v>2.0880000000000001</v>
      </c>
      <c r="M8" s="1329" t="s">
        <v>1852</v>
      </c>
    </row>
    <row r="9" spans="1:13" s="706" customFormat="1" ht="24.95" customHeight="1">
      <c r="A9" s="1330" t="s">
        <v>1857</v>
      </c>
      <c r="B9" s="1331">
        <v>40</v>
      </c>
      <c r="C9" s="1331">
        <f>(H9/$B$9)*1000</f>
        <v>3125</v>
      </c>
      <c r="D9" s="1331">
        <f>(I9/$B$9)*1000</f>
        <v>2250</v>
      </c>
      <c r="E9" s="1331">
        <f>(J9/$B$9)*1000</f>
        <v>3250</v>
      </c>
      <c r="F9" s="1331">
        <f>(K9/$B$9)*1000</f>
        <v>300</v>
      </c>
      <c r="G9" s="1331">
        <f>(L9/$B$9)*1000</f>
        <v>75</v>
      </c>
      <c r="H9" s="1331">
        <v>125</v>
      </c>
      <c r="I9" s="1331">
        <v>90</v>
      </c>
      <c r="J9" s="1331">
        <v>130</v>
      </c>
      <c r="K9" s="1332">
        <v>12</v>
      </c>
      <c r="L9" s="1332">
        <v>3</v>
      </c>
      <c r="M9" s="1333" t="s">
        <v>1852</v>
      </c>
    </row>
    <row r="10" spans="1:13" s="706" customFormat="1" ht="24.95" customHeight="1">
      <c r="A10" s="1320"/>
      <c r="B10" s="1320"/>
      <c r="C10" s="1320"/>
      <c r="D10" s="1320"/>
      <c r="E10" s="1320"/>
      <c r="F10" s="1320"/>
      <c r="G10" s="1320"/>
      <c r="H10" s="1320"/>
      <c r="I10" s="1320"/>
      <c r="J10" s="1320"/>
      <c r="K10" s="1320"/>
      <c r="L10" s="1320"/>
      <c r="M10" s="1320"/>
    </row>
    <row r="11" spans="1:13" s="706" customFormat="1" ht="24.95" customHeight="1">
      <c r="A11" s="1319" t="s">
        <v>1858</v>
      </c>
      <c r="B11" s="1320"/>
      <c r="C11" s="1320"/>
      <c r="D11" s="1320"/>
      <c r="E11" s="1320"/>
      <c r="F11" s="1320"/>
      <c r="G11" s="1320"/>
      <c r="H11" s="1320"/>
      <c r="I11" s="1320"/>
      <c r="J11" s="1320"/>
      <c r="K11" s="1320"/>
      <c r="L11" s="1320"/>
      <c r="M11" s="1320"/>
    </row>
    <row r="12" spans="1:13" s="706" customFormat="1" ht="24.95" customHeight="1">
      <c r="A12" s="2044" t="s">
        <v>549</v>
      </c>
      <c r="B12" s="2046" t="s">
        <v>1859</v>
      </c>
      <c r="C12" s="2048" t="s">
        <v>1860</v>
      </c>
      <c r="D12" s="2048"/>
      <c r="E12" s="2048"/>
      <c r="F12" s="2048"/>
      <c r="G12" s="2048"/>
      <c r="H12" s="2048" t="s">
        <v>1861</v>
      </c>
      <c r="I12" s="2048"/>
      <c r="J12" s="2048"/>
      <c r="K12" s="2048"/>
      <c r="L12" s="2048"/>
      <c r="M12" s="2049" t="s">
        <v>1862</v>
      </c>
    </row>
    <row r="13" spans="1:13" s="706" customFormat="1" ht="24.95" customHeight="1" thickBot="1">
      <c r="A13" s="2045"/>
      <c r="B13" s="2047"/>
      <c r="C13" s="1321" t="s">
        <v>1682</v>
      </c>
      <c r="D13" s="1321" t="s">
        <v>1735</v>
      </c>
      <c r="E13" s="1321" t="s">
        <v>1684</v>
      </c>
      <c r="F13" s="1321" t="s">
        <v>1737</v>
      </c>
      <c r="G13" s="1321" t="s">
        <v>1738</v>
      </c>
      <c r="H13" s="1321" t="s">
        <v>1682</v>
      </c>
      <c r="I13" s="1321" t="s">
        <v>1735</v>
      </c>
      <c r="J13" s="1321" t="s">
        <v>1684</v>
      </c>
      <c r="K13" s="1321" t="s">
        <v>1737</v>
      </c>
      <c r="L13" s="1321" t="s">
        <v>1738</v>
      </c>
      <c r="M13" s="2050"/>
    </row>
    <row r="14" spans="1:13" s="706" customFormat="1" ht="24.95" customHeight="1" thickTop="1">
      <c r="A14" s="1322" t="s">
        <v>1851</v>
      </c>
      <c r="B14" s="1323">
        <v>29.8</v>
      </c>
      <c r="C14" s="1324">
        <v>6344</v>
      </c>
      <c r="D14" s="1324">
        <v>4214.6000000000004</v>
      </c>
      <c r="E14" s="1324">
        <v>7225.1</v>
      </c>
      <c r="F14" s="1324">
        <v>577.47699999999998</v>
      </c>
      <c r="G14" s="1324">
        <v>68.807000000000002</v>
      </c>
      <c r="H14" s="1323">
        <f>B14*C14/1000</f>
        <v>189.05120000000002</v>
      </c>
      <c r="I14" s="1323">
        <f>(B14*D14)/1000</f>
        <v>125.59508000000001</v>
      </c>
      <c r="J14" s="1323">
        <f>(B14*E14)/1000</f>
        <v>215.30798000000001</v>
      </c>
      <c r="K14" s="1325">
        <f>(B14*F14)/1000</f>
        <v>17.208814599999997</v>
      </c>
      <c r="L14" s="1325">
        <f>(B14*G14)/1000</f>
        <v>2.0504486000000002</v>
      </c>
      <c r="M14" s="1326" t="s">
        <v>1852</v>
      </c>
    </row>
    <row r="15" spans="1:13" s="706" customFormat="1" ht="24.95" customHeight="1">
      <c r="A15" s="1327" t="s">
        <v>1863</v>
      </c>
      <c r="B15" s="1324">
        <v>32.5</v>
      </c>
      <c r="C15" s="1324">
        <v>4875.3999999999996</v>
      </c>
      <c r="D15" s="1324">
        <v>3829.5</v>
      </c>
      <c r="E15" s="1324">
        <v>5877.7</v>
      </c>
      <c r="F15" s="1324">
        <v>571.70000000000005</v>
      </c>
      <c r="G15" s="1324">
        <v>119.4</v>
      </c>
      <c r="H15" s="1324">
        <f>(B15*C15)/1000</f>
        <v>158.45050000000001</v>
      </c>
      <c r="I15" s="1324">
        <f>(B15*D15)/1000</f>
        <v>124.45874999999999</v>
      </c>
      <c r="J15" s="1324">
        <f>(B15*E15)/1000</f>
        <v>191.02525</v>
      </c>
      <c r="K15" s="1328">
        <f>(B15*F15)/1000</f>
        <v>18.580249999999999</v>
      </c>
      <c r="L15" s="1328">
        <f>(B15*G15)/1000</f>
        <v>3.8805000000000001</v>
      </c>
      <c r="M15" s="1329" t="s">
        <v>1855</v>
      </c>
    </row>
    <row r="16" spans="1:13" s="706" customFormat="1" ht="24.95" customHeight="1">
      <c r="A16" s="1327" t="s">
        <v>1864</v>
      </c>
      <c r="B16" s="1324">
        <v>40</v>
      </c>
      <c r="C16" s="1324">
        <f>(H16/B16)*1000</f>
        <v>98.55</v>
      </c>
      <c r="D16" s="1324">
        <f>(I16/B16)*1000</f>
        <v>427.15</v>
      </c>
      <c r="E16" s="1324">
        <f>(J16/B16)*1000</f>
        <v>273.60000000000002</v>
      </c>
      <c r="F16" s="1324">
        <f>(K16/B16)*1000</f>
        <v>265.95000000000005</v>
      </c>
      <c r="G16" s="1324">
        <f>(L16/B16)*1000</f>
        <v>13.500000000000002</v>
      </c>
      <c r="H16" s="1324">
        <v>3.9420000000000002</v>
      </c>
      <c r="I16" s="1324">
        <v>17.085999999999999</v>
      </c>
      <c r="J16" s="1324">
        <v>10.944000000000001</v>
      </c>
      <c r="K16" s="1328">
        <v>10.638</v>
      </c>
      <c r="L16" s="1328">
        <v>0.54</v>
      </c>
      <c r="M16" s="1329" t="s">
        <v>1855</v>
      </c>
    </row>
    <row r="17" spans="1:13" s="706" customFormat="1" ht="24.95" customHeight="1">
      <c r="A17" s="1327" t="s">
        <v>1865</v>
      </c>
      <c r="B17" s="1324">
        <v>32.5</v>
      </c>
      <c r="C17" s="1324">
        <v>4875.3999999999996</v>
      </c>
      <c r="D17" s="1324">
        <v>3829.5</v>
      </c>
      <c r="E17" s="1324">
        <v>5877.7</v>
      </c>
      <c r="F17" s="1324">
        <v>571.70000000000005</v>
      </c>
      <c r="G17" s="1324">
        <v>119.4</v>
      </c>
      <c r="H17" s="1324">
        <f>(B17*C17)/1000</f>
        <v>158.45050000000001</v>
      </c>
      <c r="I17" s="1324">
        <f>(B17*D17)/1000</f>
        <v>124.45874999999999</v>
      </c>
      <c r="J17" s="1324">
        <f>(B17*E17)/1000</f>
        <v>191.02525</v>
      </c>
      <c r="K17" s="1328">
        <f>(B17*F17)/1000</f>
        <v>18.580249999999999</v>
      </c>
      <c r="L17" s="1328">
        <f>(B17*G17)/1000</f>
        <v>3.8805000000000001</v>
      </c>
      <c r="M17" s="1329" t="s">
        <v>1852</v>
      </c>
    </row>
    <row r="18" spans="1:13" s="706" customFormat="1" ht="24.95" customHeight="1">
      <c r="A18" s="1330" t="s">
        <v>1857</v>
      </c>
      <c r="B18" s="1331">
        <v>40</v>
      </c>
      <c r="C18" s="1331">
        <f>(H18/B18)*1000</f>
        <v>3961.2625000000003</v>
      </c>
      <c r="D18" s="1331">
        <f>(I18/B18)*1000</f>
        <v>3111.46875</v>
      </c>
      <c r="E18" s="1331">
        <f>(J18/B18)*1000</f>
        <v>4775.6312500000004</v>
      </c>
      <c r="F18" s="1331">
        <f>(K18/B18)*1000</f>
        <v>464.50625000000002</v>
      </c>
      <c r="G18" s="1331">
        <f>(L18/B18)*1000</f>
        <v>97.012500000000003</v>
      </c>
      <c r="H18" s="1331">
        <v>158.45050000000001</v>
      </c>
      <c r="I18" s="1331">
        <v>124.45874999999999</v>
      </c>
      <c r="J18" s="1331">
        <v>191.02525</v>
      </c>
      <c r="K18" s="1332">
        <v>18.580249999999999</v>
      </c>
      <c r="L18" s="1332">
        <v>3.8805000000000001</v>
      </c>
      <c r="M18" s="1333" t="s">
        <v>1852</v>
      </c>
    </row>
    <row r="19" spans="1:13" s="706" customFormat="1" ht="24.95" customHeight="1">
      <c r="A19" s="1320"/>
      <c r="B19" s="1320"/>
      <c r="C19" s="1320"/>
      <c r="D19" s="1320"/>
      <c r="E19" s="1320"/>
      <c r="F19" s="1320"/>
      <c r="G19" s="1320"/>
      <c r="H19" s="1320"/>
      <c r="I19" s="1320"/>
      <c r="J19" s="1320"/>
      <c r="K19" s="1320"/>
      <c r="L19" s="1320"/>
      <c r="M19" s="1320"/>
    </row>
    <row r="20" spans="1:13" s="706" customFormat="1" ht="24.95" customHeight="1">
      <c r="A20" s="1319" t="s">
        <v>1866</v>
      </c>
      <c r="B20" s="1320"/>
      <c r="C20" s="1320"/>
      <c r="D20" s="1320"/>
      <c r="E20" s="1320"/>
      <c r="F20" s="1320"/>
      <c r="G20" s="1320"/>
      <c r="H20" s="1320"/>
      <c r="I20" s="1320"/>
      <c r="J20" s="1320"/>
      <c r="K20" s="1320"/>
      <c r="L20" s="1320"/>
      <c r="M20" s="1320"/>
    </row>
    <row r="21" spans="1:13" s="706" customFormat="1" ht="24.95" customHeight="1">
      <c r="A21" s="2044" t="s">
        <v>549</v>
      </c>
      <c r="B21" s="2046" t="s">
        <v>1859</v>
      </c>
      <c r="C21" s="2048" t="s">
        <v>1860</v>
      </c>
      <c r="D21" s="2048"/>
      <c r="E21" s="2048"/>
      <c r="F21" s="2048"/>
      <c r="G21" s="2048"/>
      <c r="H21" s="2048" t="s">
        <v>1861</v>
      </c>
      <c r="I21" s="2048"/>
      <c r="J21" s="2048"/>
      <c r="K21" s="2048"/>
      <c r="L21" s="2048"/>
      <c r="M21" s="2049" t="s">
        <v>1862</v>
      </c>
    </row>
    <row r="22" spans="1:13" s="706" customFormat="1" ht="24.95" customHeight="1" thickBot="1">
      <c r="A22" s="2045"/>
      <c r="B22" s="2047"/>
      <c r="C22" s="1321" t="s">
        <v>1682</v>
      </c>
      <c r="D22" s="1321" t="s">
        <v>1735</v>
      </c>
      <c r="E22" s="1321" t="s">
        <v>1684</v>
      </c>
      <c r="F22" s="1321" t="s">
        <v>1737</v>
      </c>
      <c r="G22" s="1321" t="s">
        <v>1738</v>
      </c>
      <c r="H22" s="1321" t="s">
        <v>1682</v>
      </c>
      <c r="I22" s="1321" t="s">
        <v>1735</v>
      </c>
      <c r="J22" s="1321" t="s">
        <v>1684</v>
      </c>
      <c r="K22" s="1321" t="s">
        <v>1737</v>
      </c>
      <c r="L22" s="1321" t="s">
        <v>1738</v>
      </c>
      <c r="M22" s="2050"/>
    </row>
    <row r="23" spans="1:13" s="706" customFormat="1" ht="24.95" customHeight="1" thickTop="1">
      <c r="A23" s="1322" t="s">
        <v>1867</v>
      </c>
      <c r="B23" s="1323">
        <v>327</v>
      </c>
      <c r="C23" s="1324">
        <v>49.4</v>
      </c>
      <c r="D23" s="1324">
        <v>227.6</v>
      </c>
      <c r="E23" s="1324">
        <v>45.8</v>
      </c>
      <c r="F23" s="1324">
        <v>77.275000000000006</v>
      </c>
      <c r="G23" s="1324">
        <v>5.35</v>
      </c>
      <c r="H23" s="1323">
        <f>B23*C23/1000</f>
        <v>16.1538</v>
      </c>
      <c r="I23" s="1323">
        <f>(B23*D23)/1000</f>
        <v>74.425200000000004</v>
      </c>
      <c r="J23" s="1323">
        <f>(B23*E23)/1000</f>
        <v>14.976599999999998</v>
      </c>
      <c r="K23" s="1325">
        <f>(B23*F23)/1000</f>
        <v>25.268925000000003</v>
      </c>
      <c r="L23" s="1325">
        <f>(B23*G23)/1000</f>
        <v>1.7494499999999997</v>
      </c>
      <c r="M23" s="1326" t="s">
        <v>1852</v>
      </c>
    </row>
    <row r="24" spans="1:13" s="706" customFormat="1" ht="24.95" customHeight="1">
      <c r="A24" s="1327" t="s">
        <v>1863</v>
      </c>
      <c r="B24" s="1324">
        <v>327</v>
      </c>
      <c r="C24" s="1324">
        <v>188.05149253731344</v>
      </c>
      <c r="D24" s="1324">
        <v>144.54014598540149</v>
      </c>
      <c r="E24" s="1324">
        <v>132.57737226277376</v>
      </c>
      <c r="F24" s="1324">
        <v>51.011764880825304</v>
      </c>
      <c r="G24" s="1324">
        <v>4.2691221232482448</v>
      </c>
      <c r="H24" s="1324">
        <f>($B$15*C24)/1000</f>
        <v>6.1116735074626867</v>
      </c>
      <c r="I24" s="1324">
        <f>($B$15*D24)/1000</f>
        <v>4.697554744525549</v>
      </c>
      <c r="J24" s="1324">
        <f>($B$15*E24)/1000</f>
        <v>4.3087645985401481</v>
      </c>
      <c r="K24" s="1328">
        <f>($B$15*F24)/1000</f>
        <v>1.6578823586268225</v>
      </c>
      <c r="L24" s="1328">
        <f>($B$15*G24)/1000</f>
        <v>0.13874646900556795</v>
      </c>
      <c r="M24" s="1329" t="s">
        <v>1855</v>
      </c>
    </row>
    <row r="25" spans="1:13" s="706" customFormat="1" ht="24.95" customHeight="1">
      <c r="A25" s="1327" t="s">
        <v>1864</v>
      </c>
      <c r="B25" s="1324">
        <v>327</v>
      </c>
      <c r="C25" s="1324">
        <f>(H25/B25)*1000</f>
        <v>12.055045871559633</v>
      </c>
      <c r="D25" s="1324">
        <f>(I25/B25)*1000</f>
        <v>52.25076452599388</v>
      </c>
      <c r="E25" s="1324">
        <f>(J25/B25)*1000</f>
        <v>33.467889908256879</v>
      </c>
      <c r="F25" s="1324">
        <f>(K25/B25)*1000</f>
        <v>32.532110091743114</v>
      </c>
      <c r="G25" s="1324">
        <f>(L25/B25)*1000</f>
        <v>1.6513761467889909</v>
      </c>
      <c r="H25" s="1324">
        <v>3.9420000000000002</v>
      </c>
      <c r="I25" s="1324">
        <v>17.085999999999999</v>
      </c>
      <c r="J25" s="1324">
        <v>10.944000000000001</v>
      </c>
      <c r="K25" s="1328">
        <v>10.638</v>
      </c>
      <c r="L25" s="1328">
        <v>0.54</v>
      </c>
      <c r="M25" s="1329" t="s">
        <v>1855</v>
      </c>
    </row>
    <row r="26" spans="1:13" s="706" customFormat="1" ht="24.95" customHeight="1">
      <c r="A26" s="1327" t="s">
        <v>1865</v>
      </c>
      <c r="B26" s="1324">
        <v>327</v>
      </c>
      <c r="C26" s="1324">
        <v>241.2</v>
      </c>
      <c r="D26" s="1324">
        <v>156.5</v>
      </c>
      <c r="E26" s="1324">
        <v>321.89999999999998</v>
      </c>
      <c r="F26" s="1324">
        <v>52.9</v>
      </c>
      <c r="G26" s="1324">
        <v>4.7409999999999997</v>
      </c>
      <c r="H26" s="1324">
        <f>(B26*C26)/1000</f>
        <v>78.872399999999999</v>
      </c>
      <c r="I26" s="1324">
        <f>(B26*D26)/1000</f>
        <v>51.1755</v>
      </c>
      <c r="J26" s="1324">
        <f>(B26*E26)/1000</f>
        <v>105.26129999999999</v>
      </c>
      <c r="K26" s="1328">
        <f>(B26*F26)/1000</f>
        <v>17.298299999999998</v>
      </c>
      <c r="L26" s="1328">
        <f>(B26*G26)/1000</f>
        <v>1.5503069999999999</v>
      </c>
      <c r="M26" s="1329" t="s">
        <v>1852</v>
      </c>
    </row>
    <row r="27" spans="1:13" s="706" customFormat="1" ht="24.95" customHeight="1">
      <c r="A27" s="1330" t="s">
        <v>1857</v>
      </c>
      <c r="B27" s="1331">
        <v>327</v>
      </c>
      <c r="C27" s="1331">
        <v>245</v>
      </c>
      <c r="D27" s="1331">
        <v>160</v>
      </c>
      <c r="E27" s="1331">
        <v>325</v>
      </c>
      <c r="F27" s="1331">
        <v>55</v>
      </c>
      <c r="G27" s="1331">
        <v>5</v>
      </c>
      <c r="H27" s="1331">
        <f>(B27*C27)/1000</f>
        <v>80.114999999999995</v>
      </c>
      <c r="I27" s="1331">
        <f>(B27*D27)/1000</f>
        <v>52.32</v>
      </c>
      <c r="J27" s="1331">
        <f>(B27*E27)/1000</f>
        <v>106.27500000000001</v>
      </c>
      <c r="K27" s="1332">
        <f>(B27*F27)/1000</f>
        <v>17.984999999999999</v>
      </c>
      <c r="L27" s="1332">
        <f>(B27*G27)/1000</f>
        <v>1.635</v>
      </c>
      <c r="M27" s="1333" t="s">
        <v>1852</v>
      </c>
    </row>
    <row r="28" spans="1:13" s="706" customFormat="1" ht="24.95" customHeight="1">
      <c r="A28" s="1320"/>
      <c r="B28" s="1320"/>
      <c r="C28" s="1320"/>
      <c r="D28" s="1320"/>
      <c r="E28" s="1320"/>
      <c r="F28" s="1320"/>
      <c r="G28" s="1320"/>
      <c r="H28" s="1320"/>
      <c r="I28" s="1320"/>
      <c r="J28" s="1320"/>
      <c r="K28" s="1320"/>
      <c r="L28" s="1320"/>
      <c r="M28" s="1320"/>
    </row>
    <row r="29" spans="1:13" s="706" customFormat="1" ht="24.95" customHeight="1">
      <c r="A29" s="1319" t="s">
        <v>769</v>
      </c>
      <c r="B29" s="1320"/>
      <c r="C29" s="1320"/>
      <c r="D29" s="1320"/>
      <c r="E29" s="1320"/>
      <c r="F29" s="1320"/>
      <c r="G29" s="1320"/>
      <c r="H29" s="1320"/>
      <c r="I29" s="1320"/>
      <c r="J29" s="1320"/>
      <c r="K29" s="1320"/>
      <c r="L29" s="1320"/>
      <c r="M29" s="1320"/>
    </row>
    <row r="30" spans="1:13" s="706" customFormat="1" ht="24.95" customHeight="1">
      <c r="A30" s="1319" t="s">
        <v>1868</v>
      </c>
      <c r="B30" s="1320"/>
      <c r="C30" s="1320"/>
      <c r="D30" s="1320"/>
      <c r="E30" s="1320"/>
      <c r="F30" s="1320"/>
      <c r="G30" s="1320"/>
      <c r="H30" s="1320"/>
      <c r="I30" s="1320"/>
      <c r="J30" s="1320"/>
      <c r="K30" s="1320"/>
      <c r="L30" s="1320"/>
      <c r="M30" s="1320"/>
    </row>
    <row r="31" spans="1:13" s="706" customFormat="1" ht="24.95" customHeight="1">
      <c r="A31" s="631" t="s">
        <v>15</v>
      </c>
      <c r="B31" s="632" t="s">
        <v>630</v>
      </c>
      <c r="C31" s="629" t="s">
        <v>414</v>
      </c>
      <c r="D31" s="629" t="s">
        <v>415</v>
      </c>
      <c r="E31" s="629" t="s">
        <v>416</v>
      </c>
      <c r="F31" s="629" t="s">
        <v>417</v>
      </c>
      <c r="G31" s="629" t="s">
        <v>418</v>
      </c>
      <c r="H31" s="630" t="s">
        <v>36</v>
      </c>
      <c r="I31" s="1320"/>
      <c r="J31" s="1320"/>
      <c r="K31" s="1320"/>
      <c r="L31" s="1320"/>
      <c r="M31" s="1320"/>
    </row>
    <row r="32" spans="1:13" s="706" customFormat="1" ht="24.95" customHeight="1">
      <c r="A32" s="1334" t="s">
        <v>631</v>
      </c>
      <c r="B32" s="1335">
        <v>38.5</v>
      </c>
      <c r="C32" s="1335"/>
      <c r="D32" s="1335"/>
      <c r="E32" s="1335"/>
      <c r="F32" s="1336"/>
      <c r="G32" s="1336"/>
      <c r="H32" s="1337"/>
      <c r="I32" s="1320"/>
      <c r="J32" s="1320"/>
      <c r="K32" s="1320"/>
      <c r="L32" s="1320"/>
      <c r="M32" s="1320"/>
    </row>
    <row r="33" spans="1:20" s="706" customFormat="1" ht="24.95" customHeight="1">
      <c r="A33" s="1334" t="s">
        <v>632</v>
      </c>
      <c r="B33" s="1335">
        <v>32.799999999999997</v>
      </c>
      <c r="C33" s="1335">
        <v>3515.776470588235</v>
      </c>
      <c r="D33" s="1335">
        <v>2320.0047058823529</v>
      </c>
      <c r="E33" s="1335">
        <v>4979.4352941176476</v>
      </c>
      <c r="F33" s="1336">
        <v>373.53741176470589</v>
      </c>
      <c r="G33" s="1336">
        <v>77.367588235294136</v>
      </c>
      <c r="H33" s="1337"/>
      <c r="I33" s="1320"/>
      <c r="J33" s="1320"/>
      <c r="K33" s="1320"/>
      <c r="L33" s="1320"/>
      <c r="M33" s="1320"/>
    </row>
    <row r="34" spans="1:20" s="706" customFormat="1" ht="24.95" customHeight="1">
      <c r="A34" s="1334" t="s">
        <v>633</v>
      </c>
      <c r="B34" s="1335">
        <v>32.200000000000003</v>
      </c>
      <c r="C34" s="1335">
        <v>4110.532884615387</v>
      </c>
      <c r="D34" s="1335">
        <v>3172.3961538461535</v>
      </c>
      <c r="E34" s="1335">
        <v>3798.0826923076934</v>
      </c>
      <c r="F34" s="1336">
        <v>429.45884615384631</v>
      </c>
      <c r="G34" s="1336">
        <v>72.349000000000018</v>
      </c>
      <c r="H34" s="1337"/>
      <c r="I34" s="1320"/>
      <c r="J34" s="1320"/>
      <c r="K34" s="1320"/>
      <c r="L34" s="1320"/>
      <c r="M34" s="1320"/>
    </row>
    <row r="35" spans="1:20" s="706" customFormat="1" ht="24.95" customHeight="1">
      <c r="A35" s="1334" t="s">
        <v>1869</v>
      </c>
      <c r="B35" s="1335">
        <v>29.5</v>
      </c>
      <c r="C35" s="1335">
        <v>4259.8519230769225</v>
      </c>
      <c r="D35" s="1335">
        <v>2931.0057692307691</v>
      </c>
      <c r="E35" s="1335">
        <v>3498.8826923076927</v>
      </c>
      <c r="F35" s="1336">
        <v>305.37801923076916</v>
      </c>
      <c r="G35" s="1336">
        <v>83.997019230769212</v>
      </c>
      <c r="H35" s="1337"/>
      <c r="I35" s="1320"/>
      <c r="J35" s="1320"/>
      <c r="K35" s="1320"/>
      <c r="L35" s="1320"/>
      <c r="M35" s="1320"/>
    </row>
    <row r="36" spans="1:20" s="706" customFormat="1" ht="24.95" customHeight="1">
      <c r="A36" s="1338" t="s">
        <v>265</v>
      </c>
      <c r="B36" s="1339">
        <f>AVERAGE(B33:B35)</f>
        <v>31.5</v>
      </c>
      <c r="C36" s="1339">
        <f>AVERAGE(C32:C35)</f>
        <v>3962.0537594268485</v>
      </c>
      <c r="D36" s="1339">
        <f>AVERAGE(D32:D35)</f>
        <v>2807.8022096530917</v>
      </c>
      <c r="E36" s="1339">
        <f>AVERAGE(E32:E35)</f>
        <v>4092.1335595776777</v>
      </c>
      <c r="F36" s="1339">
        <f>AVERAGE(F32:F35)</f>
        <v>369.45809238310704</v>
      </c>
      <c r="G36" s="1339">
        <f>AVERAGE(G32:G35)</f>
        <v>77.904535822021117</v>
      </c>
      <c r="H36" s="1340"/>
      <c r="I36" s="1320"/>
      <c r="J36" s="1320"/>
      <c r="K36" s="1320"/>
      <c r="L36" s="1320"/>
      <c r="M36" s="1320"/>
    </row>
    <row r="37" spans="1:20" s="706" customFormat="1" ht="24.95" customHeight="1" thickBot="1">
      <c r="A37" s="1319" t="s">
        <v>1870</v>
      </c>
      <c r="B37" s="1320"/>
      <c r="C37" s="1320"/>
      <c r="D37" s="1320"/>
      <c r="E37" s="1320"/>
      <c r="F37" s="1320"/>
      <c r="G37" s="1320"/>
      <c r="H37" s="1320"/>
      <c r="I37" s="1320"/>
      <c r="J37" s="1320"/>
      <c r="K37" s="1320"/>
      <c r="L37" s="1320"/>
      <c r="M37" s="1320"/>
    </row>
    <row r="38" spans="1:20" s="706" customFormat="1" ht="24.95" customHeight="1" thickTop="1" thickBot="1">
      <c r="A38" s="631" t="s">
        <v>15</v>
      </c>
      <c r="B38" s="632" t="s">
        <v>630</v>
      </c>
      <c r="C38" s="629" t="s">
        <v>414</v>
      </c>
      <c r="D38" s="629" t="s">
        <v>415</v>
      </c>
      <c r="E38" s="629" t="s">
        <v>416</v>
      </c>
      <c r="F38" s="629" t="s">
        <v>417</v>
      </c>
      <c r="G38" s="629" t="s">
        <v>418</v>
      </c>
      <c r="H38" s="630" t="s">
        <v>36</v>
      </c>
      <c r="I38" s="1320"/>
      <c r="J38" s="1320"/>
      <c r="K38" s="1320"/>
      <c r="L38" s="1320"/>
      <c r="M38" s="1320"/>
      <c r="N38" s="2042" t="s">
        <v>35</v>
      </c>
      <c r="O38" s="2043"/>
      <c r="P38" s="1341" t="s">
        <v>1871</v>
      </c>
      <c r="Q38" s="1341" t="s">
        <v>1872</v>
      </c>
      <c r="R38" s="1341" t="s">
        <v>1873</v>
      </c>
      <c r="S38" s="1341" t="s">
        <v>1874</v>
      </c>
      <c r="T38" s="1342" t="s">
        <v>1875</v>
      </c>
    </row>
    <row r="39" spans="1:20" s="706" customFormat="1" ht="24.95" customHeight="1" thickTop="1">
      <c r="A39" s="1334" t="s">
        <v>632</v>
      </c>
      <c r="B39" s="1335">
        <v>38</v>
      </c>
      <c r="C39" s="1335">
        <v>4942</v>
      </c>
      <c r="D39" s="1335">
        <v>3814.3</v>
      </c>
      <c r="E39" s="1335">
        <v>5812.9</v>
      </c>
      <c r="F39" s="1336">
        <v>564.69899999999996</v>
      </c>
      <c r="G39" s="1336">
        <v>96.754000000000005</v>
      </c>
      <c r="H39" s="1337"/>
      <c r="I39" s="1320"/>
      <c r="J39" s="1320"/>
      <c r="K39" s="1320"/>
      <c r="L39" s="1320"/>
      <c r="M39" s="1320"/>
      <c r="N39" s="1343" t="s">
        <v>1876</v>
      </c>
      <c r="O39" s="1344" t="s">
        <v>1877</v>
      </c>
      <c r="P39" s="1345" t="s">
        <v>1878</v>
      </c>
      <c r="Q39" s="1345" t="s">
        <v>1879</v>
      </c>
      <c r="R39" s="1345" t="s">
        <v>1880</v>
      </c>
      <c r="S39" s="1345" t="s">
        <v>1881</v>
      </c>
      <c r="T39" s="1346" t="s">
        <v>1882</v>
      </c>
    </row>
    <row r="40" spans="1:20" s="706" customFormat="1" ht="24.95" customHeight="1">
      <c r="A40" s="1334" t="s">
        <v>633</v>
      </c>
      <c r="B40" s="1335">
        <v>34.700000000000003</v>
      </c>
      <c r="C40" s="1335">
        <v>4813.5</v>
      </c>
      <c r="D40" s="1335">
        <v>3661.1</v>
      </c>
      <c r="E40" s="1335">
        <v>6050.3</v>
      </c>
      <c r="F40" s="1336">
        <v>554.76</v>
      </c>
      <c r="G40" s="1336">
        <v>103.408</v>
      </c>
      <c r="H40" s="1337"/>
      <c r="I40" s="1320"/>
      <c r="J40" s="1320"/>
      <c r="K40" s="1320"/>
      <c r="L40" s="1320"/>
      <c r="M40" s="1320"/>
      <c r="N40" s="1347"/>
      <c r="O40" s="1348" t="s">
        <v>414</v>
      </c>
      <c r="P40" s="1349">
        <v>4942</v>
      </c>
      <c r="Q40" s="1350">
        <v>4813.5</v>
      </c>
      <c r="R40" s="1350">
        <v>5371.5</v>
      </c>
      <c r="S40" s="1350">
        <v>4374.5</v>
      </c>
      <c r="T40" s="1351">
        <v>4875.3999999999996</v>
      </c>
    </row>
    <row r="41" spans="1:20" s="706" customFormat="1" ht="24.95" customHeight="1">
      <c r="A41" s="1334" t="s">
        <v>1883</v>
      </c>
      <c r="B41" s="1335">
        <v>29.2</v>
      </c>
      <c r="C41" s="1335">
        <v>5371.5</v>
      </c>
      <c r="D41" s="1335">
        <v>3468.2</v>
      </c>
      <c r="E41" s="1335">
        <v>5517.5</v>
      </c>
      <c r="F41" s="1336">
        <v>589.17100000000005</v>
      </c>
      <c r="G41" s="1336">
        <v>143.482</v>
      </c>
      <c r="H41" s="1337"/>
      <c r="I41" s="1320"/>
      <c r="J41" s="1320"/>
      <c r="K41" s="1320"/>
      <c r="L41" s="1320"/>
      <c r="M41" s="1320"/>
      <c r="N41" s="1347"/>
      <c r="O41" s="1348" t="s">
        <v>415</v>
      </c>
      <c r="P41" s="1349">
        <v>3814.3</v>
      </c>
      <c r="Q41" s="1350">
        <v>3661.1</v>
      </c>
      <c r="R41" s="1350">
        <v>3468.2</v>
      </c>
      <c r="S41" s="1350">
        <v>4374.5</v>
      </c>
      <c r="T41" s="1351">
        <v>3829.5</v>
      </c>
    </row>
    <row r="42" spans="1:20" s="706" customFormat="1" ht="24.95" customHeight="1">
      <c r="A42" s="1334" t="s">
        <v>1884</v>
      </c>
      <c r="B42" s="1335">
        <v>28.2</v>
      </c>
      <c r="C42" s="1335">
        <v>4374.5</v>
      </c>
      <c r="D42" s="1335">
        <v>4374.5</v>
      </c>
      <c r="E42" s="1335">
        <v>6130.2</v>
      </c>
      <c r="F42" s="1336">
        <v>578.32799999999997</v>
      </c>
      <c r="G42" s="1336">
        <v>134.149</v>
      </c>
      <c r="H42" s="1337"/>
      <c r="I42" s="1320"/>
      <c r="J42" s="1320"/>
      <c r="K42" s="1320"/>
      <c r="L42" s="1320"/>
      <c r="M42" s="1320"/>
      <c r="N42" s="1347"/>
      <c r="O42" s="1348" t="s">
        <v>416</v>
      </c>
      <c r="P42" s="1349">
        <v>5812.9</v>
      </c>
      <c r="Q42" s="1350">
        <v>6050.3</v>
      </c>
      <c r="R42" s="1350">
        <v>5517.5</v>
      </c>
      <c r="S42" s="1350">
        <v>6130.2</v>
      </c>
      <c r="T42" s="1351">
        <v>5877.7</v>
      </c>
    </row>
    <row r="43" spans="1:20" s="706" customFormat="1" ht="24.95" customHeight="1">
      <c r="A43" s="1338" t="s">
        <v>265</v>
      </c>
      <c r="B43" s="1339">
        <f>AVERAGE(B39:B42)</f>
        <v>32.524999999999999</v>
      </c>
      <c r="C43" s="1339">
        <v>4875.3999999999996</v>
      </c>
      <c r="D43" s="1339">
        <v>3829.5</v>
      </c>
      <c r="E43" s="1339">
        <v>5877.7</v>
      </c>
      <c r="F43" s="1339">
        <v>571.70000000000005</v>
      </c>
      <c r="G43" s="1339">
        <v>119.4</v>
      </c>
      <c r="H43" s="1340"/>
      <c r="I43" s="1320"/>
      <c r="J43" s="1320"/>
      <c r="K43" s="1320"/>
      <c r="L43" s="1320"/>
      <c r="M43" s="1320"/>
      <c r="N43" s="1347"/>
      <c r="O43" s="1348" t="s">
        <v>417</v>
      </c>
      <c r="P43" s="1350">
        <v>564.69899999999996</v>
      </c>
      <c r="Q43" s="1350">
        <v>554.76</v>
      </c>
      <c r="R43" s="1350">
        <v>589.17100000000005</v>
      </c>
      <c r="S43" s="1350">
        <v>578.32799999999997</v>
      </c>
      <c r="T43" s="1351">
        <v>571.70000000000005</v>
      </c>
    </row>
    <row r="44" spans="1:20" s="706" customFormat="1" ht="24.95" customHeight="1">
      <c r="A44" s="1319" t="s">
        <v>1885</v>
      </c>
      <c r="B44" s="1320"/>
      <c r="C44" s="1320"/>
      <c r="D44" s="1320"/>
      <c r="E44" s="1320"/>
      <c r="F44" s="1320"/>
      <c r="G44" s="1320"/>
      <c r="H44" s="1320"/>
      <c r="I44" s="1320"/>
      <c r="J44" s="1320"/>
      <c r="K44" s="1320"/>
      <c r="L44" s="1320"/>
      <c r="M44" s="1320"/>
      <c r="N44" s="1352"/>
      <c r="O44" s="1353" t="s">
        <v>418</v>
      </c>
      <c r="P44" s="1354">
        <v>96.754000000000005</v>
      </c>
      <c r="Q44" s="1354">
        <v>103.408</v>
      </c>
      <c r="R44" s="1354">
        <v>143.482</v>
      </c>
      <c r="S44" s="1354">
        <v>134.149</v>
      </c>
      <c r="T44" s="1355">
        <v>119.4</v>
      </c>
    </row>
    <row r="45" spans="1:20" s="706" customFormat="1" ht="24.95" customHeight="1" thickBot="1">
      <c r="A45" s="631" t="s">
        <v>15</v>
      </c>
      <c r="B45" s="632" t="s">
        <v>630</v>
      </c>
      <c r="C45" s="629" t="s">
        <v>414</v>
      </c>
      <c r="D45" s="629" t="s">
        <v>415</v>
      </c>
      <c r="E45" s="629" t="s">
        <v>416</v>
      </c>
      <c r="F45" s="629" t="s">
        <v>417</v>
      </c>
      <c r="G45" s="629" t="s">
        <v>418</v>
      </c>
      <c r="H45" s="630" t="s">
        <v>36</v>
      </c>
      <c r="I45" s="1320"/>
      <c r="J45" s="1320"/>
      <c r="K45" s="1320"/>
      <c r="L45" s="1320"/>
      <c r="M45" s="1320"/>
      <c r="N45" s="1320"/>
    </row>
    <row r="46" spans="1:20" s="706" customFormat="1" ht="24.95" customHeight="1" thickTop="1" thickBot="1">
      <c r="A46" s="1334" t="s">
        <v>632</v>
      </c>
      <c r="B46" s="1335">
        <v>359</v>
      </c>
      <c r="C46" s="1335">
        <v>308.3</v>
      </c>
      <c r="D46" s="1335">
        <v>194</v>
      </c>
      <c r="E46" s="1335">
        <v>551.6</v>
      </c>
      <c r="F46" s="1336">
        <v>69.518000000000001</v>
      </c>
      <c r="G46" s="1336">
        <v>4.5979999999999999</v>
      </c>
      <c r="H46" s="1337"/>
      <c r="I46" s="1320"/>
      <c r="J46" s="1320"/>
      <c r="K46" s="1320"/>
      <c r="L46" s="1320"/>
      <c r="M46" s="1320"/>
      <c r="N46" s="2042" t="s">
        <v>35</v>
      </c>
      <c r="O46" s="2043"/>
      <c r="P46" s="1341" t="s">
        <v>1886</v>
      </c>
      <c r="Q46" s="1341" t="s">
        <v>1887</v>
      </c>
      <c r="R46" s="1341" t="s">
        <v>1888</v>
      </c>
      <c r="S46" s="1341" t="s">
        <v>1889</v>
      </c>
      <c r="T46" s="1342" t="s">
        <v>337</v>
      </c>
    </row>
    <row r="47" spans="1:20" s="706" customFormat="1" ht="24.95" customHeight="1" thickTop="1">
      <c r="A47" s="1334" t="s">
        <v>633</v>
      </c>
      <c r="B47" s="1335">
        <v>316</v>
      </c>
      <c r="C47" s="1335">
        <v>258.8</v>
      </c>
      <c r="D47" s="1335">
        <v>152.30000000000001</v>
      </c>
      <c r="E47" s="1335">
        <v>379.8</v>
      </c>
      <c r="F47" s="1336">
        <v>55.524999999999999</v>
      </c>
      <c r="G47" s="1336">
        <v>4.9390000000000001</v>
      </c>
      <c r="H47" s="1337"/>
      <c r="I47" s="1320"/>
      <c r="J47" s="1320"/>
      <c r="K47" s="1320"/>
      <c r="L47" s="1320"/>
      <c r="M47" s="1320"/>
      <c r="N47" s="1347" t="s">
        <v>1876</v>
      </c>
      <c r="O47" s="1356" t="s">
        <v>1877</v>
      </c>
      <c r="P47" s="1350" t="s">
        <v>1890</v>
      </c>
      <c r="Q47" s="1350" t="s">
        <v>1891</v>
      </c>
      <c r="R47" s="1350" t="s">
        <v>1892</v>
      </c>
      <c r="S47" s="1350" t="s">
        <v>1893</v>
      </c>
      <c r="T47" s="1351" t="s">
        <v>1894</v>
      </c>
    </row>
    <row r="48" spans="1:20" s="706" customFormat="1" ht="24.95" customHeight="1">
      <c r="A48" s="1334" t="s">
        <v>1883</v>
      </c>
      <c r="B48" s="1335">
        <v>340</v>
      </c>
      <c r="C48" s="1335">
        <v>193.9</v>
      </c>
      <c r="D48" s="1335">
        <v>139.6</v>
      </c>
      <c r="E48" s="1335">
        <v>182.8</v>
      </c>
      <c r="F48" s="1336">
        <v>40.566000000000003</v>
      </c>
      <c r="G48" s="1336">
        <v>5.8289999999999997</v>
      </c>
      <c r="H48" s="1337"/>
      <c r="I48" s="1320"/>
      <c r="J48" s="1320"/>
      <c r="K48" s="1320"/>
      <c r="L48" s="1320"/>
      <c r="M48" s="1320"/>
      <c r="N48" s="1347"/>
      <c r="O48" s="1348" t="s">
        <v>414</v>
      </c>
      <c r="P48" s="1350">
        <v>308.3</v>
      </c>
      <c r="Q48" s="1350">
        <v>258.8</v>
      </c>
      <c r="R48" s="1350">
        <v>193.9</v>
      </c>
      <c r="S48" s="1350">
        <v>203.5</v>
      </c>
      <c r="T48" s="1351">
        <v>241.2</v>
      </c>
    </row>
    <row r="49" spans="1:20" s="706" customFormat="1" ht="24.95" customHeight="1">
      <c r="A49" s="1334" t="s">
        <v>1884</v>
      </c>
      <c r="B49" s="1335">
        <v>301</v>
      </c>
      <c r="C49" s="1335">
        <v>203.5</v>
      </c>
      <c r="D49" s="1335">
        <v>140.19999999999999</v>
      </c>
      <c r="E49" s="1335">
        <v>173.6</v>
      </c>
      <c r="F49" s="1336">
        <v>45.991</v>
      </c>
      <c r="G49" s="1336">
        <v>3.597</v>
      </c>
      <c r="H49" s="1337"/>
      <c r="I49" s="1320"/>
      <c r="J49" s="1320"/>
      <c r="K49" s="1320"/>
      <c r="L49" s="1320"/>
      <c r="M49" s="1320"/>
      <c r="N49" s="1347"/>
      <c r="O49" s="1348" t="s">
        <v>415</v>
      </c>
      <c r="P49" s="1350">
        <v>194</v>
      </c>
      <c r="Q49" s="1350">
        <v>152.30000000000001</v>
      </c>
      <c r="R49" s="1350">
        <v>139.6</v>
      </c>
      <c r="S49" s="1350">
        <v>140.19999999999999</v>
      </c>
      <c r="T49" s="1351">
        <v>156.5</v>
      </c>
    </row>
    <row r="50" spans="1:20" s="706" customFormat="1" ht="24.95" customHeight="1">
      <c r="A50" s="1338" t="s">
        <v>265</v>
      </c>
      <c r="B50" s="1339">
        <f>AVERAGE(B46:B49)</f>
        <v>329</v>
      </c>
      <c r="C50" s="1339">
        <v>241.2</v>
      </c>
      <c r="D50" s="1339">
        <v>156.5</v>
      </c>
      <c r="E50" s="1339">
        <v>321.89999999999998</v>
      </c>
      <c r="F50" s="1339">
        <v>52.9</v>
      </c>
      <c r="G50" s="1339">
        <v>4.7409999999999997</v>
      </c>
      <c r="H50" s="1340"/>
      <c r="I50" s="1320"/>
      <c r="J50" s="1320"/>
      <c r="K50" s="1320"/>
      <c r="L50" s="1320"/>
      <c r="M50" s="1320"/>
      <c r="N50" s="1347"/>
      <c r="O50" s="1348" t="s">
        <v>416</v>
      </c>
      <c r="P50" s="1350">
        <v>551.6</v>
      </c>
      <c r="Q50" s="1350">
        <v>379.8</v>
      </c>
      <c r="R50" s="1350">
        <v>182.8</v>
      </c>
      <c r="S50" s="1350">
        <v>173.6</v>
      </c>
      <c r="T50" s="1351">
        <v>321.89999999999998</v>
      </c>
    </row>
    <row r="51" spans="1:20" s="706" customFormat="1" ht="24.95" customHeight="1">
      <c r="A51" s="1357"/>
      <c r="B51" s="1357"/>
      <c r="C51" s="1357"/>
      <c r="D51" s="1357"/>
      <c r="E51" s="1357"/>
      <c r="F51" s="1357"/>
      <c r="G51" s="1357"/>
      <c r="H51" s="1357"/>
      <c r="I51" s="1320"/>
      <c r="J51" s="1320"/>
      <c r="K51" s="1320"/>
      <c r="L51" s="1320"/>
      <c r="M51" s="1320"/>
      <c r="N51" s="1347"/>
      <c r="O51" s="1348" t="s">
        <v>417</v>
      </c>
      <c r="P51" s="1350">
        <v>69.518000000000001</v>
      </c>
      <c r="Q51" s="1350">
        <v>55.524999999999999</v>
      </c>
      <c r="R51" s="1350">
        <v>40.566000000000003</v>
      </c>
      <c r="S51" s="1350">
        <v>45.991</v>
      </c>
      <c r="T51" s="1351">
        <v>52.9</v>
      </c>
    </row>
    <row r="52" spans="1:20" s="706" customFormat="1" ht="17.25" thickBot="1">
      <c r="A52" s="1357"/>
      <c r="B52" s="1357"/>
      <c r="C52" s="1357"/>
      <c r="D52" s="1357"/>
      <c r="E52" s="1357"/>
      <c r="F52" s="1357"/>
      <c r="G52" s="1357"/>
      <c r="H52" s="1357"/>
      <c r="I52" s="1357"/>
      <c r="J52" s="1357"/>
      <c r="K52" s="1357"/>
      <c r="L52" s="1357"/>
      <c r="M52" s="1357"/>
      <c r="N52" s="1352"/>
      <c r="O52" s="1353" t="s">
        <v>418</v>
      </c>
      <c r="P52" s="1354">
        <v>4.5979999999999999</v>
      </c>
      <c r="Q52" s="1354">
        <v>4.9390000000000001</v>
      </c>
      <c r="R52" s="1354">
        <v>5.8289999999999997</v>
      </c>
      <c r="S52" s="1354">
        <v>3.597</v>
      </c>
      <c r="T52" s="1355">
        <v>4.7409999999999997</v>
      </c>
    </row>
    <row r="53" spans="1:20" s="706" customFormat="1" ht="25.5" thickTop="1" thickBot="1">
      <c r="A53" s="1357"/>
      <c r="B53" s="1357"/>
      <c r="C53" s="1357"/>
      <c r="D53" s="1357"/>
      <c r="E53" s="1357"/>
      <c r="F53" s="1357"/>
      <c r="G53" s="1357"/>
      <c r="H53" s="1357"/>
      <c r="I53" s="1357"/>
      <c r="J53" s="1357"/>
      <c r="K53" s="1357"/>
      <c r="L53" s="1357"/>
      <c r="M53" s="1357"/>
      <c r="N53" s="1345" t="s">
        <v>1878</v>
      </c>
      <c r="O53" s="1349">
        <v>4942</v>
      </c>
      <c r="P53" s="1349">
        <v>3814.3</v>
      </c>
      <c r="Q53" s="1349">
        <v>5812.9</v>
      </c>
      <c r="R53" s="1350">
        <v>564.69899999999996</v>
      </c>
      <c r="S53" s="1354">
        <v>96.754000000000005</v>
      </c>
    </row>
    <row r="54" spans="1:20" s="706" customFormat="1" ht="25.5" thickTop="1" thickBot="1">
      <c r="A54" s="1357"/>
      <c r="B54" s="1357"/>
      <c r="C54" s="1357"/>
      <c r="D54" s="1357"/>
      <c r="E54" s="1357"/>
      <c r="F54" s="1357"/>
      <c r="G54" s="1357"/>
      <c r="H54" s="1357"/>
      <c r="I54" s="1357"/>
      <c r="J54" s="1357"/>
      <c r="K54" s="1357"/>
      <c r="L54" s="1357"/>
      <c r="M54" s="1357"/>
      <c r="N54" s="1345" t="s">
        <v>1879</v>
      </c>
      <c r="O54" s="1350">
        <v>4813.5</v>
      </c>
      <c r="P54" s="1350">
        <v>3661.1</v>
      </c>
      <c r="Q54" s="1350">
        <v>6050.3</v>
      </c>
      <c r="R54" s="1350">
        <v>554.76</v>
      </c>
      <c r="S54" s="1354">
        <v>103.408</v>
      </c>
    </row>
    <row r="55" spans="1:20" s="706" customFormat="1" ht="25.5" thickTop="1" thickBot="1">
      <c r="A55" s="1357"/>
      <c r="B55" s="1357"/>
      <c r="C55" s="1357"/>
      <c r="D55" s="1357"/>
      <c r="E55" s="1357"/>
      <c r="F55" s="1357"/>
      <c r="G55" s="1357"/>
      <c r="H55" s="1357"/>
      <c r="I55" s="1357"/>
      <c r="J55" s="1357"/>
      <c r="K55" s="1357"/>
      <c r="L55" s="1357"/>
      <c r="M55" s="1357"/>
      <c r="N55" s="1345" t="s">
        <v>1880</v>
      </c>
      <c r="O55" s="1350">
        <v>5371.5</v>
      </c>
      <c r="P55" s="1350">
        <v>3468.2</v>
      </c>
      <c r="Q55" s="1350">
        <v>5517.5</v>
      </c>
      <c r="R55" s="1350">
        <v>589.17100000000005</v>
      </c>
      <c r="S55" s="1354">
        <v>143.482</v>
      </c>
    </row>
    <row r="56" spans="1:20" s="706" customFormat="1" ht="25.5" thickTop="1" thickBot="1">
      <c r="A56" s="1357"/>
      <c r="B56" s="1357"/>
      <c r="C56" s="1357"/>
      <c r="D56" s="1357"/>
      <c r="E56" s="1357"/>
      <c r="F56" s="1357"/>
      <c r="G56" s="1357"/>
      <c r="H56" s="1357"/>
      <c r="I56" s="1357"/>
      <c r="J56" s="1357"/>
      <c r="K56" s="1357"/>
      <c r="L56" s="1357"/>
      <c r="M56" s="1357"/>
      <c r="N56" s="1345" t="s">
        <v>1881</v>
      </c>
      <c r="O56" s="1350">
        <v>4374.5</v>
      </c>
      <c r="P56" s="1350">
        <v>4374.5</v>
      </c>
      <c r="Q56" s="1350">
        <v>6130.2</v>
      </c>
      <c r="R56" s="1350">
        <v>578.32799999999997</v>
      </c>
      <c r="S56" s="1354">
        <v>134.149</v>
      </c>
    </row>
    <row r="57" spans="1:20" s="706" customFormat="1" ht="24.75" thickTop="1">
      <c r="A57" s="1357"/>
      <c r="B57" s="1357"/>
      <c r="C57" s="1357"/>
      <c r="D57" s="1357"/>
      <c r="E57" s="1357"/>
      <c r="F57" s="1357"/>
      <c r="G57" s="1357"/>
      <c r="H57" s="1357"/>
      <c r="I57" s="1357"/>
      <c r="J57" s="1357"/>
      <c r="K57" s="1357"/>
      <c r="L57" s="1357"/>
      <c r="M57" s="1357"/>
      <c r="N57" s="1346" t="s">
        <v>1882</v>
      </c>
      <c r="O57" s="1351">
        <v>4875.3999999999996</v>
      </c>
      <c r="P57" s="1351">
        <v>3829.5</v>
      </c>
      <c r="Q57" s="1351">
        <v>5877.7</v>
      </c>
      <c r="R57" s="1351">
        <v>571.70000000000005</v>
      </c>
      <c r="S57" s="1355">
        <v>119.4</v>
      </c>
    </row>
    <row r="58" spans="1:20" ht="29.45" customHeight="1">
      <c r="A58" s="633"/>
      <c r="B58" s="634"/>
      <c r="C58" s="634"/>
      <c r="D58" s="634"/>
      <c r="E58" s="634"/>
      <c r="F58" s="634"/>
      <c r="G58" s="634"/>
      <c r="H58" s="635"/>
    </row>
    <row r="75" spans="1:1" ht="29.45" customHeight="1">
      <c r="A75" s="615" t="s">
        <v>1941</v>
      </c>
    </row>
  </sheetData>
  <mergeCells count="17">
    <mergeCell ref="A3:A4"/>
    <mergeCell ref="B3:B4"/>
    <mergeCell ref="C3:G3"/>
    <mergeCell ref="H3:L3"/>
    <mergeCell ref="M3:M4"/>
    <mergeCell ref="N38:O38"/>
    <mergeCell ref="N46:O46"/>
    <mergeCell ref="A12:A13"/>
    <mergeCell ref="B12:B13"/>
    <mergeCell ref="C12:G12"/>
    <mergeCell ref="H12:L12"/>
    <mergeCell ref="M12:M13"/>
    <mergeCell ref="A21:A22"/>
    <mergeCell ref="B21:B22"/>
    <mergeCell ref="C21:G21"/>
    <mergeCell ref="H21:L21"/>
    <mergeCell ref="M21:M22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1" manualBreakCount="1">
    <brk id="28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66"/>
  </sheetPr>
  <dimension ref="A1:AK263"/>
  <sheetViews>
    <sheetView tabSelected="1" view="pageBreakPreview" topLeftCell="A37" zoomScaleNormal="100" zoomScaleSheetLayoutView="100" workbookViewId="0">
      <selection activeCell="E53" sqref="E53"/>
    </sheetView>
  </sheetViews>
  <sheetFormatPr defaultRowHeight="16.5" outlineLevelRow="1"/>
  <cols>
    <col min="1" max="2" width="8.77734375" style="544" customWidth="1"/>
    <col min="3" max="3" width="15.88671875" style="544" customWidth="1"/>
    <col min="4" max="4" width="13.88671875" style="544" customWidth="1"/>
    <col min="5" max="5" width="15.44140625" style="544" customWidth="1"/>
    <col min="6" max="7" width="7.21875" style="544" customWidth="1"/>
    <col min="8" max="8" width="13.88671875" style="544" customWidth="1"/>
    <col min="9" max="12" width="8.88671875" style="544"/>
    <col min="13" max="13" width="16.5546875" style="544" customWidth="1"/>
    <col min="14" max="14" width="12.109375" style="544" customWidth="1"/>
    <col min="15" max="15" width="8.88671875" style="544"/>
    <col min="16" max="17" width="9" style="544" bestFit="1" customWidth="1"/>
    <col min="18" max="18" width="9.6640625" style="544" bestFit="1" customWidth="1"/>
    <col min="19" max="20" width="9" style="544" bestFit="1" customWidth="1"/>
    <col min="21" max="21" width="9.6640625" style="544" bestFit="1" customWidth="1"/>
    <col min="22" max="22" width="9" style="544" bestFit="1" customWidth="1"/>
    <col min="23" max="256" width="8.88671875" style="544"/>
    <col min="257" max="258" width="8.77734375" style="544" customWidth="1"/>
    <col min="259" max="259" width="15.88671875" style="544" customWidth="1"/>
    <col min="260" max="261" width="13.88671875" style="544" customWidth="1"/>
    <col min="262" max="263" width="7.21875" style="544" customWidth="1"/>
    <col min="264" max="264" width="13.88671875" style="544" customWidth="1"/>
    <col min="265" max="512" width="8.88671875" style="544"/>
    <col min="513" max="514" width="8.77734375" style="544" customWidth="1"/>
    <col min="515" max="515" width="15.88671875" style="544" customWidth="1"/>
    <col min="516" max="517" width="13.88671875" style="544" customWidth="1"/>
    <col min="518" max="519" width="7.21875" style="544" customWidth="1"/>
    <col min="520" max="520" width="13.88671875" style="544" customWidth="1"/>
    <col min="521" max="768" width="8.88671875" style="544"/>
    <col min="769" max="770" width="8.77734375" style="544" customWidth="1"/>
    <col min="771" max="771" width="15.88671875" style="544" customWidth="1"/>
    <col min="772" max="773" width="13.88671875" style="544" customWidth="1"/>
    <col min="774" max="775" width="7.21875" style="544" customWidth="1"/>
    <col min="776" max="776" width="13.88671875" style="544" customWidth="1"/>
    <col min="777" max="1024" width="8.88671875" style="544"/>
    <col min="1025" max="1026" width="8.77734375" style="544" customWidth="1"/>
    <col min="1027" max="1027" width="15.88671875" style="544" customWidth="1"/>
    <col min="1028" max="1029" width="13.88671875" style="544" customWidth="1"/>
    <col min="1030" max="1031" width="7.21875" style="544" customWidth="1"/>
    <col min="1032" max="1032" width="13.88671875" style="544" customWidth="1"/>
    <col min="1033" max="1280" width="8.88671875" style="544"/>
    <col min="1281" max="1282" width="8.77734375" style="544" customWidth="1"/>
    <col min="1283" max="1283" width="15.88671875" style="544" customWidth="1"/>
    <col min="1284" max="1285" width="13.88671875" style="544" customWidth="1"/>
    <col min="1286" max="1287" width="7.21875" style="544" customWidth="1"/>
    <col min="1288" max="1288" width="13.88671875" style="544" customWidth="1"/>
    <col min="1289" max="1536" width="8.88671875" style="544"/>
    <col min="1537" max="1538" width="8.77734375" style="544" customWidth="1"/>
    <col min="1539" max="1539" width="15.88671875" style="544" customWidth="1"/>
    <col min="1540" max="1541" width="13.88671875" style="544" customWidth="1"/>
    <col min="1542" max="1543" width="7.21875" style="544" customWidth="1"/>
    <col min="1544" max="1544" width="13.88671875" style="544" customWidth="1"/>
    <col min="1545" max="1792" width="8.88671875" style="544"/>
    <col min="1793" max="1794" width="8.77734375" style="544" customWidth="1"/>
    <col min="1795" max="1795" width="15.88671875" style="544" customWidth="1"/>
    <col min="1796" max="1797" width="13.88671875" style="544" customWidth="1"/>
    <col min="1798" max="1799" width="7.21875" style="544" customWidth="1"/>
    <col min="1800" max="1800" width="13.88671875" style="544" customWidth="1"/>
    <col min="1801" max="2048" width="8.88671875" style="544"/>
    <col min="2049" max="2050" width="8.77734375" style="544" customWidth="1"/>
    <col min="2051" max="2051" width="15.88671875" style="544" customWidth="1"/>
    <col min="2052" max="2053" width="13.88671875" style="544" customWidth="1"/>
    <col min="2054" max="2055" width="7.21875" style="544" customWidth="1"/>
    <col min="2056" max="2056" width="13.88671875" style="544" customWidth="1"/>
    <col min="2057" max="2304" width="8.88671875" style="544"/>
    <col min="2305" max="2306" width="8.77734375" style="544" customWidth="1"/>
    <col min="2307" max="2307" width="15.88671875" style="544" customWidth="1"/>
    <col min="2308" max="2309" width="13.88671875" style="544" customWidth="1"/>
    <col min="2310" max="2311" width="7.21875" style="544" customWidth="1"/>
    <col min="2312" max="2312" width="13.88671875" style="544" customWidth="1"/>
    <col min="2313" max="2560" width="8.88671875" style="544"/>
    <col min="2561" max="2562" width="8.77734375" style="544" customWidth="1"/>
    <col min="2563" max="2563" width="15.88671875" style="544" customWidth="1"/>
    <col min="2564" max="2565" width="13.88671875" style="544" customWidth="1"/>
    <col min="2566" max="2567" width="7.21875" style="544" customWidth="1"/>
    <col min="2568" max="2568" width="13.88671875" style="544" customWidth="1"/>
    <col min="2569" max="2816" width="8.88671875" style="544"/>
    <col min="2817" max="2818" width="8.77734375" style="544" customWidth="1"/>
    <col min="2819" max="2819" width="15.88671875" style="544" customWidth="1"/>
    <col min="2820" max="2821" width="13.88671875" style="544" customWidth="1"/>
    <col min="2822" max="2823" width="7.21875" style="544" customWidth="1"/>
    <col min="2824" max="2824" width="13.88671875" style="544" customWidth="1"/>
    <col min="2825" max="3072" width="8.88671875" style="544"/>
    <col min="3073" max="3074" width="8.77734375" style="544" customWidth="1"/>
    <col min="3075" max="3075" width="15.88671875" style="544" customWidth="1"/>
    <col min="3076" max="3077" width="13.88671875" style="544" customWidth="1"/>
    <col min="3078" max="3079" width="7.21875" style="544" customWidth="1"/>
    <col min="3080" max="3080" width="13.88671875" style="544" customWidth="1"/>
    <col min="3081" max="3328" width="8.88671875" style="544"/>
    <col min="3329" max="3330" width="8.77734375" style="544" customWidth="1"/>
    <col min="3331" max="3331" width="15.88671875" style="544" customWidth="1"/>
    <col min="3332" max="3333" width="13.88671875" style="544" customWidth="1"/>
    <col min="3334" max="3335" width="7.21875" style="544" customWidth="1"/>
    <col min="3336" max="3336" width="13.88671875" style="544" customWidth="1"/>
    <col min="3337" max="3584" width="8.88671875" style="544"/>
    <col min="3585" max="3586" width="8.77734375" style="544" customWidth="1"/>
    <col min="3587" max="3587" width="15.88671875" style="544" customWidth="1"/>
    <col min="3588" max="3589" width="13.88671875" style="544" customWidth="1"/>
    <col min="3590" max="3591" width="7.21875" style="544" customWidth="1"/>
    <col min="3592" max="3592" width="13.88671875" style="544" customWidth="1"/>
    <col min="3593" max="3840" width="8.88671875" style="544"/>
    <col min="3841" max="3842" width="8.77734375" style="544" customWidth="1"/>
    <col min="3843" max="3843" width="15.88671875" style="544" customWidth="1"/>
    <col min="3844" max="3845" width="13.88671875" style="544" customWidth="1"/>
    <col min="3846" max="3847" width="7.21875" style="544" customWidth="1"/>
    <col min="3848" max="3848" width="13.88671875" style="544" customWidth="1"/>
    <col min="3849" max="4096" width="8.88671875" style="544"/>
    <col min="4097" max="4098" width="8.77734375" style="544" customWidth="1"/>
    <col min="4099" max="4099" width="15.88671875" style="544" customWidth="1"/>
    <col min="4100" max="4101" width="13.88671875" style="544" customWidth="1"/>
    <col min="4102" max="4103" width="7.21875" style="544" customWidth="1"/>
    <col min="4104" max="4104" width="13.88671875" style="544" customWidth="1"/>
    <col min="4105" max="4352" width="8.88671875" style="544"/>
    <col min="4353" max="4354" width="8.77734375" style="544" customWidth="1"/>
    <col min="4355" max="4355" width="15.88671875" style="544" customWidth="1"/>
    <col min="4356" max="4357" width="13.88671875" style="544" customWidth="1"/>
    <col min="4358" max="4359" width="7.21875" style="544" customWidth="1"/>
    <col min="4360" max="4360" width="13.88671875" style="544" customWidth="1"/>
    <col min="4361" max="4608" width="8.88671875" style="544"/>
    <col min="4609" max="4610" width="8.77734375" style="544" customWidth="1"/>
    <col min="4611" max="4611" width="15.88671875" style="544" customWidth="1"/>
    <col min="4612" max="4613" width="13.88671875" style="544" customWidth="1"/>
    <col min="4614" max="4615" width="7.21875" style="544" customWidth="1"/>
    <col min="4616" max="4616" width="13.88671875" style="544" customWidth="1"/>
    <col min="4617" max="4864" width="8.88671875" style="544"/>
    <col min="4865" max="4866" width="8.77734375" style="544" customWidth="1"/>
    <col min="4867" max="4867" width="15.88671875" style="544" customWidth="1"/>
    <col min="4868" max="4869" width="13.88671875" style="544" customWidth="1"/>
    <col min="4870" max="4871" width="7.21875" style="544" customWidth="1"/>
    <col min="4872" max="4872" width="13.88671875" style="544" customWidth="1"/>
    <col min="4873" max="5120" width="8.88671875" style="544"/>
    <col min="5121" max="5122" width="8.77734375" style="544" customWidth="1"/>
    <col min="5123" max="5123" width="15.88671875" style="544" customWidth="1"/>
    <col min="5124" max="5125" width="13.88671875" style="544" customWidth="1"/>
    <col min="5126" max="5127" width="7.21875" style="544" customWidth="1"/>
    <col min="5128" max="5128" width="13.88671875" style="544" customWidth="1"/>
    <col min="5129" max="5376" width="8.88671875" style="544"/>
    <col min="5377" max="5378" width="8.77734375" style="544" customWidth="1"/>
    <col min="5379" max="5379" width="15.88671875" style="544" customWidth="1"/>
    <col min="5380" max="5381" width="13.88671875" style="544" customWidth="1"/>
    <col min="5382" max="5383" width="7.21875" style="544" customWidth="1"/>
    <col min="5384" max="5384" width="13.88671875" style="544" customWidth="1"/>
    <col min="5385" max="5632" width="8.88671875" style="544"/>
    <col min="5633" max="5634" width="8.77734375" style="544" customWidth="1"/>
    <col min="5635" max="5635" width="15.88671875" style="544" customWidth="1"/>
    <col min="5636" max="5637" width="13.88671875" style="544" customWidth="1"/>
    <col min="5638" max="5639" width="7.21875" style="544" customWidth="1"/>
    <col min="5640" max="5640" width="13.88671875" style="544" customWidth="1"/>
    <col min="5641" max="5888" width="8.88671875" style="544"/>
    <col min="5889" max="5890" width="8.77734375" style="544" customWidth="1"/>
    <col min="5891" max="5891" width="15.88671875" style="544" customWidth="1"/>
    <col min="5892" max="5893" width="13.88671875" style="544" customWidth="1"/>
    <col min="5894" max="5895" width="7.21875" style="544" customWidth="1"/>
    <col min="5896" max="5896" width="13.88671875" style="544" customWidth="1"/>
    <col min="5897" max="6144" width="8.88671875" style="544"/>
    <col min="6145" max="6146" width="8.77734375" style="544" customWidth="1"/>
    <col min="6147" max="6147" width="15.88671875" style="544" customWidth="1"/>
    <col min="6148" max="6149" width="13.88671875" style="544" customWidth="1"/>
    <col min="6150" max="6151" width="7.21875" style="544" customWidth="1"/>
    <col min="6152" max="6152" width="13.88671875" style="544" customWidth="1"/>
    <col min="6153" max="6400" width="8.88671875" style="544"/>
    <col min="6401" max="6402" width="8.77734375" style="544" customWidth="1"/>
    <col min="6403" max="6403" width="15.88671875" style="544" customWidth="1"/>
    <col min="6404" max="6405" width="13.88671875" style="544" customWidth="1"/>
    <col min="6406" max="6407" width="7.21875" style="544" customWidth="1"/>
    <col min="6408" max="6408" width="13.88671875" style="544" customWidth="1"/>
    <col min="6409" max="6656" width="8.88671875" style="544"/>
    <col min="6657" max="6658" width="8.77734375" style="544" customWidth="1"/>
    <col min="6659" max="6659" width="15.88671875" style="544" customWidth="1"/>
    <col min="6660" max="6661" width="13.88671875" style="544" customWidth="1"/>
    <col min="6662" max="6663" width="7.21875" style="544" customWidth="1"/>
    <col min="6664" max="6664" width="13.88671875" style="544" customWidth="1"/>
    <col min="6665" max="6912" width="8.88671875" style="544"/>
    <col min="6913" max="6914" width="8.77734375" style="544" customWidth="1"/>
    <col min="6915" max="6915" width="15.88671875" style="544" customWidth="1"/>
    <col min="6916" max="6917" width="13.88671875" style="544" customWidth="1"/>
    <col min="6918" max="6919" width="7.21875" style="544" customWidth="1"/>
    <col min="6920" max="6920" width="13.88671875" style="544" customWidth="1"/>
    <col min="6921" max="7168" width="8.88671875" style="544"/>
    <col min="7169" max="7170" width="8.77734375" style="544" customWidth="1"/>
    <col min="7171" max="7171" width="15.88671875" style="544" customWidth="1"/>
    <col min="7172" max="7173" width="13.88671875" style="544" customWidth="1"/>
    <col min="7174" max="7175" width="7.21875" style="544" customWidth="1"/>
    <col min="7176" max="7176" width="13.88671875" style="544" customWidth="1"/>
    <col min="7177" max="7424" width="8.88671875" style="544"/>
    <col min="7425" max="7426" width="8.77734375" style="544" customWidth="1"/>
    <col min="7427" max="7427" width="15.88671875" style="544" customWidth="1"/>
    <col min="7428" max="7429" width="13.88671875" style="544" customWidth="1"/>
    <col min="7430" max="7431" width="7.21875" style="544" customWidth="1"/>
    <col min="7432" max="7432" width="13.88671875" style="544" customWidth="1"/>
    <col min="7433" max="7680" width="8.88671875" style="544"/>
    <col min="7681" max="7682" width="8.77734375" style="544" customWidth="1"/>
    <col min="7683" max="7683" width="15.88671875" style="544" customWidth="1"/>
    <col min="7684" max="7685" width="13.88671875" style="544" customWidth="1"/>
    <col min="7686" max="7687" width="7.21875" style="544" customWidth="1"/>
    <col min="7688" max="7688" width="13.88671875" style="544" customWidth="1"/>
    <col min="7689" max="7936" width="8.88671875" style="544"/>
    <col min="7937" max="7938" width="8.77734375" style="544" customWidth="1"/>
    <col min="7939" max="7939" width="15.88671875" style="544" customWidth="1"/>
    <col min="7940" max="7941" width="13.88671875" style="544" customWidth="1"/>
    <col min="7942" max="7943" width="7.21875" style="544" customWidth="1"/>
    <col min="7944" max="7944" width="13.88671875" style="544" customWidth="1"/>
    <col min="7945" max="8192" width="8.88671875" style="544"/>
    <col min="8193" max="8194" width="8.77734375" style="544" customWidth="1"/>
    <col min="8195" max="8195" width="15.88671875" style="544" customWidth="1"/>
    <col min="8196" max="8197" width="13.88671875" style="544" customWidth="1"/>
    <col min="8198" max="8199" width="7.21875" style="544" customWidth="1"/>
    <col min="8200" max="8200" width="13.88671875" style="544" customWidth="1"/>
    <col min="8201" max="8448" width="8.88671875" style="544"/>
    <col min="8449" max="8450" width="8.77734375" style="544" customWidth="1"/>
    <col min="8451" max="8451" width="15.88671875" style="544" customWidth="1"/>
    <col min="8452" max="8453" width="13.88671875" style="544" customWidth="1"/>
    <col min="8454" max="8455" width="7.21875" style="544" customWidth="1"/>
    <col min="8456" max="8456" width="13.88671875" style="544" customWidth="1"/>
    <col min="8457" max="8704" width="8.88671875" style="544"/>
    <col min="8705" max="8706" width="8.77734375" style="544" customWidth="1"/>
    <col min="8707" max="8707" width="15.88671875" style="544" customWidth="1"/>
    <col min="8708" max="8709" width="13.88671875" style="544" customWidth="1"/>
    <col min="8710" max="8711" width="7.21875" style="544" customWidth="1"/>
    <col min="8712" max="8712" width="13.88671875" style="544" customWidth="1"/>
    <col min="8713" max="8960" width="8.88671875" style="544"/>
    <col min="8961" max="8962" width="8.77734375" style="544" customWidth="1"/>
    <col min="8963" max="8963" width="15.88671875" style="544" customWidth="1"/>
    <col min="8964" max="8965" width="13.88671875" style="544" customWidth="1"/>
    <col min="8966" max="8967" width="7.21875" style="544" customWidth="1"/>
    <col min="8968" max="8968" width="13.88671875" style="544" customWidth="1"/>
    <col min="8969" max="9216" width="8.88671875" style="544"/>
    <col min="9217" max="9218" width="8.77734375" style="544" customWidth="1"/>
    <col min="9219" max="9219" width="15.88671875" style="544" customWidth="1"/>
    <col min="9220" max="9221" width="13.88671875" style="544" customWidth="1"/>
    <col min="9222" max="9223" width="7.21875" style="544" customWidth="1"/>
    <col min="9224" max="9224" width="13.88671875" style="544" customWidth="1"/>
    <col min="9225" max="9472" width="8.88671875" style="544"/>
    <col min="9473" max="9474" width="8.77734375" style="544" customWidth="1"/>
    <col min="9475" max="9475" width="15.88671875" style="544" customWidth="1"/>
    <col min="9476" max="9477" width="13.88671875" style="544" customWidth="1"/>
    <col min="9478" max="9479" width="7.21875" style="544" customWidth="1"/>
    <col min="9480" max="9480" width="13.88671875" style="544" customWidth="1"/>
    <col min="9481" max="9728" width="8.88671875" style="544"/>
    <col min="9729" max="9730" width="8.77734375" style="544" customWidth="1"/>
    <col min="9731" max="9731" width="15.88671875" style="544" customWidth="1"/>
    <col min="9732" max="9733" width="13.88671875" style="544" customWidth="1"/>
    <col min="9734" max="9735" width="7.21875" style="544" customWidth="1"/>
    <col min="9736" max="9736" width="13.88671875" style="544" customWidth="1"/>
    <col min="9737" max="9984" width="8.88671875" style="544"/>
    <col min="9985" max="9986" width="8.77734375" style="544" customWidth="1"/>
    <col min="9987" max="9987" width="15.88671875" style="544" customWidth="1"/>
    <col min="9988" max="9989" width="13.88671875" style="544" customWidth="1"/>
    <col min="9990" max="9991" width="7.21875" style="544" customWidth="1"/>
    <col min="9992" max="9992" width="13.88671875" style="544" customWidth="1"/>
    <col min="9993" max="10240" width="8.88671875" style="544"/>
    <col min="10241" max="10242" width="8.77734375" style="544" customWidth="1"/>
    <col min="10243" max="10243" width="15.88671875" style="544" customWidth="1"/>
    <col min="10244" max="10245" width="13.88671875" style="544" customWidth="1"/>
    <col min="10246" max="10247" width="7.21875" style="544" customWidth="1"/>
    <col min="10248" max="10248" width="13.88671875" style="544" customWidth="1"/>
    <col min="10249" max="10496" width="8.88671875" style="544"/>
    <col min="10497" max="10498" width="8.77734375" style="544" customWidth="1"/>
    <col min="10499" max="10499" width="15.88671875" style="544" customWidth="1"/>
    <col min="10500" max="10501" width="13.88671875" style="544" customWidth="1"/>
    <col min="10502" max="10503" width="7.21875" style="544" customWidth="1"/>
    <col min="10504" max="10504" width="13.88671875" style="544" customWidth="1"/>
    <col min="10505" max="10752" width="8.88671875" style="544"/>
    <col min="10753" max="10754" width="8.77734375" style="544" customWidth="1"/>
    <col min="10755" max="10755" width="15.88671875" style="544" customWidth="1"/>
    <col min="10756" max="10757" width="13.88671875" style="544" customWidth="1"/>
    <col min="10758" max="10759" width="7.21875" style="544" customWidth="1"/>
    <col min="10760" max="10760" width="13.88671875" style="544" customWidth="1"/>
    <col min="10761" max="11008" width="8.88671875" style="544"/>
    <col min="11009" max="11010" width="8.77734375" style="544" customWidth="1"/>
    <col min="11011" max="11011" width="15.88671875" style="544" customWidth="1"/>
    <col min="11012" max="11013" width="13.88671875" style="544" customWidth="1"/>
    <col min="11014" max="11015" width="7.21875" style="544" customWidth="1"/>
    <col min="11016" max="11016" width="13.88671875" style="544" customWidth="1"/>
    <col min="11017" max="11264" width="8.88671875" style="544"/>
    <col min="11265" max="11266" width="8.77734375" style="544" customWidth="1"/>
    <col min="11267" max="11267" width="15.88671875" style="544" customWidth="1"/>
    <col min="11268" max="11269" width="13.88671875" style="544" customWidth="1"/>
    <col min="11270" max="11271" width="7.21875" style="544" customWidth="1"/>
    <col min="11272" max="11272" width="13.88671875" style="544" customWidth="1"/>
    <col min="11273" max="11520" width="8.88671875" style="544"/>
    <col min="11521" max="11522" width="8.77734375" style="544" customWidth="1"/>
    <col min="11523" max="11523" width="15.88671875" style="544" customWidth="1"/>
    <col min="11524" max="11525" width="13.88671875" style="544" customWidth="1"/>
    <col min="11526" max="11527" width="7.21875" style="544" customWidth="1"/>
    <col min="11528" max="11528" width="13.88671875" style="544" customWidth="1"/>
    <col min="11529" max="11776" width="8.88671875" style="544"/>
    <col min="11777" max="11778" width="8.77734375" style="544" customWidth="1"/>
    <col min="11779" max="11779" width="15.88671875" style="544" customWidth="1"/>
    <col min="11780" max="11781" width="13.88671875" style="544" customWidth="1"/>
    <col min="11782" max="11783" width="7.21875" style="544" customWidth="1"/>
    <col min="11784" max="11784" width="13.88671875" style="544" customWidth="1"/>
    <col min="11785" max="12032" width="8.88671875" style="544"/>
    <col min="12033" max="12034" width="8.77734375" style="544" customWidth="1"/>
    <col min="12035" max="12035" width="15.88671875" style="544" customWidth="1"/>
    <col min="12036" max="12037" width="13.88671875" style="544" customWidth="1"/>
    <col min="12038" max="12039" width="7.21875" style="544" customWidth="1"/>
    <col min="12040" max="12040" width="13.88671875" style="544" customWidth="1"/>
    <col min="12041" max="12288" width="8.88671875" style="544"/>
    <col min="12289" max="12290" width="8.77734375" style="544" customWidth="1"/>
    <col min="12291" max="12291" width="15.88671875" style="544" customWidth="1"/>
    <col min="12292" max="12293" width="13.88671875" style="544" customWidth="1"/>
    <col min="12294" max="12295" width="7.21875" style="544" customWidth="1"/>
    <col min="12296" max="12296" width="13.88671875" style="544" customWidth="1"/>
    <col min="12297" max="12544" width="8.88671875" style="544"/>
    <col min="12545" max="12546" width="8.77734375" style="544" customWidth="1"/>
    <col min="12547" max="12547" width="15.88671875" style="544" customWidth="1"/>
    <col min="12548" max="12549" width="13.88671875" style="544" customWidth="1"/>
    <col min="12550" max="12551" width="7.21875" style="544" customWidth="1"/>
    <col min="12552" max="12552" width="13.88671875" style="544" customWidth="1"/>
    <col min="12553" max="12800" width="8.88671875" style="544"/>
    <col min="12801" max="12802" width="8.77734375" style="544" customWidth="1"/>
    <col min="12803" max="12803" width="15.88671875" style="544" customWidth="1"/>
    <col min="12804" max="12805" width="13.88671875" style="544" customWidth="1"/>
    <col min="12806" max="12807" width="7.21875" style="544" customWidth="1"/>
    <col min="12808" max="12808" width="13.88671875" style="544" customWidth="1"/>
    <col min="12809" max="13056" width="8.88671875" style="544"/>
    <col min="13057" max="13058" width="8.77734375" style="544" customWidth="1"/>
    <col min="13059" max="13059" width="15.88671875" style="544" customWidth="1"/>
    <col min="13060" max="13061" width="13.88671875" style="544" customWidth="1"/>
    <col min="13062" max="13063" width="7.21875" style="544" customWidth="1"/>
    <col min="13064" max="13064" width="13.88671875" style="544" customWidth="1"/>
    <col min="13065" max="13312" width="8.88671875" style="544"/>
    <col min="13313" max="13314" width="8.77734375" style="544" customWidth="1"/>
    <col min="13315" max="13315" width="15.88671875" style="544" customWidth="1"/>
    <col min="13316" max="13317" width="13.88671875" style="544" customWidth="1"/>
    <col min="13318" max="13319" width="7.21875" style="544" customWidth="1"/>
    <col min="13320" max="13320" width="13.88671875" style="544" customWidth="1"/>
    <col min="13321" max="13568" width="8.88671875" style="544"/>
    <col min="13569" max="13570" width="8.77734375" style="544" customWidth="1"/>
    <col min="13571" max="13571" width="15.88671875" style="544" customWidth="1"/>
    <col min="13572" max="13573" width="13.88671875" style="544" customWidth="1"/>
    <col min="13574" max="13575" width="7.21875" style="544" customWidth="1"/>
    <col min="13576" max="13576" width="13.88671875" style="544" customWidth="1"/>
    <col min="13577" max="13824" width="8.88671875" style="544"/>
    <col min="13825" max="13826" width="8.77734375" style="544" customWidth="1"/>
    <col min="13827" max="13827" width="15.88671875" style="544" customWidth="1"/>
    <col min="13828" max="13829" width="13.88671875" style="544" customWidth="1"/>
    <col min="13830" max="13831" width="7.21875" style="544" customWidth="1"/>
    <col min="13832" max="13832" width="13.88671875" style="544" customWidth="1"/>
    <col min="13833" max="14080" width="8.88671875" style="544"/>
    <col min="14081" max="14082" width="8.77734375" style="544" customWidth="1"/>
    <col min="14083" max="14083" width="15.88671875" style="544" customWidth="1"/>
    <col min="14084" max="14085" width="13.88671875" style="544" customWidth="1"/>
    <col min="14086" max="14087" width="7.21875" style="544" customWidth="1"/>
    <col min="14088" max="14088" width="13.88671875" style="544" customWidth="1"/>
    <col min="14089" max="14336" width="8.88671875" style="544"/>
    <col min="14337" max="14338" width="8.77734375" style="544" customWidth="1"/>
    <col min="14339" max="14339" width="15.88671875" style="544" customWidth="1"/>
    <col min="14340" max="14341" width="13.88671875" style="544" customWidth="1"/>
    <col min="14342" max="14343" width="7.21875" style="544" customWidth="1"/>
    <col min="14344" max="14344" width="13.88671875" style="544" customWidth="1"/>
    <col min="14345" max="14592" width="8.88671875" style="544"/>
    <col min="14593" max="14594" width="8.77734375" style="544" customWidth="1"/>
    <col min="14595" max="14595" width="15.88671875" style="544" customWidth="1"/>
    <col min="14596" max="14597" width="13.88671875" style="544" customWidth="1"/>
    <col min="14598" max="14599" width="7.21875" style="544" customWidth="1"/>
    <col min="14600" max="14600" width="13.88671875" style="544" customWidth="1"/>
    <col min="14601" max="14848" width="8.88671875" style="544"/>
    <col min="14849" max="14850" width="8.77734375" style="544" customWidth="1"/>
    <col min="14851" max="14851" width="15.88671875" style="544" customWidth="1"/>
    <col min="14852" max="14853" width="13.88671875" style="544" customWidth="1"/>
    <col min="14854" max="14855" width="7.21875" style="544" customWidth="1"/>
    <col min="14856" max="14856" width="13.88671875" style="544" customWidth="1"/>
    <col min="14857" max="15104" width="8.88671875" style="544"/>
    <col min="15105" max="15106" width="8.77734375" style="544" customWidth="1"/>
    <col min="15107" max="15107" width="15.88671875" style="544" customWidth="1"/>
    <col min="15108" max="15109" width="13.88671875" style="544" customWidth="1"/>
    <col min="15110" max="15111" width="7.21875" style="544" customWidth="1"/>
    <col min="15112" max="15112" width="13.88671875" style="544" customWidth="1"/>
    <col min="15113" max="15360" width="8.88671875" style="544"/>
    <col min="15361" max="15362" width="8.77734375" style="544" customWidth="1"/>
    <col min="15363" max="15363" width="15.88671875" style="544" customWidth="1"/>
    <col min="15364" max="15365" width="13.88671875" style="544" customWidth="1"/>
    <col min="15366" max="15367" width="7.21875" style="544" customWidth="1"/>
    <col min="15368" max="15368" width="13.88671875" style="544" customWidth="1"/>
    <col min="15369" max="15616" width="8.88671875" style="544"/>
    <col min="15617" max="15618" width="8.77734375" style="544" customWidth="1"/>
    <col min="15619" max="15619" width="15.88671875" style="544" customWidth="1"/>
    <col min="15620" max="15621" width="13.88671875" style="544" customWidth="1"/>
    <col min="15622" max="15623" width="7.21875" style="544" customWidth="1"/>
    <col min="15624" max="15624" width="13.88671875" style="544" customWidth="1"/>
    <col min="15625" max="15872" width="8.88671875" style="544"/>
    <col min="15873" max="15874" width="8.77734375" style="544" customWidth="1"/>
    <col min="15875" max="15875" width="15.88671875" style="544" customWidth="1"/>
    <col min="15876" max="15877" width="13.88671875" style="544" customWidth="1"/>
    <col min="15878" max="15879" width="7.21875" style="544" customWidth="1"/>
    <col min="15880" max="15880" width="13.88671875" style="544" customWidth="1"/>
    <col min="15881" max="16128" width="8.88671875" style="544"/>
    <col min="16129" max="16130" width="8.77734375" style="544" customWidth="1"/>
    <col min="16131" max="16131" width="15.88671875" style="544" customWidth="1"/>
    <col min="16132" max="16133" width="13.88671875" style="544" customWidth="1"/>
    <col min="16134" max="16135" width="7.21875" style="544" customWidth="1"/>
    <col min="16136" max="16136" width="13.88671875" style="544" customWidth="1"/>
    <col min="16137" max="16384" width="8.88671875" style="544"/>
  </cols>
  <sheetData>
    <row r="1" spans="1:8" ht="24">
      <c r="A1" s="753" t="s">
        <v>1897</v>
      </c>
    </row>
    <row r="2" spans="1:8">
      <c r="A2" s="543" t="s">
        <v>1898</v>
      </c>
      <c r="B2" s="543"/>
      <c r="D2" s="545"/>
      <c r="E2" s="546"/>
      <c r="F2" s="546"/>
      <c r="G2" s="546"/>
    </row>
    <row r="3" spans="1:8" ht="39.950000000000003" customHeight="1">
      <c r="A3" s="2078" t="s">
        <v>562</v>
      </c>
      <c r="B3" s="2079"/>
      <c r="C3" s="2080"/>
      <c r="D3" s="985" t="s">
        <v>1944</v>
      </c>
      <c r="E3" s="986" t="s">
        <v>1565</v>
      </c>
      <c r="F3" s="985" t="s">
        <v>584</v>
      </c>
      <c r="G3" s="985" t="s">
        <v>585</v>
      </c>
      <c r="H3" s="987" t="s">
        <v>566</v>
      </c>
    </row>
    <row r="4" spans="1:8" ht="21.95" customHeight="1">
      <c r="A4" s="2081" t="s">
        <v>1563</v>
      </c>
      <c r="B4" s="2082" t="s">
        <v>1566</v>
      </c>
      <c r="C4" s="2082"/>
      <c r="D4" s="993">
        <f>AVERAGE(D5:D10)</f>
        <v>144.5</v>
      </c>
      <c r="E4" s="994">
        <f>AVERAGE(E5:E10)</f>
        <v>46866.666666666664</v>
      </c>
      <c r="F4" s="995">
        <v>0.9</v>
      </c>
      <c r="G4" s="996">
        <v>1.25</v>
      </c>
      <c r="H4" s="997"/>
    </row>
    <row r="5" spans="1:8" ht="21.95" customHeight="1">
      <c r="A5" s="2073"/>
      <c r="B5" s="2076" t="s">
        <v>1525</v>
      </c>
      <c r="C5" s="2076"/>
      <c r="D5" s="988">
        <f>ROUND(E5*F5*G5/365,0)</f>
        <v>139</v>
      </c>
      <c r="E5" s="989">
        <v>44963</v>
      </c>
      <c r="F5" s="990">
        <v>0.9</v>
      </c>
      <c r="G5" s="991">
        <v>1.25</v>
      </c>
      <c r="H5" s="992"/>
    </row>
    <row r="6" spans="1:8" ht="21.95" customHeight="1">
      <c r="A6" s="2073"/>
      <c r="B6" s="2076" t="s">
        <v>1564</v>
      </c>
      <c r="C6" s="2076"/>
      <c r="D6" s="988">
        <f t="shared" ref="D6:D10" si="0">ROUND(E6*F6*G6/365,0)</f>
        <v>167</v>
      </c>
      <c r="E6" s="989">
        <v>54298</v>
      </c>
      <c r="F6" s="990">
        <v>0.9</v>
      </c>
      <c r="G6" s="991">
        <v>1.25</v>
      </c>
      <c r="H6" s="992"/>
    </row>
    <row r="7" spans="1:8" ht="21.95" customHeight="1">
      <c r="A7" s="2073"/>
      <c r="B7" s="2076" t="s">
        <v>68</v>
      </c>
      <c r="C7" s="2076"/>
      <c r="D7" s="988">
        <f t="shared" si="0"/>
        <v>160</v>
      </c>
      <c r="E7" s="989">
        <v>51754</v>
      </c>
      <c r="F7" s="990">
        <v>0.9</v>
      </c>
      <c r="G7" s="991">
        <v>1.25</v>
      </c>
      <c r="H7" s="992"/>
    </row>
    <row r="8" spans="1:8" ht="21.95" customHeight="1">
      <c r="A8" s="2073"/>
      <c r="B8" s="2076" t="s">
        <v>877</v>
      </c>
      <c r="C8" s="2076"/>
      <c r="D8" s="988">
        <f t="shared" si="0"/>
        <v>140</v>
      </c>
      <c r="E8" s="989">
        <v>45532</v>
      </c>
      <c r="F8" s="990">
        <v>0.9</v>
      </c>
      <c r="G8" s="991">
        <v>1.25</v>
      </c>
      <c r="H8" s="992"/>
    </row>
    <row r="9" spans="1:8" ht="21.95" customHeight="1">
      <c r="A9" s="2073"/>
      <c r="B9" s="2076" t="s">
        <v>50</v>
      </c>
      <c r="C9" s="2076"/>
      <c r="D9" s="988">
        <f t="shared" si="0"/>
        <v>132</v>
      </c>
      <c r="E9" s="989">
        <v>42677</v>
      </c>
      <c r="F9" s="990">
        <v>0.9</v>
      </c>
      <c r="G9" s="991">
        <v>1.25</v>
      </c>
      <c r="H9" s="992"/>
    </row>
    <row r="10" spans="1:8" ht="21.95" customHeight="1">
      <c r="A10" s="2074"/>
      <c r="B10" s="2077" t="s">
        <v>1502</v>
      </c>
      <c r="C10" s="2077"/>
      <c r="D10" s="998">
        <f t="shared" si="0"/>
        <v>129</v>
      </c>
      <c r="E10" s="999">
        <v>41976</v>
      </c>
      <c r="F10" s="1000">
        <v>0.9</v>
      </c>
      <c r="G10" s="1001">
        <v>1.25</v>
      </c>
      <c r="H10" s="1002"/>
    </row>
    <row r="11" spans="1:8">
      <c r="A11" s="549" t="s">
        <v>1567</v>
      </c>
      <c r="B11" s="549"/>
    </row>
    <row r="12" spans="1:8">
      <c r="A12" s="549"/>
      <c r="B12" s="549"/>
    </row>
    <row r="13" spans="1:8" collapsed="1">
      <c r="A13" s="543" t="s">
        <v>1899</v>
      </c>
      <c r="B13" s="543"/>
      <c r="D13" s="545"/>
      <c r="E13" s="546"/>
      <c r="F13" s="546"/>
      <c r="G13" s="546"/>
    </row>
    <row r="14" spans="1:8" ht="39.950000000000003" customHeight="1">
      <c r="A14" s="2078" t="s">
        <v>562</v>
      </c>
      <c r="B14" s="2079"/>
      <c r="C14" s="2080"/>
      <c r="D14" s="985" t="s">
        <v>1944</v>
      </c>
      <c r="E14" s="986" t="s">
        <v>1565</v>
      </c>
      <c r="F14" s="985" t="s">
        <v>584</v>
      </c>
      <c r="G14" s="985" t="s">
        <v>585</v>
      </c>
      <c r="H14" s="987" t="s">
        <v>566</v>
      </c>
    </row>
    <row r="15" spans="1:8" ht="21.95" customHeight="1">
      <c r="A15" s="2081" t="s">
        <v>1563</v>
      </c>
      <c r="B15" s="2082" t="s">
        <v>1566</v>
      </c>
      <c r="C15" s="2082"/>
      <c r="D15" s="993">
        <f>AVERAGE(D16:D21)</f>
        <v>59.833333333333336</v>
      </c>
      <c r="E15" s="994">
        <f>AVERAGE(E16:E21)</f>
        <v>19380.333333333332</v>
      </c>
      <c r="F15" s="995">
        <v>0.9</v>
      </c>
      <c r="G15" s="996">
        <v>1.25</v>
      </c>
      <c r="H15" s="997"/>
    </row>
    <row r="16" spans="1:8" ht="21.95" customHeight="1">
      <c r="A16" s="2073"/>
      <c r="B16" s="2076" t="s">
        <v>1525</v>
      </c>
      <c r="C16" s="2076"/>
      <c r="D16" s="988">
        <f>ROUND(E16*F16*G16/365,0)</f>
        <v>38</v>
      </c>
      <c r="E16" s="989">
        <v>12304</v>
      </c>
      <c r="F16" s="990">
        <v>0.9</v>
      </c>
      <c r="G16" s="991">
        <v>1.25</v>
      </c>
      <c r="H16" s="992"/>
    </row>
    <row r="17" spans="1:8" ht="21.95" customHeight="1">
      <c r="A17" s="2073"/>
      <c r="B17" s="2076" t="s">
        <v>1564</v>
      </c>
      <c r="C17" s="2076"/>
      <c r="D17" s="988">
        <f t="shared" ref="D17:D21" si="1">ROUND(E17*F17*G17/365,0)</f>
        <v>38</v>
      </c>
      <c r="E17" s="989">
        <v>12304</v>
      </c>
      <c r="F17" s="990">
        <v>0.9</v>
      </c>
      <c r="G17" s="991">
        <v>1.25</v>
      </c>
      <c r="H17" s="992"/>
    </row>
    <row r="18" spans="1:8" ht="21.95" customHeight="1">
      <c r="A18" s="2073"/>
      <c r="B18" s="2076" t="s">
        <v>68</v>
      </c>
      <c r="C18" s="2076"/>
      <c r="D18" s="988">
        <f t="shared" si="1"/>
        <v>38</v>
      </c>
      <c r="E18" s="989">
        <v>12304</v>
      </c>
      <c r="F18" s="990">
        <v>0.9</v>
      </c>
      <c r="G18" s="991">
        <v>1.25</v>
      </c>
      <c r="H18" s="992"/>
    </row>
    <row r="19" spans="1:8" ht="21.95" customHeight="1">
      <c r="A19" s="2073"/>
      <c r="B19" s="2076" t="s">
        <v>877</v>
      </c>
      <c r="C19" s="2076"/>
      <c r="D19" s="988">
        <f t="shared" si="1"/>
        <v>38</v>
      </c>
      <c r="E19" s="989">
        <v>12304</v>
      </c>
      <c r="F19" s="990">
        <v>0.9</v>
      </c>
      <c r="G19" s="991">
        <v>1.25</v>
      </c>
      <c r="H19" s="992"/>
    </row>
    <row r="20" spans="1:8" ht="21.95" customHeight="1">
      <c r="A20" s="2073"/>
      <c r="B20" s="2076" t="s">
        <v>50</v>
      </c>
      <c r="C20" s="2076"/>
      <c r="D20" s="988">
        <f t="shared" si="1"/>
        <v>74</v>
      </c>
      <c r="E20" s="989">
        <v>23856</v>
      </c>
      <c r="F20" s="990">
        <v>0.9</v>
      </c>
      <c r="G20" s="991">
        <v>1.25</v>
      </c>
      <c r="H20" s="992"/>
    </row>
    <row r="21" spans="1:8" ht="21.95" customHeight="1">
      <c r="A21" s="2074"/>
      <c r="B21" s="2077" t="s">
        <v>1502</v>
      </c>
      <c r="C21" s="2077"/>
      <c r="D21" s="998">
        <f t="shared" si="1"/>
        <v>133</v>
      </c>
      <c r="E21" s="999">
        <v>43210</v>
      </c>
      <c r="F21" s="1000">
        <v>0.9</v>
      </c>
      <c r="G21" s="1001">
        <v>1.25</v>
      </c>
      <c r="H21" s="1002"/>
    </row>
    <row r="22" spans="1:8">
      <c r="A22" s="549" t="s">
        <v>1567</v>
      </c>
      <c r="B22" s="549"/>
    </row>
    <row r="23" spans="1:8">
      <c r="A23" s="549"/>
      <c r="B23" s="549"/>
    </row>
    <row r="24" spans="1:8" collapsed="1">
      <c r="A24" s="543" t="s">
        <v>1900</v>
      </c>
      <c r="B24" s="543"/>
      <c r="D24" s="545"/>
      <c r="E24" s="546"/>
      <c r="F24" s="546"/>
      <c r="G24" s="546"/>
    </row>
    <row r="25" spans="1:8" ht="39.950000000000003" customHeight="1">
      <c r="A25" s="2078" t="s">
        <v>562</v>
      </c>
      <c r="B25" s="2079"/>
      <c r="C25" s="2080"/>
      <c r="D25" s="1474" t="s">
        <v>1944</v>
      </c>
      <c r="E25" s="986" t="s">
        <v>1565</v>
      </c>
      <c r="F25" s="985" t="s">
        <v>584</v>
      </c>
      <c r="G25" s="985" t="s">
        <v>585</v>
      </c>
      <c r="H25" s="987" t="s">
        <v>566</v>
      </c>
    </row>
    <row r="26" spans="1:8" ht="21.95" customHeight="1">
      <c r="A26" s="2081" t="s">
        <v>1563</v>
      </c>
      <c r="B26" s="2082" t="s">
        <v>1566</v>
      </c>
      <c r="C26" s="2082"/>
      <c r="D26" s="993">
        <f>AVERAGE(D27:D32)</f>
        <v>81.333333333333329</v>
      </c>
      <c r="E26" s="994">
        <f>AVERAGE(E27:E32)</f>
        <v>26346</v>
      </c>
      <c r="F26" s="995">
        <v>0.9</v>
      </c>
      <c r="G26" s="996">
        <v>1.25</v>
      </c>
      <c r="H26" s="997"/>
    </row>
    <row r="27" spans="1:8" ht="21.95" customHeight="1">
      <c r="A27" s="2073"/>
      <c r="B27" s="2076" t="s">
        <v>1525</v>
      </c>
      <c r="C27" s="2076"/>
      <c r="D27" s="988">
        <f t="shared" ref="D27:D32" si="2">ROUND(E27*F27*G27/365,0)</f>
        <v>82</v>
      </c>
      <c r="E27" s="989">
        <v>26467</v>
      </c>
      <c r="F27" s="990">
        <v>0.9</v>
      </c>
      <c r="G27" s="991">
        <v>1.25</v>
      </c>
      <c r="H27" s="992"/>
    </row>
    <row r="28" spans="1:8" ht="21.95" customHeight="1">
      <c r="A28" s="2073"/>
      <c r="B28" s="2076" t="s">
        <v>1564</v>
      </c>
      <c r="C28" s="2076"/>
      <c r="D28" s="988">
        <f t="shared" si="2"/>
        <v>76</v>
      </c>
      <c r="E28" s="989">
        <v>24513</v>
      </c>
      <c r="F28" s="990">
        <v>0.9</v>
      </c>
      <c r="G28" s="991">
        <v>1.25</v>
      </c>
      <c r="H28" s="992"/>
    </row>
    <row r="29" spans="1:8" ht="21.95" customHeight="1">
      <c r="A29" s="2073"/>
      <c r="B29" s="2076" t="s">
        <v>68</v>
      </c>
      <c r="C29" s="2076"/>
      <c r="D29" s="988">
        <f t="shared" si="2"/>
        <v>85</v>
      </c>
      <c r="E29" s="989">
        <v>27565</v>
      </c>
      <c r="F29" s="990">
        <v>0.9</v>
      </c>
      <c r="G29" s="991">
        <v>1.25</v>
      </c>
      <c r="H29" s="992"/>
    </row>
    <row r="30" spans="1:8" ht="21.95" customHeight="1">
      <c r="A30" s="2073"/>
      <c r="B30" s="2076" t="s">
        <v>877</v>
      </c>
      <c r="C30" s="2076"/>
      <c r="D30" s="988">
        <f t="shared" si="2"/>
        <v>78</v>
      </c>
      <c r="E30" s="989">
        <v>25231</v>
      </c>
      <c r="F30" s="990">
        <v>0.9</v>
      </c>
      <c r="G30" s="991">
        <v>1.25</v>
      </c>
      <c r="H30" s="992"/>
    </row>
    <row r="31" spans="1:8" ht="21.95" customHeight="1">
      <c r="A31" s="2073"/>
      <c r="B31" s="2076" t="s">
        <v>50</v>
      </c>
      <c r="C31" s="2076"/>
      <c r="D31" s="988">
        <f t="shared" si="2"/>
        <v>77</v>
      </c>
      <c r="E31" s="989">
        <v>24992</v>
      </c>
      <c r="F31" s="990">
        <v>0.9</v>
      </c>
      <c r="G31" s="991">
        <v>1.25</v>
      </c>
      <c r="H31" s="992"/>
    </row>
    <row r="32" spans="1:8" ht="21.95" customHeight="1">
      <c r="A32" s="2074"/>
      <c r="B32" s="2077" t="s">
        <v>1502</v>
      </c>
      <c r="C32" s="2077"/>
      <c r="D32" s="998">
        <f t="shared" si="2"/>
        <v>90</v>
      </c>
      <c r="E32" s="999">
        <v>29308</v>
      </c>
      <c r="F32" s="1000">
        <v>0.9</v>
      </c>
      <c r="G32" s="1001">
        <v>1.25</v>
      </c>
      <c r="H32" s="1002"/>
    </row>
    <row r="33" spans="1:8">
      <c r="A33" s="549" t="s">
        <v>1567</v>
      </c>
      <c r="B33" s="549"/>
    </row>
    <row r="34" spans="1:8">
      <c r="A34" s="549"/>
      <c r="B34" s="549"/>
    </row>
    <row r="35" spans="1:8" collapsed="1">
      <c r="A35" s="543" t="s">
        <v>1901</v>
      </c>
      <c r="B35" s="543"/>
      <c r="D35" s="545"/>
      <c r="E35" s="546"/>
      <c r="F35" s="546"/>
      <c r="G35" s="546"/>
    </row>
    <row r="36" spans="1:8" ht="39.950000000000003" customHeight="1">
      <c r="A36" s="2078" t="s">
        <v>562</v>
      </c>
      <c r="B36" s="2079"/>
      <c r="C36" s="2080"/>
      <c r="D36" s="1474" t="s">
        <v>1944</v>
      </c>
      <c r="E36" s="986" t="s">
        <v>1565</v>
      </c>
      <c r="F36" s="985" t="s">
        <v>584</v>
      </c>
      <c r="G36" s="985" t="s">
        <v>585</v>
      </c>
      <c r="H36" s="987" t="s">
        <v>566</v>
      </c>
    </row>
    <row r="37" spans="1:8" ht="21.95" customHeight="1">
      <c r="A37" s="2081" t="s">
        <v>1563</v>
      </c>
      <c r="B37" s="2082" t="s">
        <v>1566</v>
      </c>
      <c r="C37" s="2082"/>
      <c r="D37" s="993">
        <f>AVERAGE(D38:D43)</f>
        <v>208.83333333333334</v>
      </c>
      <c r="E37" s="994">
        <f>AVERAGE(E38:E43)</f>
        <v>67686.833333333328</v>
      </c>
      <c r="F37" s="995">
        <v>0.9</v>
      </c>
      <c r="G37" s="996">
        <v>1.25</v>
      </c>
      <c r="H37" s="997"/>
    </row>
    <row r="38" spans="1:8" ht="21.95" customHeight="1">
      <c r="A38" s="2071"/>
      <c r="B38" s="2076" t="s">
        <v>540</v>
      </c>
      <c r="C38" s="2076"/>
      <c r="D38" s="988">
        <f t="shared" ref="D38" si="3">ROUND(E38*F38*G38/365,0)</f>
        <v>238</v>
      </c>
      <c r="E38" s="989">
        <v>77183</v>
      </c>
      <c r="F38" s="990">
        <v>0.9</v>
      </c>
      <c r="G38" s="991">
        <v>1.25</v>
      </c>
      <c r="H38" s="1129"/>
    </row>
    <row r="39" spans="1:8" ht="21.95" customHeight="1">
      <c r="A39" s="2071"/>
      <c r="B39" s="2076" t="s">
        <v>1678</v>
      </c>
      <c r="C39" s="2076"/>
      <c r="D39" s="988">
        <f t="shared" ref="D39" si="4">ROUND(E39*F39*G39/365,0)</f>
        <v>190</v>
      </c>
      <c r="E39" s="989">
        <f>61489+H39</f>
        <v>61489</v>
      </c>
      <c r="F39" s="990">
        <v>0.9</v>
      </c>
      <c r="G39" s="991">
        <v>1.25</v>
      </c>
      <c r="H39" s="1129"/>
    </row>
    <row r="40" spans="1:8" ht="21.95" customHeight="1">
      <c r="A40" s="2073"/>
      <c r="B40" s="2076" t="s">
        <v>68</v>
      </c>
      <c r="C40" s="2076"/>
      <c r="D40" s="988">
        <f t="shared" ref="D40:D43" si="5">ROUND(E40*F40*G40/365,0)</f>
        <v>196</v>
      </c>
      <c r="E40" s="989">
        <f>63495+H40</f>
        <v>63495</v>
      </c>
      <c r="F40" s="990">
        <v>0.9</v>
      </c>
      <c r="G40" s="991">
        <v>1.25</v>
      </c>
      <c r="H40" s="992"/>
    </row>
    <row r="41" spans="1:8" ht="21.95" customHeight="1">
      <c r="A41" s="2073"/>
      <c r="B41" s="2076" t="s">
        <v>877</v>
      </c>
      <c r="C41" s="2076"/>
      <c r="D41" s="988">
        <f t="shared" si="5"/>
        <v>212</v>
      </c>
      <c r="E41" s="989">
        <f>68655+H41</f>
        <v>68655</v>
      </c>
      <c r="F41" s="990">
        <v>0.9</v>
      </c>
      <c r="G41" s="991">
        <v>1.25</v>
      </c>
      <c r="H41" s="992"/>
    </row>
    <row r="42" spans="1:8" ht="21.95" customHeight="1">
      <c r="A42" s="2073"/>
      <c r="B42" s="2076" t="s">
        <v>50</v>
      </c>
      <c r="C42" s="2076"/>
      <c r="D42" s="988">
        <f t="shared" si="5"/>
        <v>206</v>
      </c>
      <c r="E42" s="989">
        <f>66691+H42</f>
        <v>66691</v>
      </c>
      <c r="F42" s="990">
        <v>0.9</v>
      </c>
      <c r="G42" s="991">
        <v>1.25</v>
      </c>
      <c r="H42" s="992"/>
    </row>
    <row r="43" spans="1:8" ht="21.95" customHeight="1">
      <c r="A43" s="2074"/>
      <c r="B43" s="2077" t="s">
        <v>1502</v>
      </c>
      <c r="C43" s="2077"/>
      <c r="D43" s="998">
        <f t="shared" si="5"/>
        <v>211</v>
      </c>
      <c r="E43" s="999">
        <f>68608+H43</f>
        <v>68608</v>
      </c>
      <c r="F43" s="1000">
        <v>0.9</v>
      </c>
      <c r="G43" s="1001">
        <v>1.25</v>
      </c>
      <c r="H43" s="1002"/>
    </row>
    <row r="44" spans="1:8">
      <c r="A44" s="549" t="s">
        <v>1567</v>
      </c>
      <c r="B44" s="549"/>
    </row>
    <row r="45" spans="1:8">
      <c r="A45" s="549"/>
      <c r="B45" s="549"/>
    </row>
    <row r="46" spans="1:8" collapsed="1">
      <c r="A46" s="543" t="s">
        <v>1902</v>
      </c>
      <c r="B46" s="543"/>
      <c r="D46" s="545"/>
      <c r="E46" s="546"/>
      <c r="F46" s="546"/>
      <c r="G46" s="546"/>
    </row>
    <row r="47" spans="1:8" ht="39.950000000000003" customHeight="1">
      <c r="A47" s="2078" t="s">
        <v>562</v>
      </c>
      <c r="B47" s="2079"/>
      <c r="C47" s="2080"/>
      <c r="D47" s="1474" t="s">
        <v>1944</v>
      </c>
      <c r="E47" s="986" t="s">
        <v>1565</v>
      </c>
      <c r="F47" s="1121" t="s">
        <v>584</v>
      </c>
      <c r="G47" s="1121" t="s">
        <v>585</v>
      </c>
      <c r="H47" s="987" t="s">
        <v>566</v>
      </c>
    </row>
    <row r="48" spans="1:8" ht="21.95" customHeight="1">
      <c r="A48" s="2081" t="s">
        <v>1563</v>
      </c>
      <c r="B48" s="2082" t="s">
        <v>54</v>
      </c>
      <c r="C48" s="2082"/>
      <c r="D48" s="993">
        <f>AVERAGE(D50:D53)</f>
        <v>8.75</v>
      </c>
      <c r="E48" s="1132">
        <f>AVERAGE(E49:E53)</f>
        <v>2311.6</v>
      </c>
      <c r="F48" s="995">
        <v>0.9</v>
      </c>
      <c r="G48" s="996">
        <v>1.25</v>
      </c>
      <c r="H48" s="997"/>
    </row>
    <row r="49" spans="1:8" ht="21.95" customHeight="1">
      <c r="A49" s="2072"/>
      <c r="B49" s="2076" t="s">
        <v>1678</v>
      </c>
      <c r="C49" s="2076"/>
      <c r="D49" s="988">
        <f t="shared" ref="D49:D53" si="6">ROUND(E49*F49*G49/365,0)</f>
        <v>0</v>
      </c>
      <c r="E49" s="988">
        <v>133</v>
      </c>
      <c r="F49" s="990">
        <v>0.9</v>
      </c>
      <c r="G49" s="991">
        <v>1.25</v>
      </c>
      <c r="H49" s="1130"/>
    </row>
    <row r="50" spans="1:8" ht="21.95" customHeight="1">
      <c r="A50" s="2073"/>
      <c r="B50" s="2076" t="s">
        <v>68</v>
      </c>
      <c r="C50" s="2076"/>
      <c r="D50" s="988">
        <f t="shared" si="6"/>
        <v>8</v>
      </c>
      <c r="E50" s="988">
        <v>2574</v>
      </c>
      <c r="F50" s="990">
        <v>0.9</v>
      </c>
      <c r="G50" s="991">
        <v>1.25</v>
      </c>
      <c r="H50" s="992"/>
    </row>
    <row r="51" spans="1:8" ht="21.95" customHeight="1">
      <c r="A51" s="2073"/>
      <c r="B51" s="2076" t="s">
        <v>877</v>
      </c>
      <c r="C51" s="2076"/>
      <c r="D51" s="988">
        <f t="shared" si="6"/>
        <v>7</v>
      </c>
      <c r="E51" s="988">
        <v>2416</v>
      </c>
      <c r="F51" s="990">
        <v>0.9</v>
      </c>
      <c r="G51" s="991">
        <v>1.25</v>
      </c>
      <c r="H51" s="992"/>
    </row>
    <row r="52" spans="1:8" ht="21.95" customHeight="1">
      <c r="A52" s="2073"/>
      <c r="B52" s="2076" t="s">
        <v>50</v>
      </c>
      <c r="C52" s="2076"/>
      <c r="D52" s="988">
        <f t="shared" si="6"/>
        <v>9</v>
      </c>
      <c r="E52" s="988">
        <v>2852</v>
      </c>
      <c r="F52" s="990">
        <v>0.9</v>
      </c>
      <c r="G52" s="991">
        <v>1.25</v>
      </c>
      <c r="H52" s="992"/>
    </row>
    <row r="53" spans="1:8" ht="21.95" customHeight="1">
      <c r="A53" s="2074"/>
      <c r="B53" s="2077" t="s">
        <v>1502</v>
      </c>
      <c r="C53" s="2077"/>
      <c r="D53" s="998">
        <f t="shared" si="6"/>
        <v>11</v>
      </c>
      <c r="E53" s="1131">
        <v>3583</v>
      </c>
      <c r="F53" s="1000">
        <v>0.9</v>
      </c>
      <c r="G53" s="1001">
        <v>1.25</v>
      </c>
      <c r="H53" s="1002"/>
    </row>
    <row r="54" spans="1:8">
      <c r="A54" s="549" t="s">
        <v>1567</v>
      </c>
      <c r="B54" s="549"/>
    </row>
    <row r="55" spans="1:8">
      <c r="A55" s="549"/>
      <c r="B55" s="549"/>
    </row>
    <row r="56" spans="1:8" collapsed="1">
      <c r="A56" s="543" t="s">
        <v>1903</v>
      </c>
      <c r="B56" s="543"/>
      <c r="D56" s="545"/>
      <c r="E56" s="546"/>
      <c r="F56" s="546"/>
      <c r="G56" s="546"/>
    </row>
    <row r="57" spans="1:8" ht="39.950000000000003" customHeight="1">
      <c r="A57" s="2068" t="s">
        <v>562</v>
      </c>
      <c r="B57" s="2069"/>
      <c r="C57" s="2070"/>
      <c r="D57" s="1473" t="s">
        <v>1944</v>
      </c>
      <c r="E57" s="1307" t="s">
        <v>1920</v>
      </c>
      <c r="F57" s="1473" t="s">
        <v>584</v>
      </c>
      <c r="G57" s="1473" t="s">
        <v>585</v>
      </c>
      <c r="H57" s="1308" t="s">
        <v>566</v>
      </c>
    </row>
    <row r="58" spans="1:8" ht="21.95" customHeight="1">
      <c r="A58" s="2071" t="s">
        <v>1563</v>
      </c>
      <c r="B58" s="2075" t="s">
        <v>54</v>
      </c>
      <c r="C58" s="2075"/>
      <c r="D58" s="1303">
        <f>AVERAGE(D59:D63)</f>
        <v>123</v>
      </c>
      <c r="E58" s="1304">
        <f>AVERAGE(E59:E63)</f>
        <v>44895</v>
      </c>
      <c r="F58" s="1305">
        <v>0.9</v>
      </c>
      <c r="G58" s="1306">
        <v>1.25</v>
      </c>
      <c r="H58" s="1129"/>
    </row>
    <row r="59" spans="1:8" ht="21.95" customHeight="1">
      <c r="A59" s="2072"/>
      <c r="B59" s="2076" t="s">
        <v>1678</v>
      </c>
      <c r="C59" s="2076"/>
      <c r="D59" s="988">
        <v>123</v>
      </c>
      <c r="E59" s="989">
        <f>D59*365</f>
        <v>44895</v>
      </c>
      <c r="F59" s="990">
        <v>0.9</v>
      </c>
      <c r="G59" s="991">
        <v>1.25</v>
      </c>
      <c r="H59" s="1130"/>
    </row>
    <row r="60" spans="1:8" ht="21.95" customHeight="1">
      <c r="A60" s="2073"/>
      <c r="B60" s="2076" t="s">
        <v>68</v>
      </c>
      <c r="C60" s="2076"/>
      <c r="D60" s="988">
        <v>123</v>
      </c>
      <c r="E60" s="989">
        <f t="shared" ref="E60:E63" si="7">D60*365</f>
        <v>44895</v>
      </c>
      <c r="F60" s="990">
        <v>0.9</v>
      </c>
      <c r="G60" s="991">
        <v>1.25</v>
      </c>
      <c r="H60" s="992"/>
    </row>
    <row r="61" spans="1:8" ht="21.95" customHeight="1">
      <c r="A61" s="2073"/>
      <c r="B61" s="2076" t="s">
        <v>877</v>
      </c>
      <c r="C61" s="2076"/>
      <c r="D61" s="988">
        <v>123</v>
      </c>
      <c r="E61" s="989">
        <f t="shared" si="7"/>
        <v>44895</v>
      </c>
      <c r="F61" s="990">
        <v>0.9</v>
      </c>
      <c r="G61" s="991">
        <v>1.25</v>
      </c>
      <c r="H61" s="992"/>
    </row>
    <row r="62" spans="1:8" ht="21.95" customHeight="1">
      <c r="A62" s="2073"/>
      <c r="B62" s="2076" t="s">
        <v>50</v>
      </c>
      <c r="C62" s="2076"/>
      <c r="D62" s="988">
        <v>123</v>
      </c>
      <c r="E62" s="989">
        <f t="shared" si="7"/>
        <v>44895</v>
      </c>
      <c r="F62" s="990">
        <v>0.9</v>
      </c>
      <c r="G62" s="991">
        <v>1.25</v>
      </c>
      <c r="H62" s="992"/>
    </row>
    <row r="63" spans="1:8" ht="21.95" customHeight="1">
      <c r="A63" s="2074"/>
      <c r="B63" s="2077" t="s">
        <v>1502</v>
      </c>
      <c r="C63" s="2077"/>
      <c r="D63" s="998">
        <v>123</v>
      </c>
      <c r="E63" s="999">
        <f t="shared" si="7"/>
        <v>44895</v>
      </c>
      <c r="F63" s="1000">
        <v>0.9</v>
      </c>
      <c r="G63" s="1001">
        <v>1.25</v>
      </c>
      <c r="H63" s="1002"/>
    </row>
    <row r="64" spans="1:8">
      <c r="A64" s="549" t="s">
        <v>1895</v>
      </c>
      <c r="B64" s="549"/>
    </row>
    <row r="65" spans="1:8">
      <c r="A65" s="549"/>
      <c r="B65" s="549"/>
    </row>
    <row r="66" spans="1:8" collapsed="1">
      <c r="A66" s="543" t="s">
        <v>1937</v>
      </c>
      <c r="B66" s="543"/>
      <c r="D66" s="545"/>
      <c r="E66" s="546"/>
      <c r="F66" s="546"/>
      <c r="G66" s="546"/>
    </row>
    <row r="67" spans="1:8" ht="30" customHeight="1">
      <c r="A67" s="2064" t="s">
        <v>562</v>
      </c>
      <c r="B67" s="2065"/>
      <c r="C67" s="2065" t="s">
        <v>1922</v>
      </c>
      <c r="D67" s="2065"/>
      <c r="E67" s="2057" t="s">
        <v>1923</v>
      </c>
      <c r="F67" s="2057"/>
      <c r="G67" s="2053" t="s">
        <v>1921</v>
      </c>
      <c r="H67" s="2055" t="s">
        <v>1933</v>
      </c>
    </row>
    <row r="68" spans="1:8" ht="21.95" customHeight="1">
      <c r="A68" s="2066"/>
      <c r="B68" s="2067"/>
      <c r="C68" s="1435" t="s">
        <v>1924</v>
      </c>
      <c r="D68" s="1435" t="s">
        <v>1925</v>
      </c>
      <c r="E68" s="1435" t="s">
        <v>1924</v>
      </c>
      <c r="F68" s="1435" t="s">
        <v>1925</v>
      </c>
      <c r="G68" s="2054"/>
      <c r="H68" s="2056"/>
    </row>
    <row r="69" spans="1:8" ht="21.95" customHeight="1">
      <c r="A69" s="2058" t="s">
        <v>1926</v>
      </c>
      <c r="B69" s="2059"/>
      <c r="C69" s="1433">
        <v>1343</v>
      </c>
      <c r="D69" s="1434">
        <v>358</v>
      </c>
      <c r="E69" s="1433">
        <v>1337</v>
      </c>
      <c r="F69" s="1434">
        <v>357</v>
      </c>
      <c r="G69" s="1436"/>
      <c r="H69" s="1438" t="s">
        <v>1934</v>
      </c>
    </row>
    <row r="70" spans="1:8" ht="21.95" customHeight="1">
      <c r="A70" s="2060" t="s">
        <v>1927</v>
      </c>
      <c r="B70" s="2061"/>
      <c r="C70" s="1428">
        <v>102</v>
      </c>
      <c r="D70" s="988">
        <v>27</v>
      </c>
      <c r="E70" s="1428">
        <v>100</v>
      </c>
      <c r="F70" s="988">
        <v>27</v>
      </c>
      <c r="G70" s="1437">
        <f>F70</f>
        <v>27</v>
      </c>
      <c r="H70" s="1439" t="s">
        <v>1942</v>
      </c>
    </row>
    <row r="71" spans="1:8" ht="21.95" customHeight="1">
      <c r="A71" s="2062" t="s">
        <v>1928</v>
      </c>
      <c r="B71" s="1475" t="s">
        <v>1929</v>
      </c>
      <c r="C71" s="1428">
        <v>198</v>
      </c>
      <c r="D71" s="988">
        <v>53</v>
      </c>
      <c r="E71" s="1428">
        <v>198</v>
      </c>
      <c r="F71" s="988">
        <v>53</v>
      </c>
      <c r="G71" s="1437">
        <f>F71</f>
        <v>53</v>
      </c>
      <c r="H71" s="1439"/>
    </row>
    <row r="72" spans="1:8" ht="21.95" customHeight="1">
      <c r="A72" s="2063"/>
      <c r="B72" s="1475" t="s">
        <v>1930</v>
      </c>
      <c r="C72" s="1428">
        <v>145</v>
      </c>
      <c r="D72" s="988">
        <v>39</v>
      </c>
      <c r="E72" s="1428">
        <v>145</v>
      </c>
      <c r="F72" s="988">
        <v>39</v>
      </c>
      <c r="G72" s="1437">
        <f>F72</f>
        <v>39</v>
      </c>
      <c r="H72" s="1439"/>
    </row>
    <row r="73" spans="1:8" ht="21.95" customHeight="1" thickBot="1">
      <c r="A73" s="2063"/>
      <c r="B73" s="1476" t="s">
        <v>1931</v>
      </c>
      <c r="C73" s="1429">
        <v>343</v>
      </c>
      <c r="D73" s="1430">
        <v>92</v>
      </c>
      <c r="E73" s="1429">
        <v>343</v>
      </c>
      <c r="F73" s="1430">
        <v>92</v>
      </c>
      <c r="G73" s="1440">
        <f>F73</f>
        <v>92</v>
      </c>
      <c r="H73" s="1441"/>
    </row>
    <row r="74" spans="1:8" ht="21.95" customHeight="1" thickBot="1">
      <c r="A74" s="2051" t="s">
        <v>1932</v>
      </c>
      <c r="B74" s="2052"/>
      <c r="C74" s="1431">
        <v>1788</v>
      </c>
      <c r="D74" s="1432">
        <v>478</v>
      </c>
      <c r="E74" s="1431">
        <v>1780</v>
      </c>
      <c r="F74" s="1432">
        <v>476</v>
      </c>
      <c r="G74" s="1442">
        <f>G73</f>
        <v>92</v>
      </c>
      <c r="H74" s="1443" t="s">
        <v>1943</v>
      </c>
    </row>
    <row r="75" spans="1:8">
      <c r="A75" s="549" t="s">
        <v>1941</v>
      </c>
      <c r="B75" s="549"/>
    </row>
    <row r="77" spans="1:8" hidden="1" outlineLevel="1">
      <c r="A77" s="543" t="s">
        <v>770</v>
      </c>
      <c r="B77" s="543"/>
      <c r="D77" s="545"/>
      <c r="E77" s="546"/>
      <c r="F77" s="546"/>
      <c r="G77" s="546"/>
    </row>
    <row r="78" spans="1:8" ht="30" hidden="1" customHeight="1" outlineLevel="1">
      <c r="A78" s="2086" t="s">
        <v>562</v>
      </c>
      <c r="B78" s="2087"/>
      <c r="C78" s="2088"/>
      <c r="D78" s="547" t="s">
        <v>563</v>
      </c>
      <c r="E78" s="547" t="s">
        <v>564</v>
      </c>
      <c r="F78" s="2089" t="s">
        <v>565</v>
      </c>
      <c r="G78" s="2087"/>
      <c r="H78" s="548" t="s">
        <v>566</v>
      </c>
    </row>
    <row r="79" spans="1:8" ht="21.95" hidden="1" customHeight="1" outlineLevel="1">
      <c r="A79" s="2129" t="s">
        <v>567</v>
      </c>
      <c r="B79" s="2118" t="s">
        <v>568</v>
      </c>
      <c r="C79" s="2119"/>
      <c r="D79" s="550">
        <f>SUM(D80:D85)</f>
        <v>69</v>
      </c>
      <c r="E79" s="551">
        <f>SUM(E80:E85)</f>
        <v>12896.5</v>
      </c>
      <c r="F79" s="2120"/>
      <c r="G79" s="2121"/>
      <c r="H79" s="552"/>
    </row>
    <row r="80" spans="1:8" ht="21.95" hidden="1" customHeight="1" outlineLevel="1">
      <c r="A80" s="2129"/>
      <c r="B80" s="2131" t="s">
        <v>570</v>
      </c>
      <c r="C80" s="2132"/>
      <c r="D80" s="556">
        <f t="shared" ref="D80:D85" si="8">ROUND(E80*F80/1000,0)</f>
        <v>1</v>
      </c>
      <c r="E80" s="551">
        <v>1400</v>
      </c>
      <c r="F80" s="2133">
        <v>1</v>
      </c>
      <c r="G80" s="2134"/>
      <c r="H80" s="552"/>
    </row>
    <row r="81" spans="1:22" ht="21.95" hidden="1" customHeight="1" outlineLevel="1">
      <c r="A81" s="2129"/>
      <c r="B81" s="2131" t="s">
        <v>571</v>
      </c>
      <c r="C81" s="2132"/>
      <c r="D81" s="556">
        <f t="shared" si="8"/>
        <v>1</v>
      </c>
      <c r="E81" s="551">
        <v>1400</v>
      </c>
      <c r="F81" s="2133">
        <v>1</v>
      </c>
      <c r="G81" s="2134"/>
      <c r="H81" s="552"/>
    </row>
    <row r="82" spans="1:22" ht="21.95" hidden="1" customHeight="1" outlineLevel="1">
      <c r="A82" s="2129"/>
      <c r="B82" s="2131" t="s">
        <v>572</v>
      </c>
      <c r="C82" s="2132"/>
      <c r="D82" s="556">
        <f t="shared" si="8"/>
        <v>43</v>
      </c>
      <c r="E82" s="551">
        <v>2856.5</v>
      </c>
      <c r="F82" s="2133">
        <v>15</v>
      </c>
      <c r="G82" s="2134"/>
      <c r="H82" s="552"/>
    </row>
    <row r="83" spans="1:22" ht="21.95" hidden="1" customHeight="1" outlineLevel="1" thickBot="1">
      <c r="A83" s="2129"/>
      <c r="B83" s="2131" t="s">
        <v>573</v>
      </c>
      <c r="C83" s="2132"/>
      <c r="D83" s="556">
        <f t="shared" si="8"/>
        <v>11</v>
      </c>
      <c r="E83" s="551">
        <v>3570</v>
      </c>
      <c r="F83" s="2133">
        <v>3</v>
      </c>
      <c r="G83" s="2134"/>
      <c r="H83" s="552"/>
      <c r="J83" s="557" t="s">
        <v>574</v>
      </c>
    </row>
    <row r="84" spans="1:22" ht="21.95" hidden="1" customHeight="1" outlineLevel="1">
      <c r="A84" s="2129"/>
      <c r="B84" s="2131" t="s">
        <v>575</v>
      </c>
      <c r="C84" s="2132"/>
      <c r="D84" s="556">
        <f t="shared" si="8"/>
        <v>11</v>
      </c>
      <c r="E84" s="551">
        <v>3570</v>
      </c>
      <c r="F84" s="2133">
        <v>3</v>
      </c>
      <c r="G84" s="2134"/>
      <c r="H84" s="552"/>
      <c r="J84" s="558" t="s">
        <v>576</v>
      </c>
      <c r="K84" s="559" t="s">
        <v>577</v>
      </c>
      <c r="L84" s="560" t="s">
        <v>38</v>
      </c>
      <c r="M84" s="560" t="s">
        <v>39</v>
      </c>
      <c r="N84" s="560" t="s">
        <v>40</v>
      </c>
      <c r="O84" s="560" t="s">
        <v>41</v>
      </c>
      <c r="P84" s="560" t="s">
        <v>28</v>
      </c>
      <c r="Q84" s="560" t="s">
        <v>29</v>
      </c>
      <c r="R84" s="561" t="s">
        <v>30</v>
      </c>
      <c r="S84" s="562" t="s">
        <v>31</v>
      </c>
      <c r="T84" s="563" t="s">
        <v>32</v>
      </c>
      <c r="U84" s="560" t="s">
        <v>33</v>
      </c>
      <c r="V84" s="564" t="s">
        <v>34</v>
      </c>
    </row>
    <row r="85" spans="1:22" ht="21.95" hidden="1" customHeight="1" outlineLevel="1">
      <c r="A85" s="2130"/>
      <c r="B85" s="2135" t="s">
        <v>578</v>
      </c>
      <c r="C85" s="2136"/>
      <c r="D85" s="553">
        <f t="shared" si="8"/>
        <v>2</v>
      </c>
      <c r="E85" s="554">
        <v>100</v>
      </c>
      <c r="F85" s="2137">
        <v>15</v>
      </c>
      <c r="G85" s="2138"/>
      <c r="H85" s="555"/>
      <c r="J85" s="565" t="s">
        <v>579</v>
      </c>
      <c r="K85" s="566">
        <v>186</v>
      </c>
      <c r="L85" s="567">
        <v>189</v>
      </c>
      <c r="M85" s="567">
        <v>148</v>
      </c>
      <c r="N85" s="567">
        <v>173</v>
      </c>
      <c r="O85" s="567">
        <v>158</v>
      </c>
      <c r="P85" s="567">
        <v>153</v>
      </c>
      <c r="Q85" s="567">
        <v>159</v>
      </c>
      <c r="R85" s="568">
        <v>177</v>
      </c>
      <c r="S85" s="569">
        <v>189</v>
      </c>
      <c r="T85" s="566">
        <v>139</v>
      </c>
      <c r="U85" s="567">
        <v>237</v>
      </c>
      <c r="V85" s="299">
        <v>22</v>
      </c>
    </row>
    <row r="86" spans="1:22" ht="16.5" hidden="1" customHeight="1" outlineLevel="1">
      <c r="A86" s="2139" t="s">
        <v>569</v>
      </c>
      <c r="B86" s="2139"/>
      <c r="C86" s="2139"/>
      <c r="D86" s="2139"/>
      <c r="E86" s="2139"/>
      <c r="F86" s="2139"/>
      <c r="G86" s="2139"/>
      <c r="H86" s="2139"/>
      <c r="J86" s="570" t="s">
        <v>42</v>
      </c>
      <c r="K86" s="571">
        <v>2</v>
      </c>
      <c r="L86" s="572">
        <v>3</v>
      </c>
      <c r="M86" s="572">
        <v>5</v>
      </c>
      <c r="N86" s="572">
        <v>3</v>
      </c>
      <c r="O86" s="572">
        <v>10</v>
      </c>
      <c r="P86" s="572">
        <v>6</v>
      </c>
      <c r="Q86" s="572">
        <v>3</v>
      </c>
      <c r="R86" s="573">
        <v>10</v>
      </c>
      <c r="S86" s="574">
        <v>5</v>
      </c>
      <c r="T86" s="571">
        <v>7</v>
      </c>
      <c r="U86" s="572">
        <v>3</v>
      </c>
      <c r="V86" s="300">
        <v>2</v>
      </c>
    </row>
    <row r="87" spans="1:22" hidden="1" outlineLevel="1">
      <c r="A87" s="549" t="s">
        <v>703</v>
      </c>
      <c r="B87" s="549"/>
      <c r="J87" s="570" t="s">
        <v>580</v>
      </c>
      <c r="K87" s="575">
        <v>200</v>
      </c>
      <c r="L87" s="576">
        <v>187</v>
      </c>
      <c r="M87" s="576">
        <v>202</v>
      </c>
      <c r="N87" s="576">
        <v>250</v>
      </c>
      <c r="O87" s="576">
        <v>253</v>
      </c>
      <c r="P87" s="576">
        <v>249</v>
      </c>
      <c r="Q87" s="576">
        <v>284</v>
      </c>
      <c r="R87" s="577">
        <v>286</v>
      </c>
      <c r="S87" s="578">
        <v>294</v>
      </c>
      <c r="T87" s="575">
        <v>268</v>
      </c>
      <c r="U87" s="576">
        <v>304</v>
      </c>
      <c r="V87" s="300">
        <v>11</v>
      </c>
    </row>
    <row r="88" spans="1:22" hidden="1" outlineLevel="1">
      <c r="A88" s="549"/>
      <c r="B88" s="549"/>
      <c r="J88" s="570" t="s">
        <v>581</v>
      </c>
      <c r="K88" s="575">
        <v>3020</v>
      </c>
      <c r="L88" s="576">
        <v>3100</v>
      </c>
      <c r="M88" s="576">
        <v>1910</v>
      </c>
      <c r="N88" s="576">
        <v>3757</v>
      </c>
      <c r="O88" s="576">
        <v>4333</v>
      </c>
      <c r="P88" s="576">
        <v>4335</v>
      </c>
      <c r="Q88" s="576">
        <v>5063</v>
      </c>
      <c r="R88" s="577">
        <v>5900</v>
      </c>
      <c r="S88" s="578">
        <v>6120</v>
      </c>
      <c r="T88" s="575">
        <v>4659</v>
      </c>
      <c r="U88" s="576">
        <v>3400</v>
      </c>
      <c r="V88" s="579">
        <v>3302</v>
      </c>
    </row>
    <row r="89" spans="1:22" hidden="1" outlineLevel="1">
      <c r="A89" s="543" t="s">
        <v>771</v>
      </c>
      <c r="B89" s="543"/>
      <c r="D89" s="545"/>
      <c r="E89" s="546"/>
      <c r="F89" s="546"/>
      <c r="G89" s="546"/>
      <c r="J89" s="570" t="s">
        <v>582</v>
      </c>
      <c r="K89" s="571">
        <v>17</v>
      </c>
      <c r="L89" s="572">
        <v>28</v>
      </c>
      <c r="M89" s="572">
        <v>18</v>
      </c>
      <c r="N89" s="572">
        <v>23</v>
      </c>
      <c r="O89" s="572">
        <v>25</v>
      </c>
      <c r="P89" s="572">
        <v>26</v>
      </c>
      <c r="Q89" s="572">
        <v>25</v>
      </c>
      <c r="R89" s="573">
        <v>23</v>
      </c>
      <c r="S89" s="574">
        <v>24</v>
      </c>
      <c r="T89" s="571">
        <v>22</v>
      </c>
      <c r="U89" s="572">
        <v>25</v>
      </c>
      <c r="V89" s="579">
        <v>180</v>
      </c>
    </row>
    <row r="90" spans="1:22" ht="36" hidden="1" outlineLevel="1">
      <c r="A90" s="2086" t="s">
        <v>562</v>
      </c>
      <c r="B90" s="2087"/>
      <c r="C90" s="2088"/>
      <c r="D90" s="547" t="s">
        <v>563</v>
      </c>
      <c r="E90" s="580" t="s">
        <v>583</v>
      </c>
      <c r="F90" s="547" t="s">
        <v>584</v>
      </c>
      <c r="G90" s="547" t="s">
        <v>585</v>
      </c>
      <c r="H90" s="548" t="s">
        <v>566</v>
      </c>
      <c r="J90" s="570" t="s">
        <v>586</v>
      </c>
      <c r="K90" s="571">
        <v>8</v>
      </c>
      <c r="L90" s="572">
        <v>12</v>
      </c>
      <c r="M90" s="572">
        <v>7</v>
      </c>
      <c r="N90" s="572">
        <v>11</v>
      </c>
      <c r="O90" s="572">
        <v>15</v>
      </c>
      <c r="P90" s="572">
        <v>13</v>
      </c>
      <c r="Q90" s="572">
        <v>17</v>
      </c>
      <c r="R90" s="573">
        <v>17</v>
      </c>
      <c r="S90" s="574">
        <v>13</v>
      </c>
      <c r="T90" s="571">
        <v>12</v>
      </c>
      <c r="U90" s="572">
        <v>13</v>
      </c>
      <c r="V90" s="579">
        <v>294</v>
      </c>
    </row>
    <row r="91" spans="1:22" ht="21.95" hidden="1" customHeight="1" outlineLevel="1">
      <c r="A91" s="2140" t="s">
        <v>587</v>
      </c>
      <c r="B91" s="2141"/>
      <c r="C91" s="2142"/>
      <c r="D91" s="581">
        <f>E91*F91*G91</f>
        <v>249.1875</v>
      </c>
      <c r="E91" s="582">
        <f>S92</f>
        <v>221.5</v>
      </c>
      <c r="F91" s="583">
        <v>0.9</v>
      </c>
      <c r="G91" s="584">
        <v>1.25</v>
      </c>
      <c r="H91" s="585" t="s">
        <v>588</v>
      </c>
      <c r="J91" s="586" t="s">
        <v>589</v>
      </c>
      <c r="K91" s="587">
        <f>SUM(K85:K90)</f>
        <v>3433</v>
      </c>
      <c r="L91" s="588">
        <f t="shared" ref="L91:V91" si="9">SUM(L85:L90)</f>
        <v>3519</v>
      </c>
      <c r="M91" s="588">
        <f t="shared" si="9"/>
        <v>2290</v>
      </c>
      <c r="N91" s="588">
        <f t="shared" si="9"/>
        <v>4217</v>
      </c>
      <c r="O91" s="588">
        <f t="shared" si="9"/>
        <v>4794</v>
      </c>
      <c r="P91" s="588">
        <f t="shared" si="9"/>
        <v>4782</v>
      </c>
      <c r="Q91" s="588">
        <f t="shared" si="9"/>
        <v>5551</v>
      </c>
      <c r="R91" s="589">
        <f t="shared" si="9"/>
        <v>6413</v>
      </c>
      <c r="S91" s="590">
        <f t="shared" si="9"/>
        <v>6645</v>
      </c>
      <c r="T91" s="587">
        <f t="shared" si="9"/>
        <v>5107</v>
      </c>
      <c r="U91" s="588">
        <f t="shared" si="9"/>
        <v>3982</v>
      </c>
      <c r="V91" s="591">
        <f t="shared" si="9"/>
        <v>3811</v>
      </c>
    </row>
    <row r="92" spans="1:22" ht="17.25" hidden="1" outlineLevel="1" thickBot="1">
      <c r="A92" s="549" t="s">
        <v>590</v>
      </c>
      <c r="B92" s="549"/>
      <c r="J92" s="592" t="s">
        <v>591</v>
      </c>
      <c r="K92" s="593">
        <f t="shared" ref="K92:V92" si="10">ROUND(K91/K93,1)</f>
        <v>110.7</v>
      </c>
      <c r="L92" s="594">
        <f t="shared" si="10"/>
        <v>125.7</v>
      </c>
      <c r="M92" s="594">
        <f t="shared" si="10"/>
        <v>73.900000000000006</v>
      </c>
      <c r="N92" s="594">
        <f t="shared" si="10"/>
        <v>140.6</v>
      </c>
      <c r="O92" s="594">
        <f t="shared" si="10"/>
        <v>154.6</v>
      </c>
      <c r="P92" s="594">
        <f t="shared" si="10"/>
        <v>159.4</v>
      </c>
      <c r="Q92" s="594">
        <f t="shared" si="10"/>
        <v>179.1</v>
      </c>
      <c r="R92" s="595">
        <f t="shared" si="10"/>
        <v>206.9</v>
      </c>
      <c r="S92" s="596">
        <f t="shared" si="10"/>
        <v>221.5</v>
      </c>
      <c r="T92" s="593">
        <f t="shared" si="10"/>
        <v>164.7</v>
      </c>
      <c r="U92" s="594">
        <f t="shared" si="10"/>
        <v>132.69999999999999</v>
      </c>
      <c r="V92" s="597">
        <f t="shared" si="10"/>
        <v>122.9</v>
      </c>
    </row>
    <row r="93" spans="1:22" hidden="1" outlineLevel="1">
      <c r="K93" s="598">
        <v>31</v>
      </c>
      <c r="L93" s="598">
        <v>28</v>
      </c>
      <c r="M93" s="598">
        <v>31</v>
      </c>
      <c r="N93" s="598">
        <v>30</v>
      </c>
      <c r="O93" s="598">
        <v>31</v>
      </c>
      <c r="P93" s="598">
        <v>30</v>
      </c>
      <c r="Q93" s="598">
        <v>31</v>
      </c>
      <c r="R93" s="598">
        <v>31</v>
      </c>
      <c r="S93" s="598">
        <v>30</v>
      </c>
      <c r="T93" s="598">
        <v>31</v>
      </c>
      <c r="U93" s="598">
        <v>30</v>
      </c>
      <c r="V93" s="598">
        <v>31</v>
      </c>
    </row>
    <row r="94" spans="1:22" ht="17.25" hidden="1" outlineLevel="1" thickBot="1">
      <c r="A94" s="543" t="s">
        <v>772</v>
      </c>
      <c r="B94" s="543"/>
      <c r="D94" s="545"/>
      <c r="E94" s="546"/>
      <c r="F94" s="546"/>
      <c r="G94" s="546"/>
      <c r="J94" s="599" t="s">
        <v>592</v>
      </c>
      <c r="K94" s="598"/>
      <c r="L94" s="598"/>
      <c r="M94" s="598"/>
      <c r="N94" s="598"/>
      <c r="O94" s="598"/>
      <c r="P94" s="598"/>
      <c r="Q94" s="598"/>
      <c r="R94" s="598"/>
      <c r="S94" s="598"/>
      <c r="T94" s="598"/>
      <c r="U94" s="598"/>
      <c r="V94" s="598"/>
    </row>
    <row r="95" spans="1:22" ht="26.25" hidden="1" customHeight="1" outlineLevel="1">
      <c r="A95" s="2086" t="s">
        <v>562</v>
      </c>
      <c r="B95" s="2087"/>
      <c r="C95" s="2088"/>
      <c r="D95" s="547" t="s">
        <v>593</v>
      </c>
      <c r="E95" s="600" t="s">
        <v>594</v>
      </c>
      <c r="F95" s="2143" t="s">
        <v>595</v>
      </c>
      <c r="G95" s="2144"/>
      <c r="H95" s="548" t="s">
        <v>566</v>
      </c>
      <c r="J95" s="559" t="s">
        <v>576</v>
      </c>
      <c r="K95" s="560" t="s">
        <v>577</v>
      </c>
      <c r="L95" s="560" t="s">
        <v>38</v>
      </c>
      <c r="M95" s="560" t="s">
        <v>39</v>
      </c>
      <c r="N95" s="560" t="s">
        <v>40</v>
      </c>
      <c r="O95" s="560" t="s">
        <v>41</v>
      </c>
      <c r="P95" s="561" t="s">
        <v>28</v>
      </c>
      <c r="Q95" s="562" t="s">
        <v>29</v>
      </c>
      <c r="R95" s="563" t="s">
        <v>30</v>
      </c>
      <c r="S95" s="560" t="s">
        <v>31</v>
      </c>
      <c r="T95" s="560" t="s">
        <v>32</v>
      </c>
      <c r="U95" s="560" t="s">
        <v>33</v>
      </c>
      <c r="V95" s="564" t="s">
        <v>34</v>
      </c>
    </row>
    <row r="96" spans="1:22" ht="21.95" hidden="1" customHeight="1" outlineLevel="1">
      <c r="A96" s="2140" t="s">
        <v>596</v>
      </c>
      <c r="B96" s="2141"/>
      <c r="C96" s="2142"/>
      <c r="D96" s="601">
        <f>ROUND(E96/F96,-1)</f>
        <v>160</v>
      </c>
      <c r="E96" s="602">
        <v>47028</v>
      </c>
      <c r="F96" s="2150">
        <v>295</v>
      </c>
      <c r="G96" s="2151"/>
      <c r="H96" s="585" t="s">
        <v>597</v>
      </c>
      <c r="J96" s="603" t="s">
        <v>589</v>
      </c>
      <c r="K96" s="604">
        <v>227</v>
      </c>
      <c r="L96" s="604">
        <v>228</v>
      </c>
      <c r="M96" s="604">
        <v>140</v>
      </c>
      <c r="N96" s="604">
        <v>237</v>
      </c>
      <c r="O96" s="604">
        <v>321</v>
      </c>
      <c r="P96" s="605">
        <v>304</v>
      </c>
      <c r="Q96" s="606">
        <v>411</v>
      </c>
      <c r="R96" s="607">
        <v>222</v>
      </c>
      <c r="S96" s="604">
        <v>244</v>
      </c>
      <c r="T96" s="604">
        <v>344</v>
      </c>
      <c r="U96" s="604">
        <v>308</v>
      </c>
      <c r="V96" s="608">
        <v>386</v>
      </c>
    </row>
    <row r="97" spans="1:22" ht="17.25" hidden="1" outlineLevel="1" thickBot="1">
      <c r="A97" s="549" t="s">
        <v>701</v>
      </c>
      <c r="B97" s="549"/>
      <c r="J97" s="609" t="s">
        <v>591</v>
      </c>
      <c r="K97" s="594">
        <f t="shared" ref="K97:V97" si="11">ROUND(K96/K98,1)</f>
        <v>7.3</v>
      </c>
      <c r="L97" s="594">
        <f t="shared" si="11"/>
        <v>8.1</v>
      </c>
      <c r="M97" s="594">
        <f t="shared" si="11"/>
        <v>4.5</v>
      </c>
      <c r="N97" s="594">
        <f t="shared" si="11"/>
        <v>7.9</v>
      </c>
      <c r="O97" s="594">
        <f t="shared" si="11"/>
        <v>10.4</v>
      </c>
      <c r="P97" s="595">
        <f t="shared" si="11"/>
        <v>10.1</v>
      </c>
      <c r="Q97" s="596">
        <f t="shared" si="11"/>
        <v>13.3</v>
      </c>
      <c r="R97" s="593">
        <f t="shared" si="11"/>
        <v>7.2</v>
      </c>
      <c r="S97" s="594">
        <f t="shared" si="11"/>
        <v>8.1</v>
      </c>
      <c r="T97" s="594">
        <f t="shared" si="11"/>
        <v>11.1</v>
      </c>
      <c r="U97" s="594">
        <f t="shared" si="11"/>
        <v>10.3</v>
      </c>
      <c r="V97" s="597">
        <f t="shared" si="11"/>
        <v>12.5</v>
      </c>
    </row>
    <row r="98" spans="1:22" hidden="1" outlineLevel="1">
      <c r="K98" s="598">
        <v>31</v>
      </c>
      <c r="L98" s="598">
        <v>28</v>
      </c>
      <c r="M98" s="598">
        <v>31</v>
      </c>
      <c r="N98" s="598">
        <v>30</v>
      </c>
      <c r="O98" s="598">
        <v>31</v>
      </c>
      <c r="P98" s="598">
        <v>30</v>
      </c>
      <c r="Q98" s="598">
        <v>31</v>
      </c>
      <c r="R98" s="598">
        <v>31</v>
      </c>
      <c r="S98" s="598">
        <v>30</v>
      </c>
      <c r="T98" s="598">
        <v>31</v>
      </c>
      <c r="U98" s="598">
        <v>30</v>
      </c>
      <c r="V98" s="598">
        <v>31</v>
      </c>
    </row>
    <row r="99" spans="1:22" ht="17.25" hidden="1" outlineLevel="1" thickBot="1">
      <c r="A99" s="543" t="s">
        <v>773</v>
      </c>
      <c r="B99" s="543"/>
      <c r="D99" s="545"/>
      <c r="E99" s="546"/>
      <c r="F99" s="546"/>
      <c r="G99" s="546"/>
      <c r="J99" s="599" t="s">
        <v>592</v>
      </c>
      <c r="K99" s="598"/>
      <c r="L99" s="598"/>
      <c r="M99" s="598"/>
      <c r="N99" s="598"/>
      <c r="O99" s="598"/>
      <c r="P99" s="598"/>
      <c r="Q99" s="598"/>
      <c r="R99" s="598"/>
      <c r="S99" s="598"/>
      <c r="T99" s="598"/>
      <c r="U99" s="598"/>
      <c r="V99" s="598"/>
    </row>
    <row r="100" spans="1:22" ht="36" hidden="1" outlineLevel="1">
      <c r="A100" s="2086" t="s">
        <v>562</v>
      </c>
      <c r="B100" s="2087"/>
      <c r="C100" s="2088"/>
      <c r="D100" s="547" t="s">
        <v>563</v>
      </c>
      <c r="E100" s="580" t="s">
        <v>583</v>
      </c>
      <c r="F100" s="547" t="s">
        <v>584</v>
      </c>
      <c r="G100" s="547" t="s">
        <v>585</v>
      </c>
      <c r="H100" s="548" t="s">
        <v>566</v>
      </c>
      <c r="J100" s="559" t="s">
        <v>576</v>
      </c>
      <c r="K100" s="560" t="s">
        <v>577</v>
      </c>
      <c r="L100" s="560" t="s">
        <v>38</v>
      </c>
      <c r="M100" s="560" t="s">
        <v>39</v>
      </c>
      <c r="N100" s="560" t="s">
        <v>40</v>
      </c>
      <c r="O100" s="560" t="s">
        <v>41</v>
      </c>
      <c r="P100" s="561" t="s">
        <v>28</v>
      </c>
      <c r="Q100" s="562" t="s">
        <v>29</v>
      </c>
      <c r="R100" s="563" t="s">
        <v>30</v>
      </c>
      <c r="S100" s="560" t="s">
        <v>31</v>
      </c>
      <c r="T100" s="560" t="s">
        <v>32</v>
      </c>
      <c r="U100" s="560" t="s">
        <v>33</v>
      </c>
      <c r="V100" s="564" t="s">
        <v>34</v>
      </c>
    </row>
    <row r="101" spans="1:22" ht="21.95" hidden="1" customHeight="1" outlineLevel="1">
      <c r="A101" s="2140" t="s">
        <v>598</v>
      </c>
      <c r="B101" s="2141"/>
      <c r="C101" s="2142"/>
      <c r="D101" s="581">
        <f>E101*F101*G101</f>
        <v>14.9625</v>
      </c>
      <c r="E101" s="582">
        <f>Q102</f>
        <v>13.3</v>
      </c>
      <c r="F101" s="583">
        <v>0.9</v>
      </c>
      <c r="G101" s="584">
        <v>1.25</v>
      </c>
      <c r="H101" s="585" t="s">
        <v>599</v>
      </c>
      <c r="J101" s="603" t="s">
        <v>589</v>
      </c>
      <c r="K101" s="604">
        <v>227</v>
      </c>
      <c r="L101" s="604">
        <v>228</v>
      </c>
      <c r="M101" s="604">
        <v>140</v>
      </c>
      <c r="N101" s="604">
        <v>237</v>
      </c>
      <c r="O101" s="604">
        <v>321</v>
      </c>
      <c r="P101" s="605">
        <v>304</v>
      </c>
      <c r="Q101" s="606">
        <v>411</v>
      </c>
      <c r="R101" s="607">
        <v>222</v>
      </c>
      <c r="S101" s="604">
        <v>244</v>
      </c>
      <c r="T101" s="604">
        <v>344</v>
      </c>
      <c r="U101" s="604">
        <v>308</v>
      </c>
      <c r="V101" s="608">
        <v>386</v>
      </c>
    </row>
    <row r="102" spans="1:22" ht="17.25" hidden="1" outlineLevel="1" thickBot="1">
      <c r="A102" s="549" t="s">
        <v>590</v>
      </c>
      <c r="B102" s="549"/>
      <c r="J102" s="609" t="s">
        <v>591</v>
      </c>
      <c r="K102" s="594">
        <f t="shared" ref="K102:V102" si="12">ROUND(K101/K103,1)</f>
        <v>7.3</v>
      </c>
      <c r="L102" s="594">
        <f t="shared" si="12"/>
        <v>8.1</v>
      </c>
      <c r="M102" s="594">
        <f t="shared" si="12"/>
        <v>4.5</v>
      </c>
      <c r="N102" s="594">
        <f t="shared" si="12"/>
        <v>7.9</v>
      </c>
      <c r="O102" s="594">
        <f t="shared" si="12"/>
        <v>10.4</v>
      </c>
      <c r="P102" s="595">
        <f t="shared" si="12"/>
        <v>10.1</v>
      </c>
      <c r="Q102" s="596">
        <f t="shared" si="12"/>
        <v>13.3</v>
      </c>
      <c r="R102" s="593">
        <f t="shared" si="12"/>
        <v>7.2</v>
      </c>
      <c r="S102" s="594">
        <f t="shared" si="12"/>
        <v>8.1</v>
      </c>
      <c r="T102" s="594">
        <f t="shared" si="12"/>
        <v>11.1</v>
      </c>
      <c r="U102" s="594">
        <f t="shared" si="12"/>
        <v>10.3</v>
      </c>
      <c r="V102" s="597">
        <f t="shared" si="12"/>
        <v>12.5</v>
      </c>
    </row>
    <row r="103" spans="1:22" hidden="1" outlineLevel="1">
      <c r="K103" s="598">
        <v>31</v>
      </c>
      <c r="L103" s="598">
        <v>28</v>
      </c>
      <c r="M103" s="598">
        <v>31</v>
      </c>
      <c r="N103" s="598">
        <v>30</v>
      </c>
      <c r="O103" s="598">
        <v>31</v>
      </c>
      <c r="P103" s="598">
        <v>30</v>
      </c>
      <c r="Q103" s="598">
        <v>31</v>
      </c>
      <c r="R103" s="598">
        <v>31</v>
      </c>
      <c r="S103" s="598">
        <v>30</v>
      </c>
      <c r="T103" s="598">
        <v>31</v>
      </c>
      <c r="U103" s="598">
        <v>30</v>
      </c>
      <c r="V103" s="598">
        <v>31</v>
      </c>
    </row>
    <row r="104" spans="1:22" hidden="1" outlineLevel="1">
      <c r="A104" s="543" t="s">
        <v>774</v>
      </c>
      <c r="B104" s="543"/>
      <c r="D104" s="545"/>
      <c r="E104" s="546"/>
      <c r="F104" s="546"/>
      <c r="G104" s="546"/>
    </row>
    <row r="105" spans="1:22" ht="43.5" hidden="1" customHeight="1" outlineLevel="1">
      <c r="A105" s="2086" t="s">
        <v>562</v>
      </c>
      <c r="B105" s="2087"/>
      <c r="C105" s="2088"/>
      <c r="D105" s="547" t="s">
        <v>563</v>
      </c>
      <c r="E105" s="547" t="s">
        <v>600</v>
      </c>
      <c r="F105" s="2089" t="s">
        <v>601</v>
      </c>
      <c r="G105" s="2087"/>
      <c r="H105" s="548" t="s">
        <v>566</v>
      </c>
      <c r="J105" s="544">
        <v>110.7</v>
      </c>
    </row>
    <row r="106" spans="1:22" ht="21.95" hidden="1" customHeight="1" outlineLevel="1">
      <c r="A106" s="2129" t="s">
        <v>567</v>
      </c>
      <c r="B106" s="2118" t="s">
        <v>568</v>
      </c>
      <c r="C106" s="2119"/>
      <c r="D106" s="550">
        <f>SUM(D107:D110)</f>
        <v>112</v>
      </c>
      <c r="E106" s="551">
        <f>SUM(E107:E110)</f>
        <v>12518.980000000001</v>
      </c>
      <c r="F106" s="2120"/>
      <c r="G106" s="2121"/>
      <c r="H106" s="552"/>
      <c r="J106" s="544">
        <v>125.7</v>
      </c>
    </row>
    <row r="107" spans="1:22" ht="21.95" hidden="1" customHeight="1" outlineLevel="1">
      <c r="A107" s="2129"/>
      <c r="B107" s="2131" t="s">
        <v>602</v>
      </c>
      <c r="C107" s="2132"/>
      <c r="D107" s="556">
        <f>ROUND(E107*F107/1000,0)</f>
        <v>65</v>
      </c>
      <c r="E107" s="551">
        <v>8166.85</v>
      </c>
      <c r="F107" s="2133">
        <v>8</v>
      </c>
      <c r="G107" s="2134"/>
      <c r="H107" s="552"/>
      <c r="J107" s="544">
        <v>73.900000000000006</v>
      </c>
      <c r="N107" s="686" t="s">
        <v>15</v>
      </c>
      <c r="O107" s="686" t="s">
        <v>579</v>
      </c>
      <c r="P107" s="686" t="s">
        <v>42</v>
      </c>
      <c r="Q107" s="686" t="s">
        <v>580</v>
      </c>
      <c r="R107" s="686" t="s">
        <v>581</v>
      </c>
      <c r="S107" s="686" t="s">
        <v>582</v>
      </c>
      <c r="T107" s="686" t="s">
        <v>586</v>
      </c>
      <c r="U107" s="686" t="s">
        <v>699</v>
      </c>
      <c r="V107" s="686" t="s">
        <v>384</v>
      </c>
    </row>
    <row r="108" spans="1:22" ht="21.95" hidden="1" customHeight="1" outlineLevel="1">
      <c r="A108" s="2129"/>
      <c r="B108" s="2131" t="s">
        <v>603</v>
      </c>
      <c r="C108" s="2132"/>
      <c r="D108" s="556">
        <f>ROUND(E108*F108/1000,0)</f>
        <v>10</v>
      </c>
      <c r="E108" s="551">
        <v>1047.8499999999999</v>
      </c>
      <c r="F108" s="2133">
        <v>10</v>
      </c>
      <c r="G108" s="2134"/>
      <c r="H108" s="552"/>
      <c r="J108" s="544">
        <v>140.6</v>
      </c>
      <c r="N108" s="686" t="s">
        <v>700</v>
      </c>
      <c r="O108" s="687">
        <v>186</v>
      </c>
      <c r="P108" s="687">
        <v>2</v>
      </c>
      <c r="Q108" s="687">
        <v>200</v>
      </c>
      <c r="R108" s="687">
        <v>3020</v>
      </c>
      <c r="S108" s="687">
        <v>17</v>
      </c>
      <c r="T108" s="687">
        <v>8</v>
      </c>
      <c r="U108" s="687">
        <v>3433</v>
      </c>
      <c r="V108" s="687">
        <v>110.7</v>
      </c>
    </row>
    <row r="109" spans="1:22" ht="21.95" hidden="1" customHeight="1" outlineLevel="1">
      <c r="A109" s="2129"/>
      <c r="B109" s="2131" t="s">
        <v>604</v>
      </c>
      <c r="C109" s="2132"/>
      <c r="D109" s="556">
        <f>ROUND(E109*F109/1000,0)</f>
        <v>17</v>
      </c>
      <c r="E109" s="610">
        <v>576</v>
      </c>
      <c r="F109" s="2133">
        <v>30</v>
      </c>
      <c r="G109" s="2134"/>
      <c r="H109" s="552"/>
      <c r="J109" s="544">
        <v>154.6</v>
      </c>
      <c r="N109" s="686" t="s">
        <v>38</v>
      </c>
      <c r="O109" s="687">
        <v>189</v>
      </c>
      <c r="P109" s="687">
        <v>3</v>
      </c>
      <c r="Q109" s="687">
        <v>187</v>
      </c>
      <c r="R109" s="687">
        <v>3100</v>
      </c>
      <c r="S109" s="687">
        <v>28</v>
      </c>
      <c r="T109" s="687">
        <v>12</v>
      </c>
      <c r="U109" s="687">
        <v>3519</v>
      </c>
      <c r="V109" s="687">
        <v>125.7</v>
      </c>
    </row>
    <row r="110" spans="1:22" ht="21.95" hidden="1" customHeight="1" outlineLevel="1">
      <c r="A110" s="2130"/>
      <c r="B110" s="2135" t="s">
        <v>605</v>
      </c>
      <c r="C110" s="2136"/>
      <c r="D110" s="553">
        <f>ROUND(E110*F110/1000,0)</f>
        <v>20</v>
      </c>
      <c r="E110" s="554">
        <v>2728.28</v>
      </c>
      <c r="F110" s="2160">
        <v>7.5</v>
      </c>
      <c r="G110" s="2161"/>
      <c r="H110" s="555"/>
      <c r="J110" s="544">
        <v>159.4</v>
      </c>
      <c r="N110" s="686" t="s">
        <v>39</v>
      </c>
      <c r="O110" s="687">
        <v>148</v>
      </c>
      <c r="P110" s="687">
        <v>5</v>
      </c>
      <c r="Q110" s="687">
        <v>202</v>
      </c>
      <c r="R110" s="687">
        <v>1910</v>
      </c>
      <c r="S110" s="687">
        <v>18</v>
      </c>
      <c r="T110" s="687">
        <v>7</v>
      </c>
      <c r="U110" s="687">
        <v>2290</v>
      </c>
      <c r="V110" s="687">
        <v>73.900000000000006</v>
      </c>
    </row>
    <row r="111" spans="1:22" ht="16.5" hidden="1" customHeight="1" outlineLevel="1">
      <c r="A111" s="2139" t="s">
        <v>569</v>
      </c>
      <c r="B111" s="2139"/>
      <c r="C111" s="2139"/>
      <c r="D111" s="2139"/>
      <c r="E111" s="2139"/>
      <c r="F111" s="2139"/>
      <c r="G111" s="2139"/>
      <c r="H111" s="2139"/>
      <c r="J111" s="544">
        <v>179.1</v>
      </c>
      <c r="N111" s="686" t="s">
        <v>40</v>
      </c>
      <c r="O111" s="687">
        <v>173</v>
      </c>
      <c r="P111" s="687">
        <v>3</v>
      </c>
      <c r="Q111" s="687">
        <v>250</v>
      </c>
      <c r="R111" s="687">
        <v>3757</v>
      </c>
      <c r="S111" s="687">
        <v>23</v>
      </c>
      <c r="T111" s="687">
        <v>11</v>
      </c>
      <c r="U111" s="687">
        <v>4217</v>
      </c>
      <c r="V111" s="687">
        <v>140.6</v>
      </c>
    </row>
    <row r="112" spans="1:22" hidden="1" outlineLevel="1">
      <c r="A112" s="549" t="s">
        <v>704</v>
      </c>
      <c r="B112" s="549"/>
      <c r="J112" s="544">
        <v>206.9</v>
      </c>
      <c r="N112" s="686" t="s">
        <v>41</v>
      </c>
      <c r="O112" s="687">
        <v>158</v>
      </c>
      <c r="P112" s="687">
        <v>10</v>
      </c>
      <c r="Q112" s="687">
        <v>253</v>
      </c>
      <c r="R112" s="687">
        <v>4333</v>
      </c>
      <c r="S112" s="687">
        <v>25</v>
      </c>
      <c r="T112" s="687">
        <v>15</v>
      </c>
      <c r="U112" s="687">
        <v>4794</v>
      </c>
      <c r="V112" s="687">
        <v>154.6</v>
      </c>
    </row>
    <row r="113" spans="1:22" hidden="1" outlineLevel="1">
      <c r="A113" s="543" t="s">
        <v>775</v>
      </c>
      <c r="B113" s="543"/>
      <c r="D113" s="545"/>
      <c r="E113" s="546"/>
      <c r="F113" s="546"/>
      <c r="G113" s="546"/>
      <c r="J113" s="544">
        <v>221.5</v>
      </c>
      <c r="N113" s="686" t="s">
        <v>28</v>
      </c>
      <c r="O113" s="687">
        <v>153</v>
      </c>
      <c r="P113" s="687">
        <v>6</v>
      </c>
      <c r="Q113" s="687">
        <v>249</v>
      </c>
      <c r="R113" s="687">
        <v>4335</v>
      </c>
      <c r="S113" s="687">
        <v>26</v>
      </c>
      <c r="T113" s="687">
        <v>13</v>
      </c>
      <c r="U113" s="687">
        <v>4782</v>
      </c>
      <c r="V113" s="687">
        <v>159.4</v>
      </c>
    </row>
    <row r="114" spans="1:22" ht="30" hidden="1" customHeight="1" outlineLevel="1">
      <c r="A114" s="2086" t="s">
        <v>562</v>
      </c>
      <c r="B114" s="2087"/>
      <c r="C114" s="2088"/>
      <c r="D114" s="547" t="s">
        <v>563</v>
      </c>
      <c r="E114" s="547" t="s">
        <v>564</v>
      </c>
      <c r="F114" s="2089" t="s">
        <v>734</v>
      </c>
      <c r="G114" s="2087"/>
      <c r="H114" s="548" t="s">
        <v>566</v>
      </c>
      <c r="J114" s="544">
        <v>164.7</v>
      </c>
      <c r="N114" s="686" t="s">
        <v>29</v>
      </c>
      <c r="O114" s="687">
        <v>159</v>
      </c>
      <c r="P114" s="687">
        <v>3</v>
      </c>
      <c r="Q114" s="687">
        <v>284</v>
      </c>
      <c r="R114" s="687">
        <v>5063</v>
      </c>
      <c r="S114" s="687">
        <v>25</v>
      </c>
      <c r="T114" s="687">
        <v>17</v>
      </c>
      <c r="U114" s="687">
        <v>5551</v>
      </c>
      <c r="V114" s="687">
        <v>179.1</v>
      </c>
    </row>
    <row r="115" spans="1:22" ht="18" hidden="1" customHeight="1" outlineLevel="1">
      <c r="A115" s="2147" t="s">
        <v>567</v>
      </c>
      <c r="B115" s="2118" t="s">
        <v>606</v>
      </c>
      <c r="C115" s="2119"/>
      <c r="D115" s="550" t="e">
        <f>+D117+D120</f>
        <v>#REF!</v>
      </c>
      <c r="E115" s="550" t="e">
        <f>SUM(E116:E120)</f>
        <v>#REF!</v>
      </c>
      <c r="F115" s="2120"/>
      <c r="G115" s="2121"/>
      <c r="H115" s="552"/>
      <c r="J115" s="544">
        <v>132.69999999999999</v>
      </c>
      <c r="N115" s="686" t="s">
        <v>30</v>
      </c>
      <c r="O115" s="687">
        <v>177</v>
      </c>
      <c r="P115" s="687">
        <v>10</v>
      </c>
      <c r="Q115" s="687">
        <v>286</v>
      </c>
      <c r="R115" s="687">
        <v>5900</v>
      </c>
      <c r="S115" s="687">
        <v>23</v>
      </c>
      <c r="T115" s="687">
        <v>17</v>
      </c>
      <c r="U115" s="687">
        <v>6413</v>
      </c>
      <c r="V115" s="687">
        <v>206.9</v>
      </c>
    </row>
    <row r="116" spans="1:22" ht="18" hidden="1" customHeight="1" outlineLevel="1">
      <c r="A116" s="2148"/>
      <c r="B116" s="2162" t="s">
        <v>729</v>
      </c>
      <c r="C116" s="611" t="s">
        <v>730</v>
      </c>
      <c r="D116" s="556" t="e">
        <f>+#REF!</f>
        <v>#REF!</v>
      </c>
      <c r="E116" s="696" t="e">
        <f>+#REF!</f>
        <v>#REF!</v>
      </c>
      <c r="F116" s="2133">
        <v>0</v>
      </c>
      <c r="G116" s="2134"/>
      <c r="H116" s="552"/>
      <c r="J116" s="544">
        <v>122.9</v>
      </c>
      <c r="N116" s="686" t="s">
        <v>31</v>
      </c>
      <c r="O116" s="687">
        <v>189</v>
      </c>
      <c r="P116" s="687">
        <v>5</v>
      </c>
      <c r="Q116" s="687">
        <v>294</v>
      </c>
      <c r="R116" s="687">
        <v>6120</v>
      </c>
      <c r="S116" s="687">
        <v>24</v>
      </c>
      <c r="T116" s="687">
        <v>13</v>
      </c>
      <c r="U116" s="687">
        <v>6645</v>
      </c>
      <c r="V116" s="687">
        <v>221.5</v>
      </c>
    </row>
    <row r="117" spans="1:22" ht="18" hidden="1" customHeight="1" outlineLevel="1">
      <c r="A117" s="2148"/>
      <c r="B117" s="2163"/>
      <c r="C117" s="611" t="s">
        <v>552</v>
      </c>
      <c r="D117" s="550" t="e">
        <f>+D116</f>
        <v>#REF!</v>
      </c>
      <c r="E117" s="550" t="e">
        <f>+E116</f>
        <v>#REF!</v>
      </c>
      <c r="F117" s="2133">
        <v>0</v>
      </c>
      <c r="G117" s="2134"/>
      <c r="H117" s="552"/>
      <c r="N117" s="686" t="s">
        <v>32</v>
      </c>
      <c r="O117" s="687">
        <v>139</v>
      </c>
      <c r="P117" s="687">
        <v>7</v>
      </c>
      <c r="Q117" s="687">
        <v>268</v>
      </c>
      <c r="R117" s="687">
        <v>4659</v>
      </c>
      <c r="S117" s="687">
        <v>22</v>
      </c>
      <c r="T117" s="687">
        <v>12</v>
      </c>
      <c r="U117" s="687">
        <v>5107</v>
      </c>
      <c r="V117" s="687">
        <v>164.7</v>
      </c>
    </row>
    <row r="118" spans="1:22" ht="18" hidden="1" customHeight="1" outlineLevel="1">
      <c r="A118" s="2148"/>
      <c r="B118" s="2145" t="s">
        <v>731</v>
      </c>
      <c r="C118" s="611" t="s">
        <v>732</v>
      </c>
      <c r="D118" s="556" t="e">
        <f>+#REF!</f>
        <v>#REF!</v>
      </c>
      <c r="E118" s="696" t="e">
        <f>+#REF!</f>
        <v>#REF!</v>
      </c>
      <c r="F118" s="2133">
        <v>0</v>
      </c>
      <c r="G118" s="2134"/>
      <c r="H118" s="552"/>
      <c r="N118" s="686" t="s">
        <v>33</v>
      </c>
      <c r="O118" s="687">
        <v>237</v>
      </c>
      <c r="P118" s="687">
        <v>3</v>
      </c>
      <c r="Q118" s="687">
        <v>304</v>
      </c>
      <c r="R118" s="687">
        <v>3400</v>
      </c>
      <c r="S118" s="687">
        <v>25</v>
      </c>
      <c r="T118" s="687">
        <v>13</v>
      </c>
      <c r="U118" s="687">
        <v>3982</v>
      </c>
      <c r="V118" s="687">
        <v>132.69999999999999</v>
      </c>
    </row>
    <row r="119" spans="1:22" ht="18" hidden="1" customHeight="1" outlineLevel="1">
      <c r="A119" s="2148"/>
      <c r="B119" s="2146"/>
      <c r="C119" s="611" t="s">
        <v>733</v>
      </c>
      <c r="D119" s="556" t="e">
        <f>+#REF!</f>
        <v>#REF!</v>
      </c>
      <c r="E119" s="696" t="e">
        <f>+#REF!</f>
        <v>#REF!</v>
      </c>
      <c r="F119" s="2133">
        <v>0</v>
      </c>
      <c r="G119" s="2134"/>
      <c r="H119" s="552"/>
      <c r="N119" s="686" t="s">
        <v>34</v>
      </c>
      <c r="O119" s="687">
        <v>22</v>
      </c>
      <c r="P119" s="687">
        <v>2</v>
      </c>
      <c r="Q119" s="687">
        <v>11</v>
      </c>
      <c r="R119" s="687">
        <v>3302</v>
      </c>
      <c r="S119" s="687">
        <v>180</v>
      </c>
      <c r="T119" s="687">
        <v>294</v>
      </c>
      <c r="U119" s="687">
        <v>3811</v>
      </c>
      <c r="V119" s="687">
        <v>122.9</v>
      </c>
    </row>
    <row r="120" spans="1:22" ht="18" hidden="1" customHeight="1" outlineLevel="1">
      <c r="A120" s="2149"/>
      <c r="B120" s="2146"/>
      <c r="C120" s="611" t="s">
        <v>552</v>
      </c>
      <c r="D120" s="550" t="e">
        <f>+D118+D119</f>
        <v>#REF!</v>
      </c>
      <c r="E120" s="550" t="e">
        <f>+E118+E119</f>
        <v>#REF!</v>
      </c>
      <c r="F120" s="2133">
        <v>0</v>
      </c>
      <c r="G120" s="2134"/>
      <c r="H120" s="552"/>
      <c r="O120" s="688">
        <f>AVERAGE(O108:O119)</f>
        <v>160.83333333333334</v>
      </c>
      <c r="P120" s="688">
        <f t="shared" ref="P120:U120" si="13">AVERAGE(P108:P119)</f>
        <v>4.916666666666667</v>
      </c>
      <c r="Q120" s="688">
        <f t="shared" si="13"/>
        <v>232.33333333333334</v>
      </c>
      <c r="R120" s="688">
        <f t="shared" si="13"/>
        <v>4074.9166666666665</v>
      </c>
      <c r="S120" s="688">
        <f t="shared" si="13"/>
        <v>36.333333333333336</v>
      </c>
      <c r="T120" s="688">
        <f t="shared" si="13"/>
        <v>36</v>
      </c>
      <c r="U120" s="688">
        <f t="shared" si="13"/>
        <v>4545.333333333333</v>
      </c>
      <c r="V120" s="688">
        <f>AVERAGE(V108:V119)</f>
        <v>149.39166666666668</v>
      </c>
    </row>
    <row r="121" spans="1:22" ht="18" hidden="1" customHeight="1" outlineLevel="1">
      <c r="A121" s="2139" t="s">
        <v>736</v>
      </c>
      <c r="B121" s="2139"/>
      <c r="C121" s="2139"/>
      <c r="D121" s="2139"/>
      <c r="E121" s="2139"/>
      <c r="F121" s="2139"/>
      <c r="G121" s="2139"/>
      <c r="H121" s="2139"/>
      <c r="P121" s="689">
        <f>+P120/30</f>
        <v>0.16388888888888889</v>
      </c>
      <c r="Q121" s="689">
        <f t="shared" ref="Q121:V121" si="14">+Q120/30</f>
        <v>7.7444444444444445</v>
      </c>
      <c r="R121" s="689">
        <f t="shared" si="14"/>
        <v>135.83055555555555</v>
      </c>
      <c r="S121" s="689">
        <f t="shared" si="14"/>
        <v>1.2111111111111112</v>
      </c>
      <c r="T121" s="689">
        <f t="shared" si="14"/>
        <v>1.2</v>
      </c>
      <c r="U121" s="689">
        <f t="shared" si="14"/>
        <v>151.51111111111109</v>
      </c>
      <c r="V121" s="689">
        <f t="shared" si="14"/>
        <v>4.9797222222222226</v>
      </c>
    </row>
    <row r="122" spans="1:22" ht="18" hidden="1" customHeight="1" outlineLevel="1">
      <c r="A122" s="549"/>
      <c r="B122" s="549"/>
    </row>
    <row r="123" spans="1:22" ht="18" hidden="1" customHeight="1" outlineLevel="1">
      <c r="A123" s="549"/>
      <c r="B123" s="549"/>
    </row>
    <row r="124" spans="1:22" ht="18" hidden="1" customHeight="1" outlineLevel="1">
      <c r="A124" s="543" t="s">
        <v>776</v>
      </c>
      <c r="B124" s="543"/>
      <c r="D124" s="545"/>
      <c r="E124" s="546"/>
      <c r="F124" s="546"/>
      <c r="G124" s="546"/>
      <c r="N124" s="686" t="s">
        <v>15</v>
      </c>
      <c r="O124" s="686" t="s">
        <v>579</v>
      </c>
      <c r="P124" s="686" t="s">
        <v>42</v>
      </c>
      <c r="Q124" s="686" t="s">
        <v>580</v>
      </c>
      <c r="R124" s="686" t="s">
        <v>581</v>
      </c>
      <c r="S124" s="686" t="s">
        <v>582</v>
      </c>
      <c r="T124" s="686" t="s">
        <v>586</v>
      </c>
      <c r="U124" s="686" t="s">
        <v>699</v>
      </c>
      <c r="V124" s="686" t="s">
        <v>384</v>
      </c>
    </row>
    <row r="125" spans="1:22" ht="30.75" hidden="1" customHeight="1" outlineLevel="1">
      <c r="A125" s="2086" t="s">
        <v>562</v>
      </c>
      <c r="B125" s="2087"/>
      <c r="C125" s="2088"/>
      <c r="D125" s="547" t="s">
        <v>563</v>
      </c>
      <c r="E125" s="547" t="s">
        <v>777</v>
      </c>
      <c r="F125" s="2089" t="s">
        <v>612</v>
      </c>
      <c r="G125" s="2087"/>
      <c r="H125" s="548" t="s">
        <v>566</v>
      </c>
      <c r="N125" s="686" t="s">
        <v>700</v>
      </c>
      <c r="O125" s="690">
        <f>+O108/30</f>
        <v>6.2</v>
      </c>
      <c r="P125" s="690">
        <f t="shared" ref="P125:T125" si="15">+P108/30</f>
        <v>6.6666666666666666E-2</v>
      </c>
      <c r="Q125" s="690">
        <f t="shared" si="15"/>
        <v>6.666666666666667</v>
      </c>
      <c r="R125" s="690">
        <f t="shared" si="15"/>
        <v>100.66666666666667</v>
      </c>
      <c r="S125" s="690">
        <f t="shared" si="15"/>
        <v>0.56666666666666665</v>
      </c>
      <c r="T125" s="690">
        <f t="shared" si="15"/>
        <v>0.26666666666666666</v>
      </c>
      <c r="U125" s="687">
        <f>SUM(O125:T125)</f>
        <v>114.43333333333334</v>
      </c>
      <c r="V125" s="687">
        <v>110.7</v>
      </c>
    </row>
    <row r="126" spans="1:22" ht="18" hidden="1" customHeight="1" outlineLevel="1">
      <c r="A126" s="2129" t="s">
        <v>567</v>
      </c>
      <c r="B126" s="2118" t="s">
        <v>606</v>
      </c>
      <c r="C126" s="2119"/>
      <c r="D126" s="550">
        <f>SUM(D127:D137)</f>
        <v>890</v>
      </c>
      <c r="E126" s="551">
        <f>SUM(E127:E137)</f>
        <v>40705</v>
      </c>
      <c r="F126" s="2120"/>
      <c r="G126" s="2121"/>
      <c r="H126" s="552"/>
      <c r="N126" s="686" t="s">
        <v>38</v>
      </c>
      <c r="O126" s="690">
        <f t="shared" ref="O126:T126" si="16">+O109/30</f>
        <v>6.3</v>
      </c>
      <c r="P126" s="690">
        <f t="shared" si="16"/>
        <v>0.1</v>
      </c>
      <c r="Q126" s="690">
        <f t="shared" si="16"/>
        <v>6.2333333333333334</v>
      </c>
      <c r="R126" s="690">
        <f t="shared" si="16"/>
        <v>103.33333333333333</v>
      </c>
      <c r="S126" s="690">
        <f t="shared" si="16"/>
        <v>0.93333333333333335</v>
      </c>
      <c r="T126" s="690">
        <f t="shared" si="16"/>
        <v>0.4</v>
      </c>
      <c r="U126" s="687">
        <f t="shared" ref="U126:U136" si="17">SUM(O126:T126)</f>
        <v>117.30000000000001</v>
      </c>
      <c r="V126" s="687">
        <v>125.7</v>
      </c>
    </row>
    <row r="127" spans="1:22" ht="18" hidden="1" customHeight="1" outlineLevel="1">
      <c r="A127" s="2129"/>
      <c r="B127" s="2162" t="s">
        <v>610</v>
      </c>
      <c r="C127" s="611" t="s">
        <v>613</v>
      </c>
      <c r="D127" s="556">
        <f t="shared" ref="D127:D137" si="18">ROUND(E127*F127/1000,0)</f>
        <v>58</v>
      </c>
      <c r="E127" s="551">
        <v>3840</v>
      </c>
      <c r="F127" s="2133">
        <v>15</v>
      </c>
      <c r="G127" s="2134"/>
      <c r="H127" s="552" t="s">
        <v>609</v>
      </c>
      <c r="N127" s="686" t="s">
        <v>39</v>
      </c>
      <c r="O127" s="690">
        <f t="shared" ref="O127:T127" si="19">+O110/30</f>
        <v>4.9333333333333336</v>
      </c>
      <c r="P127" s="690">
        <f t="shared" si="19"/>
        <v>0.16666666666666666</v>
      </c>
      <c r="Q127" s="690">
        <f t="shared" si="19"/>
        <v>6.7333333333333334</v>
      </c>
      <c r="R127" s="690">
        <f t="shared" si="19"/>
        <v>63.666666666666664</v>
      </c>
      <c r="S127" s="690">
        <f t="shared" si="19"/>
        <v>0.6</v>
      </c>
      <c r="T127" s="690">
        <f t="shared" si="19"/>
        <v>0.23333333333333334</v>
      </c>
      <c r="U127" s="687">
        <f t="shared" si="17"/>
        <v>76.333333333333329</v>
      </c>
      <c r="V127" s="687">
        <v>73.900000000000006</v>
      </c>
    </row>
    <row r="128" spans="1:22" hidden="1" outlineLevel="1">
      <c r="A128" s="2129"/>
      <c r="B128" s="2163"/>
      <c r="C128" s="611" t="s">
        <v>614</v>
      </c>
      <c r="D128" s="2152">
        <f t="shared" si="18"/>
        <v>400</v>
      </c>
      <c r="E128" s="2154">
        <v>2000</v>
      </c>
      <c r="F128" s="2156">
        <v>200</v>
      </c>
      <c r="G128" s="2157"/>
      <c r="H128" s="2165" t="s">
        <v>610</v>
      </c>
      <c r="N128" s="686" t="s">
        <v>40</v>
      </c>
      <c r="O128" s="690">
        <f t="shared" ref="O128:T128" si="20">+O111/30</f>
        <v>5.7666666666666666</v>
      </c>
      <c r="P128" s="690">
        <f t="shared" si="20"/>
        <v>0.1</v>
      </c>
      <c r="Q128" s="690">
        <f t="shared" si="20"/>
        <v>8.3333333333333339</v>
      </c>
      <c r="R128" s="690">
        <f t="shared" si="20"/>
        <v>125.23333333333333</v>
      </c>
      <c r="S128" s="690">
        <f t="shared" si="20"/>
        <v>0.76666666666666672</v>
      </c>
      <c r="T128" s="690">
        <f t="shared" si="20"/>
        <v>0.36666666666666664</v>
      </c>
      <c r="U128" s="687">
        <f t="shared" si="17"/>
        <v>140.56666666666669</v>
      </c>
      <c r="V128" s="687">
        <v>140.6</v>
      </c>
    </row>
    <row r="129" spans="1:30" hidden="1" outlineLevel="1">
      <c r="A129" s="2129"/>
      <c r="B129" s="2167"/>
      <c r="C129" s="611" t="s">
        <v>615</v>
      </c>
      <c r="D129" s="2153"/>
      <c r="E129" s="2155"/>
      <c r="F129" s="2158"/>
      <c r="G129" s="2159"/>
      <c r="H129" s="2166"/>
      <c r="N129" s="686" t="s">
        <v>41</v>
      </c>
      <c r="O129" s="690">
        <f t="shared" ref="O129:T129" si="21">+O112/30</f>
        <v>5.2666666666666666</v>
      </c>
      <c r="P129" s="690">
        <f t="shared" si="21"/>
        <v>0.33333333333333331</v>
      </c>
      <c r="Q129" s="690">
        <f t="shared" si="21"/>
        <v>8.4333333333333336</v>
      </c>
      <c r="R129" s="690">
        <f t="shared" si="21"/>
        <v>144.43333333333334</v>
      </c>
      <c r="S129" s="690">
        <f t="shared" si="21"/>
        <v>0.83333333333333337</v>
      </c>
      <c r="T129" s="690">
        <f t="shared" si="21"/>
        <v>0.5</v>
      </c>
      <c r="U129" s="687">
        <f t="shared" si="17"/>
        <v>159.80000000000001</v>
      </c>
      <c r="V129" s="687">
        <v>154.6</v>
      </c>
    </row>
    <row r="130" spans="1:30" ht="18" hidden="1" customHeight="1" outlineLevel="1">
      <c r="A130" s="2129"/>
      <c r="B130" s="2162" t="s">
        <v>616</v>
      </c>
      <c r="C130" s="611" t="s">
        <v>617</v>
      </c>
      <c r="D130" s="556">
        <f t="shared" si="18"/>
        <v>136</v>
      </c>
      <c r="E130" s="551">
        <v>9037</v>
      </c>
      <c r="F130" s="2133">
        <v>15</v>
      </c>
      <c r="G130" s="2134"/>
      <c r="H130" s="552" t="s">
        <v>618</v>
      </c>
      <c r="N130" s="686" t="s">
        <v>28</v>
      </c>
      <c r="O130" s="690">
        <f t="shared" ref="O130:T130" si="22">+O113/30</f>
        <v>5.0999999999999996</v>
      </c>
      <c r="P130" s="690">
        <f t="shared" si="22"/>
        <v>0.2</v>
      </c>
      <c r="Q130" s="690">
        <f t="shared" si="22"/>
        <v>8.3000000000000007</v>
      </c>
      <c r="R130" s="690">
        <f t="shared" si="22"/>
        <v>144.5</v>
      </c>
      <c r="S130" s="690">
        <f t="shared" si="22"/>
        <v>0.8666666666666667</v>
      </c>
      <c r="T130" s="690">
        <f t="shared" si="22"/>
        <v>0.43333333333333335</v>
      </c>
      <c r="U130" s="687">
        <f t="shared" si="17"/>
        <v>159.4</v>
      </c>
      <c r="V130" s="687">
        <v>159.4</v>
      </c>
    </row>
    <row r="131" spans="1:30" hidden="1" outlineLevel="1">
      <c r="A131" s="2129"/>
      <c r="B131" s="2163"/>
      <c r="C131" s="611" t="s">
        <v>619</v>
      </c>
      <c r="D131" s="556">
        <f t="shared" si="18"/>
        <v>62</v>
      </c>
      <c r="E131" s="612">
        <v>2050</v>
      </c>
      <c r="F131" s="2133">
        <v>30</v>
      </c>
      <c r="G131" s="2134"/>
      <c r="H131" s="552" t="s">
        <v>607</v>
      </c>
      <c r="N131" s="686" t="s">
        <v>29</v>
      </c>
      <c r="O131" s="690">
        <f t="shared" ref="O131:T131" si="23">+O114/30</f>
        <v>5.3</v>
      </c>
      <c r="P131" s="690">
        <f t="shared" si="23"/>
        <v>0.1</v>
      </c>
      <c r="Q131" s="690">
        <f t="shared" si="23"/>
        <v>9.4666666666666668</v>
      </c>
      <c r="R131" s="690">
        <f t="shared" si="23"/>
        <v>168.76666666666668</v>
      </c>
      <c r="S131" s="690">
        <f t="shared" si="23"/>
        <v>0.83333333333333337</v>
      </c>
      <c r="T131" s="690">
        <f t="shared" si="23"/>
        <v>0.56666666666666665</v>
      </c>
      <c r="U131" s="687">
        <f t="shared" si="17"/>
        <v>185.03333333333336</v>
      </c>
      <c r="V131" s="687">
        <v>179.1</v>
      </c>
    </row>
    <row r="132" spans="1:30" ht="18" hidden="1" customHeight="1" outlineLevel="1">
      <c r="A132" s="2129"/>
      <c r="B132" s="2167"/>
      <c r="C132" s="611" t="s">
        <v>620</v>
      </c>
      <c r="D132" s="556">
        <f t="shared" si="18"/>
        <v>48</v>
      </c>
      <c r="E132" s="551">
        <v>3214</v>
      </c>
      <c r="F132" s="2133">
        <v>15</v>
      </c>
      <c r="G132" s="2134"/>
      <c r="H132" s="552" t="s">
        <v>621</v>
      </c>
      <c r="N132" s="686" t="s">
        <v>30</v>
      </c>
      <c r="O132" s="690">
        <f t="shared" ref="O132:T132" si="24">+O115/30</f>
        <v>5.9</v>
      </c>
      <c r="P132" s="690">
        <f t="shared" si="24"/>
        <v>0.33333333333333331</v>
      </c>
      <c r="Q132" s="690">
        <f t="shared" si="24"/>
        <v>9.5333333333333332</v>
      </c>
      <c r="R132" s="690">
        <f t="shared" si="24"/>
        <v>196.66666666666666</v>
      </c>
      <c r="S132" s="690">
        <f t="shared" si="24"/>
        <v>0.76666666666666672</v>
      </c>
      <c r="T132" s="690">
        <f t="shared" si="24"/>
        <v>0.56666666666666665</v>
      </c>
      <c r="U132" s="687">
        <f t="shared" si="17"/>
        <v>213.76666666666668</v>
      </c>
      <c r="V132" s="687">
        <v>206.9</v>
      </c>
    </row>
    <row r="133" spans="1:30" ht="18" hidden="1" customHeight="1" outlineLevel="1">
      <c r="A133" s="2129"/>
      <c r="B133" s="2162" t="s">
        <v>622</v>
      </c>
      <c r="C133" s="611" t="s">
        <v>623</v>
      </c>
      <c r="D133" s="556">
        <f t="shared" si="18"/>
        <v>55</v>
      </c>
      <c r="E133" s="551">
        <v>6070</v>
      </c>
      <c r="F133" s="2133">
        <v>9</v>
      </c>
      <c r="G133" s="2134"/>
      <c r="H133" s="552" t="s">
        <v>621</v>
      </c>
      <c r="N133" s="686" t="s">
        <v>31</v>
      </c>
      <c r="O133" s="690">
        <f t="shared" ref="O133:T133" si="25">+O116/30</f>
        <v>6.3</v>
      </c>
      <c r="P133" s="690">
        <f t="shared" si="25"/>
        <v>0.16666666666666666</v>
      </c>
      <c r="Q133" s="690">
        <f t="shared" si="25"/>
        <v>9.8000000000000007</v>
      </c>
      <c r="R133" s="690">
        <f t="shared" si="25"/>
        <v>204</v>
      </c>
      <c r="S133" s="690">
        <f t="shared" si="25"/>
        <v>0.8</v>
      </c>
      <c r="T133" s="690">
        <f t="shared" si="25"/>
        <v>0.43333333333333335</v>
      </c>
      <c r="U133" s="687">
        <f t="shared" si="17"/>
        <v>221.5</v>
      </c>
      <c r="V133" s="687">
        <v>221.5</v>
      </c>
    </row>
    <row r="134" spans="1:30" ht="18" hidden="1" customHeight="1" outlineLevel="1">
      <c r="A134" s="2129"/>
      <c r="B134" s="2163"/>
      <c r="C134" s="611" t="s">
        <v>624</v>
      </c>
      <c r="D134" s="556">
        <f t="shared" si="18"/>
        <v>52</v>
      </c>
      <c r="E134" s="551">
        <v>5813</v>
      </c>
      <c r="F134" s="2133">
        <v>9</v>
      </c>
      <c r="G134" s="2134"/>
      <c r="H134" s="552" t="s">
        <v>621</v>
      </c>
      <c r="N134" s="686" t="s">
        <v>32</v>
      </c>
      <c r="O134" s="690">
        <f t="shared" ref="O134:T134" si="26">+O117/30</f>
        <v>4.6333333333333337</v>
      </c>
      <c r="P134" s="690">
        <f t="shared" si="26"/>
        <v>0.23333333333333334</v>
      </c>
      <c r="Q134" s="690">
        <f t="shared" si="26"/>
        <v>8.9333333333333336</v>
      </c>
      <c r="R134" s="690">
        <f t="shared" si="26"/>
        <v>155.30000000000001</v>
      </c>
      <c r="S134" s="690">
        <f t="shared" si="26"/>
        <v>0.73333333333333328</v>
      </c>
      <c r="T134" s="690">
        <f t="shared" si="26"/>
        <v>0.4</v>
      </c>
      <c r="U134" s="687">
        <f t="shared" si="17"/>
        <v>170.23333333333335</v>
      </c>
      <c r="V134" s="687">
        <v>164.7</v>
      </c>
    </row>
    <row r="135" spans="1:30" hidden="1" outlineLevel="1">
      <c r="A135" s="2129"/>
      <c r="B135" s="2163"/>
      <c r="C135" s="611" t="s">
        <v>625</v>
      </c>
      <c r="D135" s="556">
        <f t="shared" si="18"/>
        <v>45</v>
      </c>
      <c r="E135" s="551">
        <v>4975</v>
      </c>
      <c r="F135" s="2133">
        <v>9</v>
      </c>
      <c r="G135" s="2134"/>
      <c r="H135" s="552" t="s">
        <v>621</v>
      </c>
      <c r="N135" s="686" t="s">
        <v>33</v>
      </c>
      <c r="O135" s="690">
        <f t="shared" ref="O135:T135" si="27">+O118/30</f>
        <v>7.9</v>
      </c>
      <c r="P135" s="690">
        <f t="shared" si="27"/>
        <v>0.1</v>
      </c>
      <c r="Q135" s="690">
        <f t="shared" si="27"/>
        <v>10.133333333333333</v>
      </c>
      <c r="R135" s="690">
        <f t="shared" si="27"/>
        <v>113.33333333333333</v>
      </c>
      <c r="S135" s="690">
        <f t="shared" si="27"/>
        <v>0.83333333333333337</v>
      </c>
      <c r="T135" s="690">
        <f t="shared" si="27"/>
        <v>0.43333333333333335</v>
      </c>
      <c r="U135" s="687">
        <f t="shared" si="17"/>
        <v>132.73333333333335</v>
      </c>
      <c r="V135" s="687">
        <v>132.69999999999999</v>
      </c>
    </row>
    <row r="136" spans="1:30" ht="18" hidden="1" customHeight="1" outlineLevel="1">
      <c r="A136" s="2129"/>
      <c r="B136" s="2167"/>
      <c r="C136" s="611" t="s">
        <v>626</v>
      </c>
      <c r="D136" s="556">
        <f t="shared" si="18"/>
        <v>32</v>
      </c>
      <c r="E136" s="551">
        <v>3586</v>
      </c>
      <c r="F136" s="2133">
        <v>9</v>
      </c>
      <c r="G136" s="2134"/>
      <c r="H136" s="552" t="s">
        <v>621</v>
      </c>
      <c r="N136" s="686" t="s">
        <v>34</v>
      </c>
      <c r="O136" s="690">
        <f t="shared" ref="O136:T136" si="28">+O119/30</f>
        <v>0.73333333333333328</v>
      </c>
      <c r="P136" s="690">
        <f t="shared" si="28"/>
        <v>6.6666666666666666E-2</v>
      </c>
      <c r="Q136" s="690">
        <f t="shared" si="28"/>
        <v>0.36666666666666664</v>
      </c>
      <c r="R136" s="690">
        <f t="shared" si="28"/>
        <v>110.06666666666666</v>
      </c>
      <c r="S136" s="690">
        <f t="shared" si="28"/>
        <v>6</v>
      </c>
      <c r="T136" s="690">
        <f t="shared" si="28"/>
        <v>9.8000000000000007</v>
      </c>
      <c r="U136" s="687">
        <f t="shared" si="17"/>
        <v>127.03333333333333</v>
      </c>
      <c r="V136" s="687">
        <v>122.9</v>
      </c>
    </row>
    <row r="137" spans="1:30" ht="18" hidden="1" customHeight="1" outlineLevel="1">
      <c r="A137" s="2129"/>
      <c r="B137" s="613" t="s">
        <v>627</v>
      </c>
      <c r="C137" s="611" t="s">
        <v>628</v>
      </c>
      <c r="D137" s="556">
        <f t="shared" si="18"/>
        <v>2</v>
      </c>
      <c r="E137" s="551">
        <v>120</v>
      </c>
      <c r="F137" s="2133">
        <v>15</v>
      </c>
      <c r="G137" s="2134"/>
      <c r="H137" s="552" t="s">
        <v>608</v>
      </c>
    </row>
    <row r="138" spans="1:30" ht="18" hidden="1" customHeight="1" outlineLevel="1">
      <c r="A138" s="2139" t="s">
        <v>569</v>
      </c>
      <c r="B138" s="2139"/>
      <c r="C138" s="2139"/>
      <c r="D138" s="2139"/>
      <c r="E138" s="2139"/>
      <c r="F138" s="2139"/>
      <c r="G138" s="2139"/>
      <c r="H138" s="2139"/>
    </row>
    <row r="139" spans="1:30" ht="18" hidden="1" customHeight="1" outlineLevel="1">
      <c r="A139" s="549" t="s">
        <v>705</v>
      </c>
      <c r="B139" s="549"/>
    </row>
    <row r="140" spans="1:30" ht="18" hidden="1" customHeight="1" outlineLevel="1">
      <c r="A140" s="549"/>
      <c r="B140" s="549"/>
      <c r="L140" s="851" t="s">
        <v>885</v>
      </c>
      <c r="M140" s="852" t="s">
        <v>886</v>
      </c>
      <c r="N140" s="853" t="s">
        <v>887</v>
      </c>
      <c r="O140" s="854" t="s">
        <v>888</v>
      </c>
      <c r="P140" s="711"/>
      <c r="Q140" s="711"/>
      <c r="R140" s="711"/>
      <c r="S140" s="711"/>
      <c r="T140" s="711"/>
      <c r="U140" s="711"/>
      <c r="V140" s="711"/>
      <c r="W140" s="711"/>
      <c r="X140" s="711"/>
      <c r="Y140" s="711"/>
      <c r="Z140" s="711"/>
      <c r="AA140" s="711"/>
      <c r="AB140" s="711"/>
      <c r="AC140" s="711"/>
      <c r="AD140" s="711"/>
    </row>
    <row r="141" spans="1:30" ht="17.25" hidden="1" customHeight="1" outlineLevel="1">
      <c r="A141" s="549"/>
      <c r="B141" s="549"/>
      <c r="L141" s="2178" t="s">
        <v>889</v>
      </c>
      <c r="M141" s="855" t="s">
        <v>890</v>
      </c>
      <c r="N141" s="856">
        <v>1304</v>
      </c>
      <c r="O141" s="854" t="s">
        <v>891</v>
      </c>
      <c r="P141" s="711"/>
      <c r="Q141" s="711"/>
      <c r="R141" s="711"/>
      <c r="S141" s="711"/>
      <c r="T141" s="711"/>
      <c r="U141" s="711"/>
      <c r="V141" s="711"/>
      <c r="W141" s="711"/>
      <c r="X141" s="711"/>
      <c r="Y141" s="711"/>
      <c r="Z141" s="711"/>
      <c r="AA141" s="711"/>
      <c r="AB141" s="711"/>
      <c r="AC141" s="711"/>
      <c r="AD141" s="711"/>
    </row>
    <row r="142" spans="1:30" ht="18" hidden="1" customHeight="1" outlineLevel="1">
      <c r="A142" s="543" t="s">
        <v>856</v>
      </c>
      <c r="B142" s="543"/>
      <c r="D142" s="545"/>
      <c r="E142" s="546"/>
      <c r="F142" s="546"/>
      <c r="G142" s="546"/>
      <c r="L142" s="2179"/>
      <c r="M142" s="857" t="s">
        <v>892</v>
      </c>
      <c r="N142" s="856">
        <v>4386</v>
      </c>
      <c r="O142" s="711"/>
      <c r="P142" s="858" t="s">
        <v>893</v>
      </c>
      <c r="Q142" s="858" t="s">
        <v>894</v>
      </c>
      <c r="R142" s="858" t="s">
        <v>895</v>
      </c>
      <c r="S142" s="858" t="s">
        <v>896</v>
      </c>
      <c r="T142" s="858" t="s">
        <v>897</v>
      </c>
      <c r="U142" s="858" t="s">
        <v>898</v>
      </c>
      <c r="V142" s="711"/>
      <c r="W142" s="711"/>
      <c r="X142" s="711"/>
      <c r="Y142" s="711"/>
      <c r="Z142" s="711"/>
      <c r="AA142" s="711"/>
      <c r="AB142" s="711"/>
      <c r="AC142" s="711"/>
      <c r="AD142" s="711"/>
    </row>
    <row r="143" spans="1:30" ht="29.25" hidden="1" customHeight="1" outlineLevel="1">
      <c r="A143" s="2086" t="s">
        <v>562</v>
      </c>
      <c r="B143" s="2087"/>
      <c r="C143" s="2088"/>
      <c r="D143" s="754" t="s">
        <v>563</v>
      </c>
      <c r="E143" s="754" t="s">
        <v>611</v>
      </c>
      <c r="F143" s="2089" t="s">
        <v>612</v>
      </c>
      <c r="G143" s="2087"/>
      <c r="H143" s="548" t="s">
        <v>566</v>
      </c>
      <c r="L143" s="2179"/>
      <c r="M143" s="857" t="s">
        <v>899</v>
      </c>
      <c r="N143" s="856">
        <v>3237</v>
      </c>
      <c r="O143" s="711"/>
      <c r="P143" s="858" t="s">
        <v>900</v>
      </c>
      <c r="Q143" s="859" t="s">
        <v>901</v>
      </c>
      <c r="R143" s="859" t="s">
        <v>902</v>
      </c>
      <c r="S143" s="859" t="s">
        <v>903</v>
      </c>
      <c r="T143" s="859" t="s">
        <v>904</v>
      </c>
      <c r="U143" s="859" t="s">
        <v>905</v>
      </c>
      <c r="V143" s="711"/>
      <c r="W143" s="711"/>
      <c r="X143" s="711"/>
      <c r="Y143" s="711"/>
      <c r="Z143" s="711"/>
      <c r="AA143" s="711"/>
      <c r="AB143" s="711"/>
      <c r="AC143" s="711"/>
      <c r="AD143" s="711"/>
    </row>
    <row r="144" spans="1:30" ht="18" hidden="1" customHeight="1" outlineLevel="1">
      <c r="A144" s="2115" t="s">
        <v>567</v>
      </c>
      <c r="B144" s="2118" t="s">
        <v>606</v>
      </c>
      <c r="C144" s="2119"/>
      <c r="D144" s="740">
        <f>SUM(D145:D145)</f>
        <v>55</v>
      </c>
      <c r="E144" s="740">
        <f>SUM(E145:E145)</f>
        <v>6900</v>
      </c>
      <c r="F144" s="2120"/>
      <c r="G144" s="2121"/>
      <c r="H144" s="619"/>
      <c r="L144" s="2179"/>
      <c r="M144" s="860" t="s">
        <v>906</v>
      </c>
      <c r="N144" s="856">
        <v>1509</v>
      </c>
      <c r="O144" s="854" t="s">
        <v>907</v>
      </c>
      <c r="P144" s="711"/>
      <c r="Q144" s="711"/>
      <c r="R144" s="711"/>
      <c r="S144" s="711"/>
      <c r="T144" s="711"/>
      <c r="U144" s="711"/>
      <c r="V144" s="711"/>
      <c r="W144" s="711"/>
      <c r="X144" s="711"/>
      <c r="Y144" s="711"/>
      <c r="Z144" s="711"/>
      <c r="AA144" s="711"/>
      <c r="AB144" s="711"/>
      <c r="AC144" s="711"/>
      <c r="AD144" s="711"/>
    </row>
    <row r="145" spans="1:37" ht="18" hidden="1" customHeight="1" outlineLevel="1">
      <c r="A145" s="2164"/>
      <c r="B145" s="713" t="s">
        <v>855</v>
      </c>
      <c r="C145" s="714" t="s">
        <v>779</v>
      </c>
      <c r="D145" s="715">
        <f t="shared" ref="D145" si="29">ROUND(E145*F145/1000,0)</f>
        <v>55</v>
      </c>
      <c r="E145" s="715">
        <v>6900</v>
      </c>
      <c r="F145" s="2103">
        <v>8</v>
      </c>
      <c r="G145" s="2104"/>
      <c r="H145" s="716"/>
      <c r="L145" s="2180" t="s">
        <v>908</v>
      </c>
      <c r="M145" s="2181"/>
      <c r="N145" s="861">
        <v>10436</v>
      </c>
      <c r="O145" s="711"/>
      <c r="P145" s="711"/>
      <c r="Q145" s="711"/>
      <c r="R145" s="711"/>
      <c r="S145" s="711"/>
      <c r="T145" s="711"/>
      <c r="U145" s="711"/>
      <c r="V145" s="711"/>
      <c r="W145" s="711"/>
      <c r="X145" s="711"/>
      <c r="Y145" s="711"/>
      <c r="Z145" s="711"/>
      <c r="AA145" s="711"/>
      <c r="AB145" s="711"/>
      <c r="AC145" s="711"/>
      <c r="AD145" s="711"/>
    </row>
    <row r="146" spans="1:37" ht="18" hidden="1" customHeight="1" outlineLevel="1">
      <c r="L146" s="711"/>
      <c r="M146" s="862"/>
      <c r="N146" s="863"/>
      <c r="O146" s="711"/>
      <c r="P146" s="711"/>
      <c r="Q146" s="711"/>
      <c r="R146" s="711"/>
      <c r="S146" s="711"/>
      <c r="T146" s="711"/>
      <c r="U146" s="711"/>
      <c r="V146" s="711"/>
      <c r="W146" s="711"/>
      <c r="X146" s="711"/>
      <c r="Y146" s="711"/>
      <c r="Z146" s="711"/>
      <c r="AA146" s="711"/>
      <c r="AB146" s="711"/>
      <c r="AC146" s="711"/>
      <c r="AD146" s="711"/>
    </row>
    <row r="147" spans="1:37" ht="18" hidden="1" customHeight="1" outlineLevel="1">
      <c r="A147" s="543" t="s">
        <v>857</v>
      </c>
      <c r="B147" s="543"/>
      <c r="D147" s="545"/>
      <c r="E147" s="546"/>
      <c r="F147" s="546"/>
      <c r="G147" s="546"/>
      <c r="L147" s="711"/>
      <c r="M147" s="862"/>
      <c r="N147" s="862"/>
      <c r="O147" s="711"/>
      <c r="P147" s="711"/>
      <c r="Q147" s="711"/>
      <c r="R147" s="711"/>
      <c r="S147" s="711"/>
      <c r="T147" s="711"/>
      <c r="U147" s="711"/>
      <c r="V147" s="711"/>
      <c r="W147" s="711"/>
      <c r="X147" s="711"/>
      <c r="Y147" s="711"/>
      <c r="Z147" s="711"/>
      <c r="AA147" s="711"/>
      <c r="AB147" s="711"/>
      <c r="AC147" s="711"/>
      <c r="AD147" s="711"/>
    </row>
    <row r="148" spans="1:37" ht="30.75" hidden="1" customHeight="1" outlineLevel="1">
      <c r="A148" s="2086" t="s">
        <v>562</v>
      </c>
      <c r="B148" s="2087"/>
      <c r="C148" s="2088"/>
      <c r="D148" s="754" t="s">
        <v>563</v>
      </c>
      <c r="E148" s="754" t="s">
        <v>611</v>
      </c>
      <c r="F148" s="2089" t="s">
        <v>612</v>
      </c>
      <c r="G148" s="2087"/>
      <c r="H148" s="548" t="s">
        <v>566</v>
      </c>
      <c r="L148" s="711" t="s">
        <v>909</v>
      </c>
      <c r="M148" s="862"/>
      <c r="N148" s="862"/>
      <c r="O148" s="711"/>
      <c r="P148" s="711"/>
      <c r="Q148" s="711"/>
      <c r="R148" s="711"/>
      <c r="S148" s="711"/>
      <c r="T148" s="711"/>
      <c r="U148" s="711"/>
      <c r="V148" s="711"/>
      <c r="W148" s="711"/>
      <c r="X148" s="711"/>
      <c r="Y148" s="711"/>
      <c r="Z148" s="711"/>
      <c r="AA148" s="711"/>
      <c r="AB148" s="711"/>
      <c r="AC148" s="711"/>
      <c r="AD148" s="711"/>
    </row>
    <row r="149" spans="1:37" ht="18" hidden="1" customHeight="1" outlineLevel="1">
      <c r="A149" s="2090" t="s">
        <v>567</v>
      </c>
      <c r="B149" s="2094" t="s">
        <v>606</v>
      </c>
      <c r="C149" s="2094"/>
      <c r="D149" s="740">
        <f>SUM(D150:D155)</f>
        <v>78</v>
      </c>
      <c r="E149" s="769">
        <f>SUM(E150:E155)</f>
        <v>7824</v>
      </c>
      <c r="F149" s="2095"/>
      <c r="G149" s="2095"/>
      <c r="H149" s="619"/>
      <c r="L149" s="2182" t="s">
        <v>910</v>
      </c>
      <c r="M149" s="2183"/>
      <c r="N149" s="2183"/>
      <c r="O149" s="2183"/>
      <c r="P149" s="2184"/>
      <c r="Q149" s="864" t="s">
        <v>911</v>
      </c>
      <c r="R149" s="865" t="s">
        <v>912</v>
      </c>
      <c r="S149" s="711"/>
      <c r="T149" s="711"/>
      <c r="U149" s="711"/>
      <c r="V149" s="711"/>
      <c r="W149" s="711"/>
      <c r="X149" s="711"/>
      <c r="Y149" s="711"/>
      <c r="Z149" s="711"/>
      <c r="AA149" s="711"/>
      <c r="AB149" s="711"/>
      <c r="AC149" s="711"/>
      <c r="AD149" s="711"/>
    </row>
    <row r="150" spans="1:37" ht="18" hidden="1" customHeight="1" outlineLevel="1">
      <c r="A150" s="2091"/>
      <c r="B150" s="784" t="s">
        <v>865</v>
      </c>
      <c r="C150" s="781" t="s">
        <v>867</v>
      </c>
      <c r="D150" s="771">
        <f t="shared" ref="D150:D154" si="30">ROUND(E150*F150/1000,0)</f>
        <v>28</v>
      </c>
      <c r="E150" s="782">
        <v>3090</v>
      </c>
      <c r="F150" s="2083">
        <v>9</v>
      </c>
      <c r="G150" s="2084"/>
      <c r="H150" s="783" t="s">
        <v>866</v>
      </c>
      <c r="L150" s="2185" t="s">
        <v>913</v>
      </c>
      <c r="M150" s="864" t="s">
        <v>914</v>
      </c>
      <c r="N150" s="864"/>
      <c r="O150" s="2185" t="s">
        <v>915</v>
      </c>
      <c r="P150" s="2185"/>
      <c r="Q150" s="864">
        <f>6+12*2+4</f>
        <v>34</v>
      </c>
      <c r="R150" s="865">
        <v>0</v>
      </c>
      <c r="S150" s="711"/>
      <c r="T150" s="711"/>
      <c r="U150" s="711"/>
      <c r="V150" s="711"/>
      <c r="W150" s="711"/>
      <c r="X150" s="711"/>
      <c r="Y150" s="711"/>
      <c r="Z150" s="711"/>
      <c r="AA150" s="711"/>
      <c r="AB150" s="711"/>
      <c r="AC150" s="711"/>
      <c r="AD150" s="711"/>
    </row>
    <row r="151" spans="1:37" ht="18" hidden="1" customHeight="1" outlineLevel="1">
      <c r="A151" s="2092"/>
      <c r="B151" s="2099" t="s">
        <v>849</v>
      </c>
      <c r="C151" s="620" t="s">
        <v>851</v>
      </c>
      <c r="D151" s="617">
        <f t="shared" si="30"/>
        <v>31</v>
      </c>
      <c r="E151" s="771">
        <v>4077</v>
      </c>
      <c r="F151" s="2097">
        <v>7.5</v>
      </c>
      <c r="G151" s="2097"/>
      <c r="H151" s="621" t="s">
        <v>851</v>
      </c>
      <c r="L151" s="2185"/>
      <c r="M151" s="864" t="s">
        <v>916</v>
      </c>
      <c r="N151" s="864"/>
      <c r="O151" s="2185" t="s">
        <v>917</v>
      </c>
      <c r="P151" s="2185"/>
      <c r="Q151" s="864">
        <f>6*2</f>
        <v>12</v>
      </c>
      <c r="R151" s="865">
        <v>0</v>
      </c>
      <c r="S151" s="711"/>
      <c r="T151" s="711"/>
      <c r="U151" s="711"/>
      <c r="V151" s="711"/>
      <c r="W151" s="711"/>
      <c r="X151" s="711"/>
      <c r="Y151" s="711"/>
      <c r="Z151" s="711"/>
      <c r="AA151" s="711"/>
      <c r="AB151" s="711"/>
      <c r="AC151" s="711"/>
      <c r="AD151" s="711"/>
    </row>
    <row r="152" spans="1:37" ht="18" hidden="1" customHeight="1" outlineLevel="1">
      <c r="A152" s="2092"/>
      <c r="B152" s="2100"/>
      <c r="C152" s="620" t="s">
        <v>846</v>
      </c>
      <c r="D152" s="617">
        <f t="shared" si="30"/>
        <v>1</v>
      </c>
      <c r="E152" s="617">
        <v>74</v>
      </c>
      <c r="F152" s="2097">
        <v>15</v>
      </c>
      <c r="G152" s="2097"/>
      <c r="H152" s="621" t="s">
        <v>853</v>
      </c>
      <c r="L152" s="2185"/>
      <c r="M152" s="864" t="s">
        <v>918</v>
      </c>
      <c r="N152" s="864"/>
      <c r="O152" s="2186"/>
      <c r="P152" s="2187"/>
      <c r="Q152" s="864">
        <v>0</v>
      </c>
      <c r="R152" s="865">
        <v>200</v>
      </c>
      <c r="S152" s="711"/>
      <c r="T152" s="711"/>
      <c r="U152" s="711"/>
      <c r="V152" s="711"/>
      <c r="W152" s="711"/>
      <c r="X152" s="711"/>
      <c r="Y152" s="711"/>
      <c r="Z152" s="711"/>
      <c r="AA152" s="711"/>
      <c r="AB152" s="711"/>
      <c r="AC152" s="711"/>
      <c r="AD152" s="711"/>
    </row>
    <row r="153" spans="1:37" ht="18" hidden="1" customHeight="1" outlineLevel="1">
      <c r="A153" s="2092"/>
      <c r="B153" s="2100"/>
      <c r="C153" s="620" t="s">
        <v>847</v>
      </c>
      <c r="D153" s="617">
        <f t="shared" si="30"/>
        <v>9</v>
      </c>
      <c r="E153" s="617">
        <v>187</v>
      </c>
      <c r="F153" s="2097">
        <v>46</v>
      </c>
      <c r="G153" s="2097"/>
      <c r="H153" s="621" t="s">
        <v>727</v>
      </c>
      <c r="L153" s="2185"/>
      <c r="M153" s="864" t="s">
        <v>919</v>
      </c>
      <c r="N153" s="864"/>
      <c r="O153" s="864"/>
      <c r="P153" s="864"/>
      <c r="Q153" s="864">
        <f>SUM(Q150:Q152)</f>
        <v>46</v>
      </c>
      <c r="R153" s="864">
        <f>SUM(R150:R152)</f>
        <v>200</v>
      </c>
      <c r="S153" s="711"/>
      <c r="T153" s="711"/>
      <c r="U153" s="711"/>
      <c r="V153" s="711"/>
      <c r="W153" s="711"/>
      <c r="X153" s="711"/>
      <c r="Y153" s="711"/>
      <c r="Z153" s="711"/>
      <c r="AA153" s="711"/>
      <c r="AB153" s="711"/>
      <c r="AC153" s="711"/>
      <c r="AD153" s="711"/>
    </row>
    <row r="154" spans="1:37" ht="18" hidden="1" customHeight="1" outlineLevel="1">
      <c r="A154" s="2092"/>
      <c r="B154" s="2101"/>
      <c r="C154" s="620" t="s">
        <v>848</v>
      </c>
      <c r="D154" s="617">
        <f t="shared" si="30"/>
        <v>3</v>
      </c>
      <c r="E154" s="617">
        <f>+D208</f>
        <v>196</v>
      </c>
      <c r="F154" s="2097">
        <v>15</v>
      </c>
      <c r="G154" s="2097"/>
      <c r="H154" s="621" t="s">
        <v>854</v>
      </c>
      <c r="L154" s="864" t="s">
        <v>920</v>
      </c>
      <c r="M154" s="864" t="s">
        <v>921</v>
      </c>
      <c r="N154" s="864"/>
      <c r="O154" s="2185" t="s">
        <v>922</v>
      </c>
      <c r="P154" s="2185"/>
      <c r="Q154" s="864">
        <f>2*24</f>
        <v>48</v>
      </c>
      <c r="R154" s="865">
        <v>0</v>
      </c>
      <c r="S154" s="711"/>
      <c r="T154" s="711"/>
      <c r="U154" s="711"/>
      <c r="V154" s="711"/>
      <c r="W154" s="711"/>
      <c r="X154" s="711"/>
      <c r="Y154" s="711"/>
      <c r="Z154" s="711"/>
      <c r="AA154" s="711"/>
      <c r="AB154" s="711"/>
      <c r="AC154" s="711"/>
      <c r="AD154" s="711"/>
    </row>
    <row r="155" spans="1:37" ht="18" hidden="1" customHeight="1" outlineLevel="1">
      <c r="A155" s="2093"/>
      <c r="B155" s="774" t="s">
        <v>844</v>
      </c>
      <c r="C155" s="774" t="s">
        <v>850</v>
      </c>
      <c r="D155" s="625">
        <f t="shared" ref="D155" si="31">ROUND(E155*F155/1000,0)</f>
        <v>6</v>
      </c>
      <c r="E155" s="772">
        <v>200</v>
      </c>
      <c r="F155" s="2098">
        <v>30</v>
      </c>
      <c r="G155" s="2098"/>
      <c r="H155" s="773" t="s">
        <v>852</v>
      </c>
      <c r="L155" s="711" t="s">
        <v>923</v>
      </c>
      <c r="M155" s="711"/>
      <c r="N155" s="711"/>
      <c r="O155" s="711"/>
      <c r="P155" s="711"/>
      <c r="Q155" s="711"/>
      <c r="R155" s="711"/>
      <c r="S155" s="711"/>
      <c r="T155" s="711"/>
      <c r="U155" s="711"/>
      <c r="V155" s="711"/>
      <c r="W155" s="711"/>
      <c r="X155" s="711"/>
      <c r="Y155" s="711"/>
      <c r="Z155" s="711"/>
      <c r="AA155" s="711"/>
      <c r="AB155" s="711"/>
      <c r="AC155" s="711"/>
      <c r="AD155" s="711"/>
    </row>
    <row r="156" spans="1:37" ht="18" hidden="1" customHeight="1" outlineLevel="1">
      <c r="A156" s="549"/>
      <c r="B156" s="549"/>
      <c r="L156" s="858" t="s">
        <v>893</v>
      </c>
      <c r="M156" s="858" t="s">
        <v>924</v>
      </c>
      <c r="N156" s="866" t="s">
        <v>925</v>
      </c>
      <c r="O156" s="858" t="s">
        <v>926</v>
      </c>
      <c r="P156" s="867" t="s">
        <v>927</v>
      </c>
      <c r="Q156" s="858"/>
      <c r="R156" s="711"/>
      <c r="S156" s="711"/>
      <c r="T156" s="711"/>
      <c r="U156" s="711"/>
      <c r="V156" s="711"/>
      <c r="W156" s="711"/>
      <c r="X156" s="711"/>
      <c r="Y156" s="711"/>
      <c r="Z156" s="711"/>
      <c r="AA156" s="711"/>
      <c r="AB156" s="711"/>
      <c r="AC156" s="711"/>
      <c r="AD156" s="711"/>
    </row>
    <row r="157" spans="1:37" ht="18" hidden="1" customHeight="1" outlineLevel="1">
      <c r="A157" s="543" t="s">
        <v>858</v>
      </c>
      <c r="B157" s="543"/>
      <c r="D157" s="545"/>
      <c r="E157" s="546"/>
      <c r="F157" s="546"/>
      <c r="G157" s="546"/>
      <c r="L157" s="868" t="s">
        <v>928</v>
      </c>
      <c r="M157" s="869">
        <v>851</v>
      </c>
      <c r="N157" s="869">
        <f>M157/365</f>
        <v>2.3315068493150686</v>
      </c>
      <c r="O157" s="868">
        <v>0.9</v>
      </c>
      <c r="P157" s="868">
        <f>ROUND(N157*O157*1.25,0)</f>
        <v>3</v>
      </c>
      <c r="Q157" s="868"/>
      <c r="R157" s="711"/>
      <c r="S157" s="711"/>
      <c r="T157" s="711"/>
      <c r="U157" s="711"/>
      <c r="V157" s="711"/>
      <c r="W157" s="711"/>
      <c r="X157" s="711"/>
      <c r="Y157" s="711"/>
      <c r="Z157" s="711"/>
      <c r="AA157" s="711"/>
      <c r="AB157" s="711"/>
      <c r="AC157" s="711"/>
      <c r="AD157" s="711"/>
    </row>
    <row r="158" spans="1:37" ht="30.75" hidden="1" customHeight="1" outlineLevel="1" thickBot="1">
      <c r="A158" s="2086" t="s">
        <v>562</v>
      </c>
      <c r="B158" s="2087"/>
      <c r="C158" s="2088"/>
      <c r="D158" s="547" t="s">
        <v>563</v>
      </c>
      <c r="E158" s="547" t="s">
        <v>611</v>
      </c>
      <c r="F158" s="2089" t="s">
        <v>612</v>
      </c>
      <c r="G158" s="2087"/>
      <c r="H158" s="548" t="s">
        <v>566</v>
      </c>
      <c r="L158" s="868" t="s">
        <v>929</v>
      </c>
      <c r="M158" s="869">
        <v>105</v>
      </c>
      <c r="N158" s="869">
        <f>M158/31</f>
        <v>3.3870967741935485</v>
      </c>
      <c r="O158" s="868">
        <v>0.9</v>
      </c>
      <c r="P158" s="868">
        <f>ROUND(N158*O158*1.25,0)</f>
        <v>4</v>
      </c>
      <c r="Q158" s="868"/>
      <c r="R158" s="711"/>
      <c r="S158" s="711"/>
      <c r="T158" s="711"/>
      <c r="U158" s="711"/>
      <c r="V158" s="711"/>
      <c r="W158" s="711"/>
      <c r="X158" s="711"/>
      <c r="Y158" s="711"/>
      <c r="Z158" s="711"/>
      <c r="AA158" s="711"/>
      <c r="AB158" s="711"/>
      <c r="AC158" s="711"/>
      <c r="AD158" s="711"/>
    </row>
    <row r="159" spans="1:37" ht="18" hidden="1" customHeight="1" outlineLevel="1">
      <c r="A159" s="2115" t="s">
        <v>567</v>
      </c>
      <c r="B159" s="2118" t="s">
        <v>606</v>
      </c>
      <c r="C159" s="2119"/>
      <c r="D159" s="616">
        <f>SUM(D160:D163)</f>
        <v>390</v>
      </c>
      <c r="E159" s="618">
        <f>SUM(E160:E163)</f>
        <v>34610</v>
      </c>
      <c r="F159" s="2120"/>
      <c r="G159" s="2121"/>
      <c r="H159" s="619"/>
      <c r="L159" s="858" t="s">
        <v>930</v>
      </c>
      <c r="M159" s="858" t="s">
        <v>38</v>
      </c>
      <c r="N159" s="858" t="s">
        <v>39</v>
      </c>
      <c r="O159" s="858" t="s">
        <v>40</v>
      </c>
      <c r="P159" s="858" t="s">
        <v>41</v>
      </c>
      <c r="Q159" s="870" t="s">
        <v>28</v>
      </c>
      <c r="R159" s="719" t="s">
        <v>29</v>
      </c>
      <c r="S159" s="871" t="s">
        <v>30</v>
      </c>
      <c r="T159" s="858" t="s">
        <v>31</v>
      </c>
      <c r="U159" s="858" t="s">
        <v>32</v>
      </c>
      <c r="V159" s="858" t="s">
        <v>33</v>
      </c>
      <c r="W159" s="858" t="s">
        <v>34</v>
      </c>
      <c r="X159" s="711"/>
      <c r="Y159" s="711"/>
      <c r="Z159" s="711"/>
      <c r="AA159" s="711"/>
      <c r="AB159" s="711"/>
      <c r="AC159" s="711"/>
      <c r="AD159" s="711"/>
    </row>
    <row r="160" spans="1:37" ht="18" hidden="1" customHeight="1" outlineLevel="1">
      <c r="A160" s="2116"/>
      <c r="B160" s="2122" t="s">
        <v>638</v>
      </c>
      <c r="C160" s="620" t="s">
        <v>639</v>
      </c>
      <c r="D160" s="617">
        <f t="shared" ref="D160:D161" si="32">ROUND(E160*F160/1000,0)</f>
        <v>30</v>
      </c>
      <c r="E160" s="626">
        <f>50*3</f>
        <v>150</v>
      </c>
      <c r="F160" s="2123">
        <v>200</v>
      </c>
      <c r="G160" s="2124"/>
      <c r="H160" s="621" t="s">
        <v>645</v>
      </c>
      <c r="L160" s="858" t="s">
        <v>931</v>
      </c>
      <c r="M160" s="872">
        <v>60</v>
      </c>
      <c r="N160" s="872">
        <v>20</v>
      </c>
      <c r="O160" s="872">
        <v>29</v>
      </c>
      <c r="P160" s="872">
        <v>70</v>
      </c>
      <c r="Q160" s="873">
        <v>77</v>
      </c>
      <c r="R160" s="723">
        <v>105</v>
      </c>
      <c r="S160" s="874">
        <v>103</v>
      </c>
      <c r="T160" s="872">
        <v>96</v>
      </c>
      <c r="U160" s="872">
        <v>43</v>
      </c>
      <c r="V160" s="872">
        <v>77</v>
      </c>
      <c r="W160" s="872">
        <v>82</v>
      </c>
      <c r="X160" s="872">
        <v>89</v>
      </c>
      <c r="Y160" s="711">
        <v>31</v>
      </c>
      <c r="Z160" s="862">
        <v>28</v>
      </c>
      <c r="AA160" s="862">
        <v>31</v>
      </c>
      <c r="AB160" s="711">
        <v>30</v>
      </c>
      <c r="AC160" s="711">
        <v>31</v>
      </c>
      <c r="AD160" s="711">
        <v>30</v>
      </c>
      <c r="AE160" s="711">
        <v>31</v>
      </c>
      <c r="AF160" s="711">
        <v>31</v>
      </c>
      <c r="AG160" s="711">
        <v>30</v>
      </c>
      <c r="AH160" s="711">
        <v>31</v>
      </c>
      <c r="AI160" s="711">
        <v>30</v>
      </c>
      <c r="AJ160" s="711">
        <v>31</v>
      </c>
      <c r="AK160" s="711"/>
    </row>
    <row r="161" spans="1:30" ht="18" hidden="1" customHeight="1" outlineLevel="1" thickBot="1">
      <c r="A161" s="2116"/>
      <c r="B161" s="2122"/>
      <c r="C161" s="620" t="s">
        <v>640</v>
      </c>
      <c r="D161" s="617">
        <f t="shared" si="32"/>
        <v>30</v>
      </c>
      <c r="E161" s="626">
        <f>50*3</f>
        <v>150</v>
      </c>
      <c r="F161" s="2123">
        <v>200</v>
      </c>
      <c r="G161" s="2124"/>
      <c r="H161" s="621" t="s">
        <v>645</v>
      </c>
      <c r="L161" s="858" t="s">
        <v>932</v>
      </c>
      <c r="M161" s="858">
        <f>ROUND(M160/Y160,0)</f>
        <v>2</v>
      </c>
      <c r="N161" s="858">
        <f>ROUND(N160/Y160,0)</f>
        <v>1</v>
      </c>
      <c r="O161" s="858">
        <f>ROUND(O160/AA160,0)</f>
        <v>1</v>
      </c>
      <c r="P161" s="858">
        <f>ROUND(P160/AB160,0)</f>
        <v>2</v>
      </c>
      <c r="Q161" s="870">
        <f>ROUND(Q160/AC160,0)</f>
        <v>2</v>
      </c>
      <c r="R161" s="875">
        <f>ROUND(R160/AD160,2)</f>
        <v>3.5</v>
      </c>
      <c r="S161" s="871">
        <f>ROUND(S160/AE160,0)</f>
        <v>3</v>
      </c>
      <c r="T161" s="858">
        <f>ROUND(T160/AF160,0)</f>
        <v>3</v>
      </c>
      <c r="U161" s="858">
        <f>ROUND(U160/AG160,0)</f>
        <v>1</v>
      </c>
      <c r="V161" s="858">
        <f>ROUND(V160/AH160,0)</f>
        <v>2</v>
      </c>
      <c r="W161" s="858">
        <f>ROUND(W160/AI160,0)</f>
        <v>3</v>
      </c>
      <c r="X161" s="711"/>
      <c r="Y161" s="711"/>
      <c r="Z161" s="711"/>
      <c r="AA161" s="711"/>
      <c r="AB161" s="711"/>
      <c r="AC161" s="711"/>
      <c r="AD161" s="711"/>
    </row>
    <row r="162" spans="1:30" ht="28.5" hidden="1" customHeight="1" outlineLevel="1">
      <c r="A162" s="2116"/>
      <c r="B162" s="622" t="s">
        <v>641</v>
      </c>
      <c r="C162" s="620" t="s">
        <v>642</v>
      </c>
      <c r="D162" s="617">
        <f t="shared" ref="D162:D163" si="33">ROUND(E162*F162/1000,0)</f>
        <v>212</v>
      </c>
      <c r="E162" s="617">
        <v>26450</v>
      </c>
      <c r="F162" s="2123">
        <v>8</v>
      </c>
      <c r="G162" s="2124"/>
      <c r="H162" s="621" t="s">
        <v>646</v>
      </c>
    </row>
    <row r="163" spans="1:30" ht="25.5" hidden="1" customHeight="1" outlineLevel="1">
      <c r="A163" s="2117"/>
      <c r="B163" s="623" t="s">
        <v>643</v>
      </c>
      <c r="C163" s="624" t="s">
        <v>644</v>
      </c>
      <c r="D163" s="625">
        <f t="shared" si="33"/>
        <v>118</v>
      </c>
      <c r="E163" s="625">
        <v>7860</v>
      </c>
      <c r="F163" s="2127">
        <v>15</v>
      </c>
      <c r="G163" s="2128"/>
      <c r="H163" s="627" t="s">
        <v>647</v>
      </c>
      <c r="L163" s="711" t="s">
        <v>933</v>
      </c>
      <c r="M163" s="711"/>
      <c r="N163" s="711"/>
      <c r="O163" s="712"/>
      <c r="P163" s="712"/>
      <c r="Q163" s="712"/>
      <c r="R163" s="712"/>
      <c r="S163" s="711"/>
    </row>
    <row r="164" spans="1:30" hidden="1" outlineLevel="1">
      <c r="L164" s="2177" t="s">
        <v>934</v>
      </c>
      <c r="M164" s="2177"/>
      <c r="N164" s="2177"/>
      <c r="O164" s="2177"/>
      <c r="P164" s="2177"/>
      <c r="Q164" s="2177"/>
      <c r="R164" s="2177"/>
      <c r="S164" s="2177"/>
    </row>
    <row r="165" spans="1:30" hidden="1" outlineLevel="1">
      <c r="A165" s="543" t="s">
        <v>859</v>
      </c>
      <c r="B165" s="543"/>
      <c r="D165" s="545"/>
      <c r="E165" s="546"/>
      <c r="F165" s="546"/>
      <c r="G165" s="546"/>
      <c r="L165" s="854" t="s">
        <v>935</v>
      </c>
      <c r="M165" s="711"/>
      <c r="N165" s="711"/>
      <c r="O165" s="711"/>
      <c r="P165" s="711"/>
      <c r="Q165" s="711"/>
      <c r="R165" s="711"/>
      <c r="S165" s="711"/>
    </row>
    <row r="166" spans="1:30" ht="30" hidden="1" customHeight="1" outlineLevel="1">
      <c r="A166" s="2086" t="s">
        <v>562</v>
      </c>
      <c r="B166" s="2087"/>
      <c r="C166" s="2088"/>
      <c r="D166" s="709" t="s">
        <v>563</v>
      </c>
      <c r="E166" s="709" t="s">
        <v>611</v>
      </c>
      <c r="F166" s="2089" t="s">
        <v>612</v>
      </c>
      <c r="G166" s="2087"/>
      <c r="H166" s="548" t="s">
        <v>566</v>
      </c>
      <c r="L166" s="854" t="s">
        <v>936</v>
      </c>
      <c r="M166" s="711"/>
      <c r="N166" s="711"/>
      <c r="O166" s="711"/>
      <c r="P166" s="711"/>
      <c r="Q166" s="711"/>
      <c r="R166" s="711"/>
      <c r="S166" s="711"/>
    </row>
    <row r="167" spans="1:30" ht="30" hidden="1" customHeight="1" outlineLevel="1">
      <c r="A167" s="2115" t="s">
        <v>567</v>
      </c>
      <c r="B167" s="2118" t="s">
        <v>606</v>
      </c>
      <c r="C167" s="2119"/>
      <c r="D167" s="616">
        <f>SUM(D168:D168)</f>
        <v>63</v>
      </c>
      <c r="E167" s="618">
        <f>SUM(E168:E168)</f>
        <v>900</v>
      </c>
      <c r="F167" s="2120"/>
      <c r="G167" s="2121"/>
      <c r="H167" s="619"/>
      <c r="L167" s="711"/>
      <c r="M167" s="876" t="s">
        <v>893</v>
      </c>
      <c r="N167" s="876" t="s">
        <v>894</v>
      </c>
      <c r="O167" s="876" t="s">
        <v>895</v>
      </c>
      <c r="P167" s="877" t="s">
        <v>896</v>
      </c>
      <c r="Q167" s="878" t="s">
        <v>897</v>
      </c>
      <c r="R167" s="879" t="s">
        <v>898</v>
      </c>
      <c r="S167" s="711"/>
    </row>
    <row r="168" spans="1:30" ht="18" hidden="1" customHeight="1" outlineLevel="1">
      <c r="A168" s="2164"/>
      <c r="B168" s="713" t="s">
        <v>714</v>
      </c>
      <c r="C168" s="714" t="s">
        <v>707</v>
      </c>
      <c r="D168" s="715">
        <f t="shared" ref="D168" si="34">ROUND(E168*F168/1000,0)</f>
        <v>63</v>
      </c>
      <c r="E168" s="715">
        <v>900</v>
      </c>
      <c r="F168" s="2103">
        <v>70</v>
      </c>
      <c r="G168" s="2104"/>
      <c r="H168" s="716" t="s">
        <v>645</v>
      </c>
      <c r="L168" s="711"/>
      <c r="M168" s="876" t="s">
        <v>900</v>
      </c>
      <c r="N168" s="880" t="s">
        <v>901</v>
      </c>
      <c r="O168" s="880" t="s">
        <v>902</v>
      </c>
      <c r="P168" s="881" t="s">
        <v>903</v>
      </c>
      <c r="Q168" s="882" t="s">
        <v>904</v>
      </c>
      <c r="R168" s="883" t="s">
        <v>905</v>
      </c>
      <c r="S168" s="711"/>
    </row>
    <row r="169" spans="1:30" ht="18" hidden="1" customHeight="1" outlineLevel="1">
      <c r="L169" s="854" t="s">
        <v>937</v>
      </c>
      <c r="M169" s="711"/>
      <c r="N169" s="711"/>
      <c r="O169" s="711"/>
      <c r="P169" s="711"/>
      <c r="Q169" s="711"/>
      <c r="R169" s="711"/>
      <c r="S169" s="711"/>
    </row>
    <row r="170" spans="1:30" ht="18" hidden="1" customHeight="1" outlineLevel="1">
      <c r="A170" s="543" t="s">
        <v>860</v>
      </c>
      <c r="B170" s="543"/>
      <c r="D170" s="545"/>
      <c r="E170" s="546"/>
      <c r="F170" s="546"/>
      <c r="G170" s="546"/>
      <c r="L170" s="711" t="s">
        <v>938</v>
      </c>
      <c r="M170" s="711"/>
      <c r="N170" s="711"/>
      <c r="O170" s="712"/>
      <c r="P170" s="712"/>
      <c r="Q170" s="712"/>
      <c r="R170" s="712"/>
      <c r="S170" s="711"/>
    </row>
    <row r="171" spans="1:30" ht="31.5" hidden="1" customHeight="1" outlineLevel="1">
      <c r="A171" s="2086" t="s">
        <v>562</v>
      </c>
      <c r="B171" s="2087"/>
      <c r="C171" s="2088"/>
      <c r="D171" s="709" t="s">
        <v>563</v>
      </c>
      <c r="E171" s="709" t="s">
        <v>611</v>
      </c>
      <c r="F171" s="2089" t="s">
        <v>612</v>
      </c>
      <c r="G171" s="2087"/>
      <c r="H171" s="548" t="s">
        <v>566</v>
      </c>
      <c r="L171" s="711" t="s">
        <v>939</v>
      </c>
      <c r="M171" s="711"/>
      <c r="N171" s="711"/>
      <c r="O171" s="712"/>
      <c r="P171" s="712"/>
      <c r="Q171" s="712"/>
      <c r="R171" s="712"/>
      <c r="S171" s="711"/>
    </row>
    <row r="172" spans="1:30" ht="18" hidden="1" customHeight="1" outlineLevel="1">
      <c r="A172" s="2115" t="s">
        <v>567</v>
      </c>
      <c r="B172" s="2118" t="s">
        <v>606</v>
      </c>
      <c r="C172" s="2119"/>
      <c r="D172" s="616">
        <f>SUM(D173:D173)</f>
        <v>20</v>
      </c>
      <c r="E172" s="618">
        <f>SUM(E173:E173)</f>
        <v>980</v>
      </c>
      <c r="F172" s="2120"/>
      <c r="G172" s="2121"/>
      <c r="H172" s="619"/>
      <c r="L172" s="756"/>
    </row>
    <row r="173" spans="1:30" ht="18" hidden="1" customHeight="1" outlineLevel="1">
      <c r="A173" s="2164"/>
      <c r="B173" s="713" t="s">
        <v>741</v>
      </c>
      <c r="C173" s="714" t="s">
        <v>742</v>
      </c>
      <c r="D173" s="715">
        <f t="shared" ref="D173" si="35">ROUND(E173*F173/1000,0)</f>
        <v>20</v>
      </c>
      <c r="E173" s="715">
        <v>980</v>
      </c>
      <c r="F173" s="2103">
        <v>20</v>
      </c>
      <c r="G173" s="2104"/>
      <c r="H173" s="716" t="s">
        <v>743</v>
      </c>
    </row>
    <row r="174" spans="1:30" ht="18" hidden="1" customHeight="1" outlineLevel="1"/>
    <row r="175" spans="1:30" ht="18" hidden="1" customHeight="1" outlineLevel="1">
      <c r="A175" s="543" t="s">
        <v>778</v>
      </c>
      <c r="B175" s="543"/>
      <c r="D175" s="545"/>
      <c r="E175" s="546"/>
      <c r="F175" s="546"/>
      <c r="G175" s="546"/>
    </row>
    <row r="176" spans="1:30" ht="21.75" hidden="1" customHeight="1" outlineLevel="1">
      <c r="A176" s="2086" t="s">
        <v>562</v>
      </c>
      <c r="B176" s="2087"/>
      <c r="C176" s="2088"/>
      <c r="D176" s="709" t="s">
        <v>756</v>
      </c>
      <c r="E176" s="709" t="s">
        <v>752</v>
      </c>
      <c r="F176" s="2089" t="s">
        <v>757</v>
      </c>
      <c r="G176" s="2087"/>
      <c r="H176" s="548" t="s">
        <v>758</v>
      </c>
    </row>
    <row r="177" spans="1:24" ht="18" hidden="1" customHeight="1" outlineLevel="1">
      <c r="A177" s="2115" t="s">
        <v>567</v>
      </c>
      <c r="B177" s="2118" t="s">
        <v>606</v>
      </c>
      <c r="C177" s="2119"/>
      <c r="D177" s="740">
        <f>SUM(D178:D178)</f>
        <v>3.5</v>
      </c>
      <c r="E177" s="618"/>
      <c r="F177" s="2173">
        <f>+F178</f>
        <v>3.15</v>
      </c>
      <c r="G177" s="2174"/>
      <c r="H177" s="741">
        <f>+H178</f>
        <v>4</v>
      </c>
    </row>
    <row r="178" spans="1:24" ht="18" hidden="1" customHeight="1" outlineLevel="1">
      <c r="A178" s="2164"/>
      <c r="B178" s="713" t="s">
        <v>748</v>
      </c>
      <c r="C178" s="714" t="s">
        <v>635</v>
      </c>
      <c r="D178" s="715">
        <f>+R188</f>
        <v>3.5</v>
      </c>
      <c r="E178" s="715">
        <v>90</v>
      </c>
      <c r="F178" s="2175">
        <f>+D178*E178/100</f>
        <v>3.15</v>
      </c>
      <c r="G178" s="2176"/>
      <c r="H178" s="742">
        <f>ROUND(+F178*1.25,0)</f>
        <v>4</v>
      </c>
    </row>
    <row r="179" spans="1:24" ht="15" hidden="1" customHeight="1" outlineLevel="1"/>
    <row r="180" spans="1:24" ht="18" customHeight="1" collapsed="1">
      <c r="L180" s="711" t="s">
        <v>737</v>
      </c>
      <c r="M180" s="711"/>
      <c r="N180" s="711"/>
      <c r="O180" s="712"/>
      <c r="P180" s="712"/>
      <c r="Q180" s="712"/>
    </row>
    <row r="181" spans="1:24" ht="30.75" customHeight="1">
      <c r="L181" s="711" t="s">
        <v>738</v>
      </c>
      <c r="M181" s="711"/>
      <c r="N181" s="711"/>
      <c r="O181" s="712"/>
      <c r="P181" s="712"/>
      <c r="Q181" s="712"/>
    </row>
    <row r="182" spans="1:24" ht="30.75" customHeight="1">
      <c r="L182" s="711" t="s">
        <v>739</v>
      </c>
      <c r="M182" s="711"/>
      <c r="N182" s="711"/>
      <c r="O182" s="712"/>
      <c r="P182" s="712"/>
      <c r="Q182" s="712"/>
    </row>
    <row r="183" spans="1:24" ht="30.75" customHeight="1">
      <c r="L183" s="711" t="s">
        <v>740</v>
      </c>
      <c r="M183" s="711"/>
      <c r="N183" s="711"/>
      <c r="O183" s="712"/>
      <c r="P183" s="712"/>
      <c r="Q183" s="712"/>
    </row>
    <row r="184" spans="1:24" ht="10.5" customHeight="1">
      <c r="L184" s="756" t="s">
        <v>845</v>
      </c>
    </row>
    <row r="185" spans="1:24" ht="30.75" customHeight="1" thickBot="1"/>
    <row r="186" spans="1:24" ht="29.25" customHeight="1">
      <c r="L186" s="717" t="s">
        <v>744</v>
      </c>
      <c r="M186" s="717" t="s">
        <v>744</v>
      </c>
      <c r="N186" s="717" t="s">
        <v>38</v>
      </c>
      <c r="O186" s="717" t="s">
        <v>39</v>
      </c>
      <c r="P186" s="717" t="s">
        <v>40</v>
      </c>
      <c r="Q186" s="718" t="s">
        <v>41</v>
      </c>
      <c r="R186" s="719" t="s">
        <v>28</v>
      </c>
      <c r="S186" s="734" t="s">
        <v>29</v>
      </c>
      <c r="T186" s="720" t="s">
        <v>30</v>
      </c>
      <c r="U186" s="717" t="s">
        <v>31</v>
      </c>
      <c r="V186" s="717" t="s">
        <v>32</v>
      </c>
      <c r="W186" s="717" t="s">
        <v>33</v>
      </c>
      <c r="X186" s="717" t="s">
        <v>34</v>
      </c>
    </row>
    <row r="187" spans="1:24" ht="29.25" customHeight="1">
      <c r="L187" s="717" t="s">
        <v>745</v>
      </c>
      <c r="M187" s="721">
        <v>60</v>
      </c>
      <c r="N187" s="721">
        <v>20</v>
      </c>
      <c r="O187" s="721">
        <v>29</v>
      </c>
      <c r="P187" s="721">
        <v>70</v>
      </c>
      <c r="Q187" s="722">
        <v>77</v>
      </c>
      <c r="R187" s="723">
        <v>105</v>
      </c>
      <c r="S187" s="724">
        <v>103</v>
      </c>
      <c r="T187" s="721">
        <v>96</v>
      </c>
      <c r="U187" s="721">
        <v>43</v>
      </c>
      <c r="V187" s="721">
        <v>77</v>
      </c>
      <c r="W187" s="721">
        <v>82</v>
      </c>
      <c r="X187" s="721">
        <v>89</v>
      </c>
    </row>
    <row r="188" spans="1:24" ht="29.25" customHeight="1">
      <c r="L188" s="717" t="s">
        <v>746</v>
      </c>
      <c r="M188" s="725">
        <f t="shared" ref="M188:X188" si="36">+M187/M189</f>
        <v>1.935483870967742</v>
      </c>
      <c r="N188" s="725">
        <f t="shared" si="36"/>
        <v>0.7142857142857143</v>
      </c>
      <c r="O188" s="725">
        <f t="shared" si="36"/>
        <v>0.93548387096774188</v>
      </c>
      <c r="P188" s="725">
        <f t="shared" si="36"/>
        <v>2.3333333333333335</v>
      </c>
      <c r="Q188" s="730">
        <f t="shared" si="36"/>
        <v>2.4838709677419355</v>
      </c>
      <c r="R188" s="732">
        <f t="shared" si="36"/>
        <v>3.5</v>
      </c>
      <c r="S188" s="728">
        <f t="shared" si="36"/>
        <v>3.3225806451612905</v>
      </c>
      <c r="T188" s="725">
        <f t="shared" si="36"/>
        <v>3.096774193548387</v>
      </c>
      <c r="U188" s="725">
        <f t="shared" si="36"/>
        <v>1.4333333333333333</v>
      </c>
      <c r="V188" s="725">
        <f t="shared" si="36"/>
        <v>2.4838709677419355</v>
      </c>
      <c r="W188" s="725">
        <f t="shared" si="36"/>
        <v>2.7333333333333334</v>
      </c>
      <c r="X188" s="725">
        <f t="shared" si="36"/>
        <v>2.870967741935484</v>
      </c>
    </row>
    <row r="189" spans="1:24" ht="29.25" customHeight="1" thickBot="1">
      <c r="L189" s="717" t="s">
        <v>747</v>
      </c>
      <c r="M189" s="726">
        <v>31</v>
      </c>
      <c r="N189" s="727">
        <v>28</v>
      </c>
      <c r="O189" s="727">
        <v>31</v>
      </c>
      <c r="P189" s="726">
        <v>30</v>
      </c>
      <c r="Q189" s="731">
        <v>31</v>
      </c>
      <c r="R189" s="733">
        <v>30</v>
      </c>
      <c r="S189" s="729">
        <v>31</v>
      </c>
      <c r="T189" s="726">
        <v>31</v>
      </c>
      <c r="U189" s="726">
        <v>30</v>
      </c>
      <c r="V189" s="726">
        <v>31</v>
      </c>
      <c r="W189" s="726">
        <v>30</v>
      </c>
      <c r="X189" s="726">
        <v>31</v>
      </c>
    </row>
    <row r="190" spans="1:24" ht="29.25" customHeight="1"/>
    <row r="191" spans="1:24" ht="29.25" customHeight="1">
      <c r="L191" s="717" t="s">
        <v>749</v>
      </c>
      <c r="M191" s="717" t="s">
        <v>750</v>
      </c>
      <c r="N191" s="735" t="s">
        <v>751</v>
      </c>
      <c r="O191" s="717" t="s">
        <v>752</v>
      </c>
      <c r="P191" s="736" t="s">
        <v>753</v>
      </c>
      <c r="Q191" s="717"/>
    </row>
    <row r="192" spans="1:24" ht="29.25" customHeight="1">
      <c r="L192" s="737" t="s">
        <v>754</v>
      </c>
      <c r="M192" s="738">
        <v>851</v>
      </c>
      <c r="N192" s="738">
        <f>M192/365</f>
        <v>2.3315068493150686</v>
      </c>
      <c r="O192" s="737">
        <v>0.9</v>
      </c>
      <c r="P192" s="737">
        <f>ROUND(N192*O192*1.25,0)</f>
        <v>3</v>
      </c>
      <c r="Q192" s="737"/>
    </row>
    <row r="193" spans="1:18" ht="18" customHeight="1">
      <c r="L193" s="737" t="s">
        <v>755</v>
      </c>
      <c r="M193" s="738">
        <v>105</v>
      </c>
      <c r="N193" s="738">
        <f>M193/31</f>
        <v>3.3870967741935485</v>
      </c>
      <c r="O193" s="737">
        <v>0.9</v>
      </c>
      <c r="P193" s="739">
        <f>ROUND(N193*O193*1.25,0)</f>
        <v>4</v>
      </c>
      <c r="Q193" s="737"/>
    </row>
    <row r="194" spans="1:18" ht="18" customHeight="1"/>
    <row r="195" spans="1:18" ht="18" customHeight="1"/>
    <row r="196" spans="1:18" ht="18" customHeight="1"/>
    <row r="197" spans="1:18" ht="18" customHeight="1"/>
    <row r="198" spans="1:18" ht="18" customHeight="1"/>
    <row r="199" spans="1:18" ht="18" customHeight="1">
      <c r="A199" s="544" t="s">
        <v>835</v>
      </c>
    </row>
    <row r="200" spans="1:18" ht="18" customHeight="1">
      <c r="A200" s="2169" t="s">
        <v>838</v>
      </c>
      <c r="B200" s="2169"/>
      <c r="C200" s="760" t="s">
        <v>837</v>
      </c>
      <c r="D200" s="760" t="s">
        <v>836</v>
      </c>
      <c r="E200" s="760" t="s">
        <v>842</v>
      </c>
      <c r="F200" s="761" t="s">
        <v>839</v>
      </c>
      <c r="N200" s="755" t="s">
        <v>563</v>
      </c>
      <c r="O200" s="755" t="s">
        <v>611</v>
      </c>
      <c r="P200" s="2089" t="s">
        <v>612</v>
      </c>
      <c r="Q200" s="2087"/>
      <c r="R200" s="548" t="s">
        <v>566</v>
      </c>
    </row>
    <row r="201" spans="1:18" ht="18" customHeight="1">
      <c r="A201" s="2170" t="s">
        <v>840</v>
      </c>
      <c r="B201" s="762" t="s">
        <v>843</v>
      </c>
      <c r="C201" s="760"/>
      <c r="D201" s="760"/>
      <c r="E201" s="760"/>
      <c r="F201" s="761">
        <f>SUM(F202:F208)</f>
        <v>300</v>
      </c>
      <c r="N201" s="769">
        <f>SUM(N202:N206)</f>
        <v>84</v>
      </c>
      <c r="O201" s="769">
        <f>SUM(O202:O206)</f>
        <v>1661</v>
      </c>
      <c r="P201" s="2095"/>
      <c r="Q201" s="2095"/>
      <c r="R201" s="619"/>
    </row>
    <row r="202" spans="1:18" ht="18" customHeight="1">
      <c r="A202" s="2171"/>
      <c r="B202" s="759" t="s">
        <v>833</v>
      </c>
      <c r="C202" s="759">
        <v>6</v>
      </c>
      <c r="D202" s="759" t="s">
        <v>803</v>
      </c>
      <c r="E202" s="759"/>
      <c r="F202" s="759">
        <v>6</v>
      </c>
      <c r="N202" s="771">
        <f t="shared" ref="N202:N206" si="37">ROUND(O202*P202/1000,0)</f>
        <v>60</v>
      </c>
      <c r="O202" s="770">
        <v>300</v>
      </c>
      <c r="P202" s="2097">
        <v>200</v>
      </c>
      <c r="Q202" s="2097"/>
      <c r="R202" s="621" t="s">
        <v>636</v>
      </c>
    </row>
    <row r="203" spans="1:18" ht="18" customHeight="1">
      <c r="A203" s="2171"/>
      <c r="B203" s="759" t="s">
        <v>805</v>
      </c>
      <c r="C203" s="759">
        <v>96</v>
      </c>
      <c r="D203" s="759" t="s">
        <v>803</v>
      </c>
      <c r="E203" s="759"/>
      <c r="F203" s="759">
        <v>192</v>
      </c>
      <c r="N203" s="771">
        <f t="shared" si="37"/>
        <v>1</v>
      </c>
      <c r="O203" s="771">
        <v>74</v>
      </c>
      <c r="P203" s="2097">
        <v>15</v>
      </c>
      <c r="Q203" s="2097"/>
      <c r="R203" s="621" t="s">
        <v>853</v>
      </c>
    </row>
    <row r="204" spans="1:18" ht="18" customHeight="1">
      <c r="A204" s="2171"/>
      <c r="B204" s="759" t="s">
        <v>807</v>
      </c>
      <c r="C204" s="759">
        <v>5</v>
      </c>
      <c r="D204" s="759" t="s">
        <v>803</v>
      </c>
      <c r="E204" s="759"/>
      <c r="F204" s="759">
        <v>10</v>
      </c>
      <c r="N204" s="771">
        <f t="shared" si="37"/>
        <v>3</v>
      </c>
      <c r="O204" s="771">
        <v>187</v>
      </c>
      <c r="P204" s="2097">
        <v>15</v>
      </c>
      <c r="Q204" s="2097"/>
      <c r="R204" s="621" t="s">
        <v>726</v>
      </c>
    </row>
    <row r="205" spans="1:18" ht="18" customHeight="1">
      <c r="A205" s="2171"/>
      <c r="B205" s="759" t="s">
        <v>809</v>
      </c>
      <c r="C205" s="759">
        <v>23</v>
      </c>
      <c r="D205" s="759" t="s">
        <v>810</v>
      </c>
      <c r="E205" s="759"/>
      <c r="F205" s="759">
        <v>92</v>
      </c>
      <c r="N205" s="771">
        <f t="shared" si="37"/>
        <v>14</v>
      </c>
      <c r="O205" s="771">
        <f>+N260</f>
        <v>900</v>
      </c>
      <c r="P205" s="2097">
        <v>15</v>
      </c>
      <c r="Q205" s="2097"/>
      <c r="R205" s="621" t="s">
        <v>854</v>
      </c>
    </row>
    <row r="206" spans="1:18" ht="18" customHeight="1">
      <c r="A206" s="2171"/>
      <c r="B206" s="759" t="s">
        <v>846</v>
      </c>
      <c r="C206" s="759">
        <v>1</v>
      </c>
      <c r="D206" s="759" t="s">
        <v>815</v>
      </c>
      <c r="E206" s="759"/>
      <c r="F206" s="759"/>
      <c r="N206" s="625">
        <f t="shared" si="37"/>
        <v>6</v>
      </c>
      <c r="O206" s="772">
        <v>200</v>
      </c>
      <c r="P206" s="2098">
        <v>30</v>
      </c>
      <c r="Q206" s="2098"/>
      <c r="R206" s="773" t="s">
        <v>607</v>
      </c>
    </row>
    <row r="207" spans="1:18" ht="18" customHeight="1">
      <c r="A207" s="2171"/>
      <c r="B207" s="759" t="s">
        <v>816</v>
      </c>
      <c r="C207" s="759">
        <v>1</v>
      </c>
      <c r="D207" s="759" t="s">
        <v>817</v>
      </c>
      <c r="E207" s="759"/>
      <c r="F207" s="759"/>
    </row>
    <row r="208" spans="1:18" ht="18" customHeight="1">
      <c r="A208" s="2172"/>
      <c r="B208" s="759" t="s">
        <v>818</v>
      </c>
      <c r="C208" s="759">
        <v>7</v>
      </c>
      <c r="D208" s="759">
        <f>28*C208</f>
        <v>196</v>
      </c>
      <c r="E208" s="759"/>
      <c r="F208" s="759" t="s">
        <v>801</v>
      </c>
    </row>
    <row r="209" spans="1:19" ht="18" customHeight="1">
      <c r="A209" s="759" t="s">
        <v>841</v>
      </c>
      <c r="B209" s="759" t="s">
        <v>820</v>
      </c>
      <c r="C209" s="759">
        <v>1</v>
      </c>
      <c r="D209" s="759" t="s">
        <v>821</v>
      </c>
      <c r="E209" s="759"/>
      <c r="F209" s="759" t="s">
        <v>822</v>
      </c>
      <c r="L209" s="544" t="s">
        <v>835</v>
      </c>
      <c r="O209" s="544" t="s">
        <v>861</v>
      </c>
      <c r="Q209" s="544" t="s">
        <v>862</v>
      </c>
    </row>
    <row r="210" spans="1:19" ht="18" customHeight="1">
      <c r="A210" s="757"/>
      <c r="B210" s="465"/>
      <c r="C210" s="465"/>
      <c r="D210" s="465"/>
      <c r="E210" s="465"/>
      <c r="F210" s="465"/>
      <c r="G210" s="546"/>
      <c r="H210" s="546"/>
      <c r="L210" s="758" t="s">
        <v>780</v>
      </c>
      <c r="M210" s="758" t="s">
        <v>823</v>
      </c>
      <c r="N210" s="758">
        <v>1</v>
      </c>
      <c r="O210" s="758" t="s">
        <v>781</v>
      </c>
      <c r="P210" s="758" t="s">
        <v>782</v>
      </c>
      <c r="R210" s="778">
        <v>518</v>
      </c>
      <c r="S210" s="778">
        <f>+N210*R210</f>
        <v>518</v>
      </c>
    </row>
    <row r="211" spans="1:19" ht="18" customHeight="1">
      <c r="A211" s="2108" t="s">
        <v>562</v>
      </c>
      <c r="B211" s="2109"/>
      <c r="C211" s="2110"/>
      <c r="D211" s="697" t="s">
        <v>563</v>
      </c>
      <c r="E211" s="697" t="s">
        <v>718</v>
      </c>
      <c r="F211" s="2111" t="s">
        <v>612</v>
      </c>
      <c r="G211" s="2109"/>
      <c r="H211" s="698" t="s">
        <v>566</v>
      </c>
      <c r="L211" s="758"/>
      <c r="M211" s="758" t="s">
        <v>824</v>
      </c>
      <c r="N211" s="758">
        <v>1</v>
      </c>
      <c r="O211" s="758" t="s">
        <v>783</v>
      </c>
      <c r="P211" s="758" t="s">
        <v>784</v>
      </c>
      <c r="R211" s="778">
        <v>256</v>
      </c>
      <c r="S211" s="778">
        <f t="shared" ref="S211:S229" si="38">+N211*R211</f>
        <v>256</v>
      </c>
    </row>
    <row r="212" spans="1:19" ht="18" customHeight="1">
      <c r="A212" s="2105" t="s">
        <v>567</v>
      </c>
      <c r="B212" s="2112" t="s">
        <v>606</v>
      </c>
      <c r="C212" s="2112"/>
      <c r="D212" s="699">
        <f>SUM(D213:D217)</f>
        <v>27</v>
      </c>
      <c r="E212" s="700">
        <f>SUM(E213:E213)</f>
        <v>948</v>
      </c>
      <c r="F212" s="2102"/>
      <c r="G212" s="2102"/>
      <c r="H212" s="701"/>
      <c r="L212" s="758"/>
      <c r="M212" s="758" t="s">
        <v>825</v>
      </c>
      <c r="N212" s="758">
        <v>1</v>
      </c>
      <c r="O212" s="758" t="s">
        <v>785</v>
      </c>
      <c r="P212" s="758" t="s">
        <v>786</v>
      </c>
      <c r="R212" s="778">
        <v>200</v>
      </c>
      <c r="S212" s="778">
        <f t="shared" si="38"/>
        <v>200</v>
      </c>
    </row>
    <row r="213" spans="1:19" ht="18" customHeight="1">
      <c r="A213" s="2106"/>
      <c r="B213" s="703" t="s">
        <v>719</v>
      </c>
      <c r="C213" s="702" t="s">
        <v>724</v>
      </c>
      <c r="D213" s="701">
        <f t="shared" ref="D213:D217" si="39">ROUND(E213*F213/1000,0)</f>
        <v>11</v>
      </c>
      <c r="E213" s="701">
        <f>474*2</f>
        <v>948</v>
      </c>
      <c r="F213" s="2102">
        <v>12</v>
      </c>
      <c r="G213" s="2102"/>
      <c r="H213" s="701"/>
      <c r="L213" s="758"/>
      <c r="M213" s="758" t="s">
        <v>825</v>
      </c>
      <c r="N213" s="758">
        <v>3</v>
      </c>
      <c r="O213" s="758" t="s">
        <v>787</v>
      </c>
      <c r="P213" s="758" t="s">
        <v>788</v>
      </c>
      <c r="R213" s="778">
        <v>159</v>
      </c>
      <c r="S213" s="778">
        <f t="shared" si="38"/>
        <v>477</v>
      </c>
    </row>
    <row r="214" spans="1:19" ht="18" customHeight="1">
      <c r="A214" s="2106"/>
      <c r="B214" s="704" t="s">
        <v>720</v>
      </c>
      <c r="C214" s="702" t="s">
        <v>724</v>
      </c>
      <c r="D214" s="701">
        <f t="shared" si="39"/>
        <v>3</v>
      </c>
      <c r="E214" s="705">
        <v>227</v>
      </c>
      <c r="F214" s="2102">
        <v>12</v>
      </c>
      <c r="G214" s="2102"/>
      <c r="H214" s="705"/>
      <c r="L214" s="758"/>
      <c r="M214" s="758" t="s">
        <v>826</v>
      </c>
      <c r="N214" s="758">
        <v>2</v>
      </c>
      <c r="O214" s="758" t="s">
        <v>789</v>
      </c>
      <c r="P214" s="758" t="s">
        <v>790</v>
      </c>
      <c r="R214" s="778">
        <v>104</v>
      </c>
      <c r="S214" s="778">
        <f t="shared" si="38"/>
        <v>208</v>
      </c>
    </row>
    <row r="215" spans="1:19" ht="18" customHeight="1">
      <c r="A215" s="2106"/>
      <c r="B215" s="704" t="s">
        <v>721</v>
      </c>
      <c r="C215" s="702" t="s">
        <v>724</v>
      </c>
      <c r="D215" s="701">
        <f t="shared" si="39"/>
        <v>2</v>
      </c>
      <c r="E215" s="705">
        <v>155</v>
      </c>
      <c r="F215" s="2102">
        <v>12</v>
      </c>
      <c r="G215" s="2102"/>
      <c r="H215" s="705"/>
      <c r="L215" s="758"/>
      <c r="M215" s="758" t="s">
        <v>827</v>
      </c>
      <c r="N215" s="758">
        <v>1</v>
      </c>
      <c r="O215" s="758" t="s">
        <v>791</v>
      </c>
      <c r="P215" s="758" t="s">
        <v>792</v>
      </c>
      <c r="R215" s="778">
        <v>234</v>
      </c>
      <c r="S215" s="778">
        <f t="shared" si="38"/>
        <v>234</v>
      </c>
    </row>
    <row r="216" spans="1:19" ht="18" customHeight="1">
      <c r="A216" s="2106"/>
      <c r="B216" s="704" t="s">
        <v>722</v>
      </c>
      <c r="C216" s="702" t="s">
        <v>724</v>
      </c>
      <c r="D216" s="701">
        <f t="shared" si="39"/>
        <v>1</v>
      </c>
      <c r="E216" s="705">
        <v>68</v>
      </c>
      <c r="F216" s="2102">
        <v>12</v>
      </c>
      <c r="G216" s="2102"/>
      <c r="H216" s="705"/>
      <c r="L216" s="758"/>
      <c r="M216" s="758" t="s">
        <v>834</v>
      </c>
      <c r="N216" s="758">
        <v>1</v>
      </c>
      <c r="O216" s="758" t="s">
        <v>793</v>
      </c>
      <c r="P216" s="758" t="s">
        <v>794</v>
      </c>
      <c r="R216" s="778">
        <v>145</v>
      </c>
      <c r="S216" s="778">
        <f t="shared" si="38"/>
        <v>145</v>
      </c>
    </row>
    <row r="217" spans="1:19" ht="18" customHeight="1">
      <c r="A217" s="2107"/>
      <c r="B217" s="704" t="s">
        <v>723</v>
      </c>
      <c r="C217" s="704" t="s">
        <v>725</v>
      </c>
      <c r="D217" s="701">
        <f t="shared" si="39"/>
        <v>10</v>
      </c>
      <c r="E217" s="705">
        <v>59</v>
      </c>
      <c r="F217" s="2102">
        <v>170</v>
      </c>
      <c r="G217" s="2102"/>
      <c r="H217" s="705"/>
      <c r="L217" s="758"/>
      <c r="M217" s="758" t="s">
        <v>828</v>
      </c>
      <c r="N217" s="758">
        <v>1</v>
      </c>
      <c r="O217" s="758" t="s">
        <v>795</v>
      </c>
      <c r="P217" s="758" t="s">
        <v>796</v>
      </c>
      <c r="R217" s="778">
        <v>207</v>
      </c>
      <c r="S217" s="778">
        <f t="shared" si="38"/>
        <v>207</v>
      </c>
    </row>
    <row r="218" spans="1:19" ht="18" customHeight="1">
      <c r="L218" s="761"/>
      <c r="M218" s="758" t="s">
        <v>829</v>
      </c>
      <c r="N218" s="758">
        <v>1</v>
      </c>
      <c r="O218" s="758" t="s">
        <v>797</v>
      </c>
      <c r="P218" s="758" t="s">
        <v>786</v>
      </c>
      <c r="R218" s="778">
        <v>156</v>
      </c>
      <c r="S218" s="778">
        <f t="shared" si="38"/>
        <v>156</v>
      </c>
    </row>
    <row r="219" spans="1:19" ht="18" customHeight="1">
      <c r="L219" s="758"/>
      <c r="M219" s="758" t="s">
        <v>830</v>
      </c>
      <c r="N219" s="758">
        <v>10</v>
      </c>
      <c r="O219" s="758" t="s">
        <v>798</v>
      </c>
      <c r="P219" s="758" t="s">
        <v>799</v>
      </c>
      <c r="R219" s="778">
        <v>52</v>
      </c>
      <c r="S219" s="778">
        <f t="shared" si="38"/>
        <v>520</v>
      </c>
    </row>
    <row r="220" spans="1:19" ht="18" customHeight="1">
      <c r="L220" s="758"/>
      <c r="M220" s="758" t="s">
        <v>831</v>
      </c>
      <c r="N220" s="758">
        <v>1</v>
      </c>
      <c r="O220" s="758" t="s">
        <v>800</v>
      </c>
      <c r="P220" s="758" t="s">
        <v>786</v>
      </c>
      <c r="R220" s="778">
        <v>169</v>
      </c>
      <c r="S220" s="778">
        <f t="shared" si="38"/>
        <v>169</v>
      </c>
    </row>
    <row r="221" spans="1:19" ht="18" customHeight="1">
      <c r="L221" s="758"/>
      <c r="M221" s="758" t="s">
        <v>832</v>
      </c>
      <c r="N221" s="758">
        <v>9</v>
      </c>
      <c r="O221" s="758" t="s">
        <v>801</v>
      </c>
      <c r="P221" s="758" t="s">
        <v>801</v>
      </c>
      <c r="R221" s="778">
        <v>0</v>
      </c>
      <c r="S221" s="778">
        <f t="shared" si="38"/>
        <v>0</v>
      </c>
    </row>
    <row r="222" spans="1:19" ht="18" customHeight="1">
      <c r="L222" s="758" t="s">
        <v>802</v>
      </c>
      <c r="M222" s="758" t="s">
        <v>833</v>
      </c>
      <c r="N222" s="758">
        <v>6</v>
      </c>
      <c r="O222" s="758" t="s">
        <v>803</v>
      </c>
      <c r="P222" s="758" t="s">
        <v>804</v>
      </c>
      <c r="R222" s="778">
        <v>28</v>
      </c>
      <c r="S222" s="778">
        <f t="shared" si="38"/>
        <v>168</v>
      </c>
    </row>
    <row r="223" spans="1:19" ht="18" customHeight="1">
      <c r="L223" s="758" t="s">
        <v>780</v>
      </c>
      <c r="M223" s="758" t="s">
        <v>805</v>
      </c>
      <c r="N223" s="758">
        <v>96</v>
      </c>
      <c r="O223" s="758" t="s">
        <v>803</v>
      </c>
      <c r="P223" s="758" t="s">
        <v>806</v>
      </c>
      <c r="R223" s="778">
        <v>28</v>
      </c>
      <c r="S223" s="778">
        <f t="shared" si="38"/>
        <v>2688</v>
      </c>
    </row>
    <row r="224" spans="1:19" ht="18" customHeight="1">
      <c r="L224" s="758"/>
      <c r="M224" s="758" t="s">
        <v>807</v>
      </c>
      <c r="N224" s="758">
        <v>5</v>
      </c>
      <c r="O224" s="758" t="s">
        <v>803</v>
      </c>
      <c r="P224" s="758" t="s">
        <v>808</v>
      </c>
      <c r="R224" s="778">
        <v>28</v>
      </c>
      <c r="S224" s="778">
        <f t="shared" si="38"/>
        <v>140</v>
      </c>
    </row>
    <row r="225" spans="12:20" ht="18" customHeight="1">
      <c r="L225" s="758"/>
      <c r="M225" s="758" t="s">
        <v>809</v>
      </c>
      <c r="N225" s="758">
        <v>23</v>
      </c>
      <c r="O225" s="758" t="s">
        <v>810</v>
      </c>
      <c r="P225" s="758" t="s">
        <v>811</v>
      </c>
      <c r="R225" s="778">
        <v>47</v>
      </c>
      <c r="S225" s="778">
        <f t="shared" si="38"/>
        <v>1081</v>
      </c>
    </row>
    <row r="226" spans="12:20" ht="18" customHeight="1">
      <c r="L226" s="758"/>
      <c r="M226" s="758" t="s">
        <v>812</v>
      </c>
      <c r="N226" s="758">
        <v>1</v>
      </c>
      <c r="O226" s="758" t="s">
        <v>813</v>
      </c>
      <c r="P226" s="758"/>
      <c r="R226" s="778">
        <v>425</v>
      </c>
      <c r="S226" s="778">
        <f t="shared" si="38"/>
        <v>425</v>
      </c>
    </row>
    <row r="227" spans="12:20" ht="18" customHeight="1">
      <c r="L227" s="758"/>
      <c r="M227" s="758" t="s">
        <v>814</v>
      </c>
      <c r="N227" s="758">
        <v>1</v>
      </c>
      <c r="O227" s="758" t="s">
        <v>815</v>
      </c>
      <c r="P227" s="758"/>
      <c r="R227" s="778">
        <v>74</v>
      </c>
      <c r="S227" s="778">
        <f t="shared" si="38"/>
        <v>74</v>
      </c>
    </row>
    <row r="228" spans="12:20" ht="18" customHeight="1">
      <c r="L228" s="758"/>
      <c r="M228" s="758" t="s">
        <v>816</v>
      </c>
      <c r="N228" s="758">
        <v>1</v>
      </c>
      <c r="O228" s="758" t="s">
        <v>817</v>
      </c>
      <c r="P228" s="758"/>
      <c r="R228" s="778">
        <v>187</v>
      </c>
      <c r="S228" s="778">
        <f t="shared" si="38"/>
        <v>187</v>
      </c>
    </row>
    <row r="229" spans="12:20" ht="18" customHeight="1">
      <c r="L229" s="758"/>
      <c r="M229" s="758" t="s">
        <v>818</v>
      </c>
      <c r="N229" s="758">
        <v>7</v>
      </c>
      <c r="O229" s="758" t="s">
        <v>801</v>
      </c>
      <c r="P229" s="758" t="s">
        <v>801</v>
      </c>
      <c r="R229" s="778">
        <v>0</v>
      </c>
      <c r="S229" s="778">
        <f t="shared" si="38"/>
        <v>0</v>
      </c>
    </row>
    <row r="230" spans="12:20" ht="18" customHeight="1">
      <c r="L230" s="758" t="s">
        <v>819</v>
      </c>
      <c r="M230" s="2168" t="s">
        <v>820</v>
      </c>
      <c r="N230" s="2168">
        <v>1</v>
      </c>
      <c r="O230" s="2168" t="s">
        <v>821</v>
      </c>
      <c r="P230" s="2168" t="s">
        <v>822</v>
      </c>
      <c r="R230" s="2085">
        <v>680</v>
      </c>
      <c r="S230" s="2085">
        <v>680</v>
      </c>
    </row>
    <row r="231" spans="12:20" ht="18" customHeight="1">
      <c r="L231" s="758" t="s">
        <v>780</v>
      </c>
      <c r="M231" s="2168"/>
      <c r="N231" s="2168"/>
      <c r="O231" s="2168"/>
      <c r="P231" s="2168"/>
      <c r="R231" s="2085"/>
      <c r="S231" s="2085"/>
    </row>
    <row r="232" spans="12:20" ht="18" customHeight="1">
      <c r="R232" s="779">
        <f>SUM(R210:R231)</f>
        <v>3697</v>
      </c>
      <c r="S232" s="779">
        <f>SUM(S210:S231)</f>
        <v>8533</v>
      </c>
      <c r="T232" s="780">
        <f>+S232*0.009</f>
        <v>76.796999999999997</v>
      </c>
    </row>
    <row r="233" spans="12:20" ht="18" customHeight="1"/>
    <row r="234" spans="12:20" ht="18" customHeight="1"/>
    <row r="235" spans="12:20" ht="16.5" customHeight="1">
      <c r="L235" s="2086" t="s">
        <v>562</v>
      </c>
      <c r="M235" s="2087"/>
      <c r="N235" s="2088"/>
      <c r="O235" s="755" t="s">
        <v>563</v>
      </c>
      <c r="P235" s="755" t="s">
        <v>611</v>
      </c>
      <c r="Q235" s="2089" t="s">
        <v>612</v>
      </c>
      <c r="R235" s="2087"/>
      <c r="S235" s="548" t="s">
        <v>566</v>
      </c>
    </row>
    <row r="236" spans="12:20">
      <c r="L236" s="2090" t="s">
        <v>567</v>
      </c>
      <c r="M236" s="2094" t="s">
        <v>606</v>
      </c>
      <c r="N236" s="2094"/>
      <c r="O236" s="769">
        <f>SUM(O237:O242)</f>
        <v>75</v>
      </c>
      <c r="P236" s="769">
        <f>SUM(P237:P242)</f>
        <v>7628</v>
      </c>
      <c r="Q236" s="2095"/>
      <c r="R236" s="2095"/>
      <c r="S236" s="619"/>
    </row>
    <row r="237" spans="12:20" ht="24.95" customHeight="1">
      <c r="L237" s="2091"/>
      <c r="M237" s="2099" t="s">
        <v>849</v>
      </c>
      <c r="N237" s="781" t="s">
        <v>863</v>
      </c>
      <c r="O237" s="771">
        <f t="shared" ref="O237" si="40">ROUND(P237*Q237/1000,0)</f>
        <v>28</v>
      </c>
      <c r="P237" s="771">
        <v>3090</v>
      </c>
      <c r="Q237" s="2096">
        <v>9</v>
      </c>
      <c r="R237" s="2096"/>
      <c r="S237" s="621" t="s">
        <v>864</v>
      </c>
    </row>
    <row r="238" spans="12:20" ht="24.95" customHeight="1">
      <c r="L238" s="2092"/>
      <c r="M238" s="2100"/>
      <c r="N238" s="620" t="s">
        <v>636</v>
      </c>
      <c r="O238" s="771">
        <f t="shared" ref="O238:O242" si="41">ROUND(P238*Q238/1000,0)</f>
        <v>31</v>
      </c>
      <c r="P238" s="771">
        <v>4077</v>
      </c>
      <c r="Q238" s="2096">
        <v>7.5</v>
      </c>
      <c r="R238" s="2096"/>
      <c r="S238" s="621" t="s">
        <v>636</v>
      </c>
    </row>
    <row r="239" spans="12:20" ht="30" customHeight="1">
      <c r="L239" s="2092"/>
      <c r="M239" s="2100"/>
      <c r="N239" s="620" t="s">
        <v>728</v>
      </c>
      <c r="O239" s="771">
        <f t="shared" si="41"/>
        <v>1</v>
      </c>
      <c r="P239" s="771">
        <v>74</v>
      </c>
      <c r="Q239" s="2097">
        <v>15</v>
      </c>
      <c r="R239" s="2097"/>
      <c r="S239" s="621" t="s">
        <v>853</v>
      </c>
    </row>
    <row r="240" spans="12:20" ht="30" customHeight="1">
      <c r="L240" s="2092"/>
      <c r="M240" s="2100"/>
      <c r="N240" s="620" t="s">
        <v>847</v>
      </c>
      <c r="O240" s="771">
        <f t="shared" si="41"/>
        <v>9</v>
      </c>
      <c r="P240" s="771">
        <v>187</v>
      </c>
      <c r="Q240" s="2097">
        <v>46</v>
      </c>
      <c r="R240" s="2097"/>
      <c r="S240" s="621" t="s">
        <v>727</v>
      </c>
    </row>
    <row r="241" spans="12:19" ht="30" customHeight="1">
      <c r="L241" s="2092"/>
      <c r="M241" s="2101"/>
      <c r="N241" s="620" t="s">
        <v>848</v>
      </c>
      <c r="O241" s="771">
        <f t="shared" si="41"/>
        <v>0</v>
      </c>
      <c r="P241" s="771">
        <f>+O295</f>
        <v>0</v>
      </c>
      <c r="Q241" s="2097">
        <v>15</v>
      </c>
      <c r="R241" s="2097"/>
      <c r="S241" s="621" t="s">
        <v>854</v>
      </c>
    </row>
    <row r="242" spans="12:19" ht="30" customHeight="1">
      <c r="L242" s="2093"/>
      <c r="M242" s="774" t="s">
        <v>844</v>
      </c>
      <c r="N242" s="774" t="s">
        <v>850</v>
      </c>
      <c r="O242" s="625">
        <f t="shared" si="41"/>
        <v>6</v>
      </c>
      <c r="P242" s="772">
        <v>200</v>
      </c>
      <c r="Q242" s="2098">
        <v>30</v>
      </c>
      <c r="R242" s="2098"/>
      <c r="S242" s="773" t="s">
        <v>607</v>
      </c>
    </row>
    <row r="243" spans="12:19" ht="30" customHeight="1"/>
    <row r="244" spans="12:19" ht="30" customHeight="1"/>
    <row r="245" spans="12:19" ht="24.95" customHeight="1"/>
    <row r="246" spans="12:19" ht="24.95" customHeight="1"/>
    <row r="247" spans="12:19" ht="24.95" customHeight="1"/>
    <row r="248" spans="12:19" ht="24.95" customHeight="1"/>
    <row r="249" spans="12:19" ht="24.95" customHeight="1"/>
    <row r="250" spans="12:19" ht="24.95" customHeight="1"/>
    <row r="251" spans="12:19" ht="24.95" customHeight="1"/>
    <row r="252" spans="12:19" ht="24.95" customHeight="1"/>
    <row r="253" spans="12:19" ht="24.95" customHeight="1"/>
    <row r="254" spans="12:19" ht="24.95" customHeight="1"/>
    <row r="255" spans="12:19" ht="24.95" customHeight="1"/>
    <row r="256" spans="12:19" ht="24.95" customHeight="1"/>
    <row r="257" spans="10:21" ht="24.95" customHeight="1">
      <c r="T257" s="693">
        <v>100</v>
      </c>
      <c r="U257" s="693" t="s">
        <v>708</v>
      </c>
    </row>
    <row r="258" spans="10:21" ht="24.95" customHeight="1">
      <c r="J258" s="2113" t="s">
        <v>562</v>
      </c>
      <c r="K258" s="2114"/>
      <c r="L258" s="2087"/>
      <c r="M258" s="692" t="s">
        <v>563</v>
      </c>
      <c r="N258" s="692" t="s">
        <v>611</v>
      </c>
      <c r="O258" s="2089" t="s">
        <v>612</v>
      </c>
      <c r="P258" s="2087"/>
      <c r="Q258" s="548" t="s">
        <v>566</v>
      </c>
      <c r="T258" s="693">
        <v>353</v>
      </c>
      <c r="U258" s="693" t="s">
        <v>708</v>
      </c>
    </row>
    <row r="259" spans="10:21">
      <c r="J259" s="2115" t="s">
        <v>567</v>
      </c>
      <c r="K259" s="2118" t="s">
        <v>606</v>
      </c>
      <c r="L259" s="2119"/>
      <c r="M259" s="616">
        <f>SUM(M260:M263)</f>
        <v>115</v>
      </c>
      <c r="N259" s="618">
        <f>SUM(N260:N263)</f>
        <v>6473</v>
      </c>
      <c r="O259" s="2120"/>
      <c r="P259" s="2121"/>
      <c r="Q259" s="619"/>
      <c r="S259" s="544">
        <f>+T257*9</f>
        <v>900</v>
      </c>
      <c r="T259" s="693">
        <v>2736</v>
      </c>
      <c r="U259" s="693" t="s">
        <v>710</v>
      </c>
    </row>
    <row r="260" spans="10:21">
      <c r="J260" s="2116"/>
      <c r="K260" s="2122" t="s">
        <v>714</v>
      </c>
      <c r="L260" s="620" t="s">
        <v>707</v>
      </c>
      <c r="M260" s="617">
        <f t="shared" ref="M260:M263" si="42">ROUND(N260*O260/1000,0)</f>
        <v>63</v>
      </c>
      <c r="N260" s="617">
        <v>900</v>
      </c>
      <c r="O260" s="2123">
        <v>70</v>
      </c>
      <c r="P260" s="2124"/>
      <c r="Q260" s="621" t="s">
        <v>645</v>
      </c>
      <c r="S260" s="693" t="s">
        <v>707</v>
      </c>
      <c r="T260" s="693">
        <v>577</v>
      </c>
      <c r="U260" s="693"/>
    </row>
    <row r="261" spans="10:21">
      <c r="J261" s="2116"/>
      <c r="K261" s="2122"/>
      <c r="L261" s="620"/>
      <c r="M261" s="617">
        <f t="shared" si="42"/>
        <v>0</v>
      </c>
      <c r="N261" s="626"/>
      <c r="O261" s="2123"/>
      <c r="P261" s="2124"/>
      <c r="Q261" s="621"/>
      <c r="S261" s="693" t="s">
        <v>709</v>
      </c>
    </row>
    <row r="262" spans="10:21">
      <c r="J262" s="2116"/>
      <c r="K262" s="2125" t="s">
        <v>713</v>
      </c>
      <c r="L262" s="620" t="s">
        <v>706</v>
      </c>
      <c r="M262" s="617">
        <f t="shared" si="42"/>
        <v>49</v>
      </c>
      <c r="N262" s="617">
        <f>2736*2</f>
        <v>5472</v>
      </c>
      <c r="O262" s="2123">
        <v>9</v>
      </c>
      <c r="P262" s="2124"/>
      <c r="Q262" s="621" t="s">
        <v>715</v>
      </c>
      <c r="S262" s="693" t="s">
        <v>711</v>
      </c>
    </row>
    <row r="263" spans="10:21">
      <c r="J263" s="2117"/>
      <c r="K263" s="2126"/>
      <c r="L263" s="624" t="s">
        <v>712</v>
      </c>
      <c r="M263" s="625">
        <f t="shared" si="42"/>
        <v>3</v>
      </c>
      <c r="N263" s="625">
        <v>101</v>
      </c>
      <c r="O263" s="2127">
        <v>30</v>
      </c>
      <c r="P263" s="2128"/>
      <c r="Q263" s="627" t="s">
        <v>647</v>
      </c>
      <c r="S263" s="544">
        <f>0.175*577</f>
        <v>100.97499999999999</v>
      </c>
    </row>
  </sheetData>
  <mergeCells count="239">
    <mergeCell ref="A36:C36"/>
    <mergeCell ref="A37:A43"/>
    <mergeCell ref="B37:C37"/>
    <mergeCell ref="B40:C40"/>
    <mergeCell ref="B41:C41"/>
    <mergeCell ref="B42:C42"/>
    <mergeCell ref="B43:C43"/>
    <mergeCell ref="B15:C15"/>
    <mergeCell ref="B16:C16"/>
    <mergeCell ref="B17:C17"/>
    <mergeCell ref="B18:C18"/>
    <mergeCell ref="B19:C19"/>
    <mergeCell ref="B20:C20"/>
    <mergeCell ref="B21:C21"/>
    <mergeCell ref="A26:A32"/>
    <mergeCell ref="B29:C29"/>
    <mergeCell ref="B30:C30"/>
    <mergeCell ref="B31:C31"/>
    <mergeCell ref="B32:C32"/>
    <mergeCell ref="A25:C25"/>
    <mergeCell ref="B26:C26"/>
    <mergeCell ref="B27:C27"/>
    <mergeCell ref="B28:C28"/>
    <mergeCell ref="B39:C39"/>
    <mergeCell ref="L164:S164"/>
    <mergeCell ref="L141:L144"/>
    <mergeCell ref="L145:M145"/>
    <mergeCell ref="L149:P149"/>
    <mergeCell ref="L150:L153"/>
    <mergeCell ref="O150:P150"/>
    <mergeCell ref="O151:P151"/>
    <mergeCell ref="O152:P152"/>
    <mergeCell ref="O154:P154"/>
    <mergeCell ref="P230:P231"/>
    <mergeCell ref="A200:B200"/>
    <mergeCell ref="A201:A208"/>
    <mergeCell ref="A149:A155"/>
    <mergeCell ref="B151:B154"/>
    <mergeCell ref="F152:G152"/>
    <mergeCell ref="F153:G153"/>
    <mergeCell ref="F154:G154"/>
    <mergeCell ref="F155:G155"/>
    <mergeCell ref="M230:M231"/>
    <mergeCell ref="N230:N231"/>
    <mergeCell ref="O230:O231"/>
    <mergeCell ref="F151:G151"/>
    <mergeCell ref="A176:C176"/>
    <mergeCell ref="F176:G176"/>
    <mergeCell ref="A177:A178"/>
    <mergeCell ref="B177:C177"/>
    <mergeCell ref="F177:G177"/>
    <mergeCell ref="F178:G178"/>
    <mergeCell ref="A166:C166"/>
    <mergeCell ref="F166:G166"/>
    <mergeCell ref="A167:A168"/>
    <mergeCell ref="B167:C167"/>
    <mergeCell ref="F167:G167"/>
    <mergeCell ref="A143:C143"/>
    <mergeCell ref="F143:G143"/>
    <mergeCell ref="A144:A145"/>
    <mergeCell ref="B144:C144"/>
    <mergeCell ref="F144:G144"/>
    <mergeCell ref="F145:G145"/>
    <mergeCell ref="A148:C148"/>
    <mergeCell ref="F148:G148"/>
    <mergeCell ref="B149:C149"/>
    <mergeCell ref="F149:G149"/>
    <mergeCell ref="A121:H121"/>
    <mergeCell ref="A125:C125"/>
    <mergeCell ref="F125:G125"/>
    <mergeCell ref="A171:C171"/>
    <mergeCell ref="F171:G171"/>
    <mergeCell ref="A172:A173"/>
    <mergeCell ref="B172:C172"/>
    <mergeCell ref="F172:G172"/>
    <mergeCell ref="F173:G173"/>
    <mergeCell ref="A138:H138"/>
    <mergeCell ref="H128:H129"/>
    <mergeCell ref="B130:B132"/>
    <mergeCell ref="F130:G130"/>
    <mergeCell ref="F131:G131"/>
    <mergeCell ref="F132:G132"/>
    <mergeCell ref="B133:B136"/>
    <mergeCell ref="F133:G133"/>
    <mergeCell ref="F134:G134"/>
    <mergeCell ref="F135:G135"/>
    <mergeCell ref="F136:G136"/>
    <mergeCell ref="A126:A137"/>
    <mergeCell ref="B126:C126"/>
    <mergeCell ref="F126:G126"/>
    <mergeCell ref="B127:B129"/>
    <mergeCell ref="F127:G127"/>
    <mergeCell ref="D128:D129"/>
    <mergeCell ref="E128:E129"/>
    <mergeCell ref="F128:G129"/>
    <mergeCell ref="F137:G137"/>
    <mergeCell ref="F118:G118"/>
    <mergeCell ref="F119:G119"/>
    <mergeCell ref="F120:G120"/>
    <mergeCell ref="F110:G110"/>
    <mergeCell ref="A111:H111"/>
    <mergeCell ref="A114:C114"/>
    <mergeCell ref="F114:G114"/>
    <mergeCell ref="B115:C115"/>
    <mergeCell ref="F115:G115"/>
    <mergeCell ref="B116:B117"/>
    <mergeCell ref="F116:G116"/>
    <mergeCell ref="F117:G117"/>
    <mergeCell ref="A106:A110"/>
    <mergeCell ref="B106:C106"/>
    <mergeCell ref="F106:G106"/>
    <mergeCell ref="B107:C107"/>
    <mergeCell ref="F107:G107"/>
    <mergeCell ref="B108:C108"/>
    <mergeCell ref="F108:G108"/>
    <mergeCell ref="B109:C109"/>
    <mergeCell ref="F109:G109"/>
    <mergeCell ref="B110:C110"/>
    <mergeCell ref="B118:B120"/>
    <mergeCell ref="A115:A120"/>
    <mergeCell ref="A96:C96"/>
    <mergeCell ref="F96:G96"/>
    <mergeCell ref="A100:C100"/>
    <mergeCell ref="A101:C101"/>
    <mergeCell ref="A105:C105"/>
    <mergeCell ref="F105:G105"/>
    <mergeCell ref="A86:H86"/>
    <mergeCell ref="A90:C90"/>
    <mergeCell ref="A91:C91"/>
    <mergeCell ref="A95:C95"/>
    <mergeCell ref="F95:G95"/>
    <mergeCell ref="B82:C82"/>
    <mergeCell ref="F82:G82"/>
    <mergeCell ref="B83:C83"/>
    <mergeCell ref="F83:G83"/>
    <mergeCell ref="B84:C84"/>
    <mergeCell ref="F84:G84"/>
    <mergeCell ref="A78:C78"/>
    <mergeCell ref="F78:G78"/>
    <mergeCell ref="A79:A85"/>
    <mergeCell ref="B79:C79"/>
    <mergeCell ref="F79:G79"/>
    <mergeCell ref="B80:C80"/>
    <mergeCell ref="F80:G80"/>
    <mergeCell ref="B81:C81"/>
    <mergeCell ref="F81:G81"/>
    <mergeCell ref="B85:C85"/>
    <mergeCell ref="F85:G85"/>
    <mergeCell ref="A14:C14"/>
    <mergeCell ref="A15:A21"/>
    <mergeCell ref="A3:C3"/>
    <mergeCell ref="A4:A10"/>
    <mergeCell ref="B4:C4"/>
    <mergeCell ref="B5:C5"/>
    <mergeCell ref="B10:C10"/>
    <mergeCell ref="B6:C6"/>
    <mergeCell ref="B7:C7"/>
    <mergeCell ref="B8:C8"/>
    <mergeCell ref="B9:C9"/>
    <mergeCell ref="F162:G162"/>
    <mergeCell ref="F163:G163"/>
    <mergeCell ref="A158:C158"/>
    <mergeCell ref="F158:G158"/>
    <mergeCell ref="A159:A163"/>
    <mergeCell ref="B159:C159"/>
    <mergeCell ref="F159:G159"/>
    <mergeCell ref="B160:B161"/>
    <mergeCell ref="F160:G160"/>
    <mergeCell ref="F161:G161"/>
    <mergeCell ref="J258:L258"/>
    <mergeCell ref="O258:P258"/>
    <mergeCell ref="J259:J263"/>
    <mergeCell ref="K259:L259"/>
    <mergeCell ref="O259:P259"/>
    <mergeCell ref="K260:K261"/>
    <mergeCell ref="O260:P260"/>
    <mergeCell ref="O261:P261"/>
    <mergeCell ref="K262:K263"/>
    <mergeCell ref="O262:P262"/>
    <mergeCell ref="O263:P263"/>
    <mergeCell ref="A212:A217"/>
    <mergeCell ref="A211:C211"/>
    <mergeCell ref="F211:G211"/>
    <mergeCell ref="B212:C212"/>
    <mergeCell ref="F212:G212"/>
    <mergeCell ref="F213:G213"/>
    <mergeCell ref="F214:G214"/>
    <mergeCell ref="F215:G215"/>
    <mergeCell ref="F216:G216"/>
    <mergeCell ref="F150:G150"/>
    <mergeCell ref="R230:R231"/>
    <mergeCell ref="S230:S231"/>
    <mergeCell ref="L235:N235"/>
    <mergeCell ref="Q235:R235"/>
    <mergeCell ref="L236:L242"/>
    <mergeCell ref="M236:N236"/>
    <mergeCell ref="Q236:R236"/>
    <mergeCell ref="Q238:R238"/>
    <mergeCell ref="Q239:R239"/>
    <mergeCell ref="Q240:R240"/>
    <mergeCell ref="Q241:R241"/>
    <mergeCell ref="Q242:R242"/>
    <mergeCell ref="M237:M241"/>
    <mergeCell ref="Q237:R237"/>
    <mergeCell ref="P200:Q200"/>
    <mergeCell ref="P201:Q201"/>
    <mergeCell ref="P202:Q202"/>
    <mergeCell ref="P203:Q203"/>
    <mergeCell ref="P204:Q204"/>
    <mergeCell ref="P205:Q205"/>
    <mergeCell ref="P206:Q206"/>
    <mergeCell ref="F217:G217"/>
    <mergeCell ref="F168:G168"/>
    <mergeCell ref="A57:C57"/>
    <mergeCell ref="A58:A63"/>
    <mergeCell ref="B58:C58"/>
    <mergeCell ref="B59:C59"/>
    <mergeCell ref="B60:C60"/>
    <mergeCell ref="B61:C61"/>
    <mergeCell ref="B62:C62"/>
    <mergeCell ref="B63:C63"/>
    <mergeCell ref="B38:C38"/>
    <mergeCell ref="A47:C47"/>
    <mergeCell ref="A48:A53"/>
    <mergeCell ref="B48:C48"/>
    <mergeCell ref="B49:C49"/>
    <mergeCell ref="B50:C50"/>
    <mergeCell ref="B51:C51"/>
    <mergeCell ref="B52:C52"/>
    <mergeCell ref="B53:C53"/>
    <mergeCell ref="A74:B74"/>
    <mergeCell ref="G67:G68"/>
    <mergeCell ref="H67:H68"/>
    <mergeCell ref="E67:F67"/>
    <mergeCell ref="A69:B69"/>
    <mergeCell ref="A70:B70"/>
    <mergeCell ref="A71:A73"/>
    <mergeCell ref="A67:B68"/>
    <mergeCell ref="C67:D67"/>
  </mergeCells>
  <phoneticPr fontId="7" type="noConversion"/>
  <hyperlinks>
    <hyperlink ref="S171" r:id="rId1" display="http://media.daum.net/society/others/newsview?newsid=20060404171811424"/>
  </hyperlinks>
  <pageMargins left="0.70866141732283472" right="0.70866141732283472" top="0.74803149606299213" bottom="0.74803149606299213" header="0.31496062992125984" footer="0.31496062992125984"/>
  <pageSetup paperSize="9" scale="82" orientation="portrait" r:id="rId2"/>
  <rowBreaks count="2" manualBreakCount="2">
    <brk id="33" max="7" man="1"/>
    <brk id="75" max="7" man="1"/>
  </rowBreaks>
  <colBreaks count="1" manualBreakCount="1">
    <brk id="8" max="1048575" man="1"/>
  </colBreak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8" sqref="I18"/>
    </sheetView>
  </sheetViews>
  <sheetFormatPr defaultRowHeight="13.5"/>
  <sheetData/>
  <phoneticPr fontId="7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Q25"/>
  <sheetViews>
    <sheetView topLeftCell="A7" workbookViewId="0"/>
  </sheetViews>
  <sheetFormatPr defaultRowHeight="20.100000000000001" customHeight="1"/>
  <cols>
    <col min="1" max="7" width="10.6640625" style="1179" customWidth="1"/>
    <col min="8" max="256" width="8.88671875" style="1179"/>
    <col min="257" max="263" width="10.6640625" style="1179" customWidth="1"/>
    <col min="264" max="512" width="8.88671875" style="1179"/>
    <col min="513" max="519" width="10.6640625" style="1179" customWidth="1"/>
    <col min="520" max="768" width="8.88671875" style="1179"/>
    <col min="769" max="775" width="10.6640625" style="1179" customWidth="1"/>
    <col min="776" max="1024" width="8.88671875" style="1179"/>
    <col min="1025" max="1031" width="10.6640625" style="1179" customWidth="1"/>
    <col min="1032" max="1280" width="8.88671875" style="1179"/>
    <col min="1281" max="1287" width="10.6640625" style="1179" customWidth="1"/>
    <col min="1288" max="1536" width="8.88671875" style="1179"/>
    <col min="1537" max="1543" width="10.6640625" style="1179" customWidth="1"/>
    <col min="1544" max="1792" width="8.88671875" style="1179"/>
    <col min="1793" max="1799" width="10.6640625" style="1179" customWidth="1"/>
    <col min="1800" max="2048" width="8.88671875" style="1179"/>
    <col min="2049" max="2055" width="10.6640625" style="1179" customWidth="1"/>
    <col min="2056" max="2304" width="8.88671875" style="1179"/>
    <col min="2305" max="2311" width="10.6640625" style="1179" customWidth="1"/>
    <col min="2312" max="2560" width="8.88671875" style="1179"/>
    <col min="2561" max="2567" width="10.6640625" style="1179" customWidth="1"/>
    <col min="2568" max="2816" width="8.88671875" style="1179"/>
    <col min="2817" max="2823" width="10.6640625" style="1179" customWidth="1"/>
    <col min="2824" max="3072" width="8.88671875" style="1179"/>
    <col min="3073" max="3079" width="10.6640625" style="1179" customWidth="1"/>
    <col min="3080" max="3328" width="8.88671875" style="1179"/>
    <col min="3329" max="3335" width="10.6640625" style="1179" customWidth="1"/>
    <col min="3336" max="3584" width="8.88671875" style="1179"/>
    <col min="3585" max="3591" width="10.6640625" style="1179" customWidth="1"/>
    <col min="3592" max="3840" width="8.88671875" style="1179"/>
    <col min="3841" max="3847" width="10.6640625" style="1179" customWidth="1"/>
    <col min="3848" max="4096" width="8.88671875" style="1179"/>
    <col min="4097" max="4103" width="10.6640625" style="1179" customWidth="1"/>
    <col min="4104" max="4352" width="8.88671875" style="1179"/>
    <col min="4353" max="4359" width="10.6640625" style="1179" customWidth="1"/>
    <col min="4360" max="4608" width="8.88671875" style="1179"/>
    <col min="4609" max="4615" width="10.6640625" style="1179" customWidth="1"/>
    <col min="4616" max="4864" width="8.88671875" style="1179"/>
    <col min="4865" max="4871" width="10.6640625" style="1179" customWidth="1"/>
    <col min="4872" max="5120" width="8.88671875" style="1179"/>
    <col min="5121" max="5127" width="10.6640625" style="1179" customWidth="1"/>
    <col min="5128" max="5376" width="8.88671875" style="1179"/>
    <col min="5377" max="5383" width="10.6640625" style="1179" customWidth="1"/>
    <col min="5384" max="5632" width="8.88671875" style="1179"/>
    <col min="5633" max="5639" width="10.6640625" style="1179" customWidth="1"/>
    <col min="5640" max="5888" width="8.88671875" style="1179"/>
    <col min="5889" max="5895" width="10.6640625" style="1179" customWidth="1"/>
    <col min="5896" max="6144" width="8.88671875" style="1179"/>
    <col min="6145" max="6151" width="10.6640625" style="1179" customWidth="1"/>
    <col min="6152" max="6400" width="8.88671875" style="1179"/>
    <col min="6401" max="6407" width="10.6640625" style="1179" customWidth="1"/>
    <col min="6408" max="6656" width="8.88671875" style="1179"/>
    <col min="6657" max="6663" width="10.6640625" style="1179" customWidth="1"/>
    <col min="6664" max="6912" width="8.88671875" style="1179"/>
    <col min="6913" max="6919" width="10.6640625" style="1179" customWidth="1"/>
    <col min="6920" max="7168" width="8.88671875" style="1179"/>
    <col min="7169" max="7175" width="10.6640625" style="1179" customWidth="1"/>
    <col min="7176" max="7424" width="8.88671875" style="1179"/>
    <col min="7425" max="7431" width="10.6640625" style="1179" customWidth="1"/>
    <col min="7432" max="7680" width="8.88671875" style="1179"/>
    <col min="7681" max="7687" width="10.6640625" style="1179" customWidth="1"/>
    <col min="7688" max="7936" width="8.88671875" style="1179"/>
    <col min="7937" max="7943" width="10.6640625" style="1179" customWidth="1"/>
    <col min="7944" max="8192" width="8.88671875" style="1179"/>
    <col min="8193" max="8199" width="10.6640625" style="1179" customWidth="1"/>
    <col min="8200" max="8448" width="8.88671875" style="1179"/>
    <col min="8449" max="8455" width="10.6640625" style="1179" customWidth="1"/>
    <col min="8456" max="8704" width="8.88671875" style="1179"/>
    <col min="8705" max="8711" width="10.6640625" style="1179" customWidth="1"/>
    <col min="8712" max="8960" width="8.88671875" style="1179"/>
    <col min="8961" max="8967" width="10.6640625" style="1179" customWidth="1"/>
    <col min="8968" max="9216" width="8.88671875" style="1179"/>
    <col min="9217" max="9223" width="10.6640625" style="1179" customWidth="1"/>
    <col min="9224" max="9472" width="8.88671875" style="1179"/>
    <col min="9473" max="9479" width="10.6640625" style="1179" customWidth="1"/>
    <col min="9480" max="9728" width="8.88671875" style="1179"/>
    <col min="9729" max="9735" width="10.6640625" style="1179" customWidth="1"/>
    <col min="9736" max="9984" width="8.88671875" style="1179"/>
    <col min="9985" max="9991" width="10.6640625" style="1179" customWidth="1"/>
    <col min="9992" max="10240" width="8.88671875" style="1179"/>
    <col min="10241" max="10247" width="10.6640625" style="1179" customWidth="1"/>
    <col min="10248" max="10496" width="8.88671875" style="1179"/>
    <col min="10497" max="10503" width="10.6640625" style="1179" customWidth="1"/>
    <col min="10504" max="10752" width="8.88671875" style="1179"/>
    <col min="10753" max="10759" width="10.6640625" style="1179" customWidth="1"/>
    <col min="10760" max="11008" width="8.88671875" style="1179"/>
    <col min="11009" max="11015" width="10.6640625" style="1179" customWidth="1"/>
    <col min="11016" max="11264" width="8.88671875" style="1179"/>
    <col min="11265" max="11271" width="10.6640625" style="1179" customWidth="1"/>
    <col min="11272" max="11520" width="8.88671875" style="1179"/>
    <col min="11521" max="11527" width="10.6640625" style="1179" customWidth="1"/>
    <col min="11528" max="11776" width="8.88671875" style="1179"/>
    <col min="11777" max="11783" width="10.6640625" style="1179" customWidth="1"/>
    <col min="11784" max="12032" width="8.88671875" style="1179"/>
    <col min="12033" max="12039" width="10.6640625" style="1179" customWidth="1"/>
    <col min="12040" max="12288" width="8.88671875" style="1179"/>
    <col min="12289" max="12295" width="10.6640625" style="1179" customWidth="1"/>
    <col min="12296" max="12544" width="8.88671875" style="1179"/>
    <col min="12545" max="12551" width="10.6640625" style="1179" customWidth="1"/>
    <col min="12552" max="12800" width="8.88671875" style="1179"/>
    <col min="12801" max="12807" width="10.6640625" style="1179" customWidth="1"/>
    <col min="12808" max="13056" width="8.88671875" style="1179"/>
    <col min="13057" max="13063" width="10.6640625" style="1179" customWidth="1"/>
    <col min="13064" max="13312" width="8.88671875" style="1179"/>
    <col min="13313" max="13319" width="10.6640625" style="1179" customWidth="1"/>
    <col min="13320" max="13568" width="8.88671875" style="1179"/>
    <col min="13569" max="13575" width="10.6640625" style="1179" customWidth="1"/>
    <col min="13576" max="13824" width="8.88671875" style="1179"/>
    <col min="13825" max="13831" width="10.6640625" style="1179" customWidth="1"/>
    <col min="13832" max="14080" width="8.88671875" style="1179"/>
    <col min="14081" max="14087" width="10.6640625" style="1179" customWidth="1"/>
    <col min="14088" max="14336" width="8.88671875" style="1179"/>
    <col min="14337" max="14343" width="10.6640625" style="1179" customWidth="1"/>
    <col min="14344" max="14592" width="8.88671875" style="1179"/>
    <col min="14593" max="14599" width="10.6640625" style="1179" customWidth="1"/>
    <col min="14600" max="14848" width="8.88671875" style="1179"/>
    <col min="14849" max="14855" width="10.6640625" style="1179" customWidth="1"/>
    <col min="14856" max="15104" width="8.88671875" style="1179"/>
    <col min="15105" max="15111" width="10.6640625" style="1179" customWidth="1"/>
    <col min="15112" max="15360" width="8.88671875" style="1179"/>
    <col min="15361" max="15367" width="10.6640625" style="1179" customWidth="1"/>
    <col min="15368" max="15616" width="8.88671875" style="1179"/>
    <col min="15617" max="15623" width="10.6640625" style="1179" customWidth="1"/>
    <col min="15624" max="15872" width="8.88671875" style="1179"/>
    <col min="15873" max="15879" width="10.6640625" style="1179" customWidth="1"/>
    <col min="15880" max="16128" width="8.88671875" style="1179"/>
    <col min="16129" max="16135" width="10.6640625" style="1179" customWidth="1"/>
    <col min="16136" max="16384" width="8.88671875" style="1179"/>
  </cols>
  <sheetData>
    <row r="1" spans="1:17" ht="20.100000000000001" customHeight="1">
      <c r="A1" s="1178" t="s">
        <v>1699</v>
      </c>
    </row>
    <row r="2" spans="1:17" s="1181" customFormat="1" ht="28.5" customHeight="1">
      <c r="A2" s="1180" t="s">
        <v>1700</v>
      </c>
    </row>
    <row r="3" spans="1:17" s="1181" customFormat="1" ht="28.5" customHeight="1">
      <c r="A3" s="1182" t="s">
        <v>1701</v>
      </c>
    </row>
    <row r="4" spans="1:17" s="1181" customFormat="1" ht="28.5" customHeight="1">
      <c r="A4" s="1182" t="s">
        <v>1702</v>
      </c>
    </row>
    <row r="5" spans="1:17" ht="28.5" customHeight="1">
      <c r="A5" s="1183" t="s">
        <v>1703</v>
      </c>
    </row>
    <row r="6" spans="1:17" ht="28.5" customHeight="1">
      <c r="A6" s="1184"/>
    </row>
    <row r="7" spans="1:17" s="1181" customFormat="1" ht="28.5" customHeight="1">
      <c r="A7" s="1182" t="s">
        <v>1704</v>
      </c>
    </row>
    <row r="8" spans="1:17" ht="28.5" customHeight="1">
      <c r="A8" s="1185" t="s">
        <v>35</v>
      </c>
      <c r="B8" s="1186" t="s">
        <v>1705</v>
      </c>
      <c r="C8" s="1187" t="s">
        <v>1706</v>
      </c>
      <c r="D8" s="1187" t="s">
        <v>1707</v>
      </c>
      <c r="E8" s="1187" t="s">
        <v>1708</v>
      </c>
      <c r="F8" s="1187" t="s">
        <v>1709</v>
      </c>
      <c r="G8" s="1188" t="s">
        <v>1710</v>
      </c>
    </row>
    <row r="9" spans="1:17" s="1194" customFormat="1" ht="28.5" customHeight="1">
      <c r="A9" s="1189" t="s">
        <v>1711</v>
      </c>
      <c r="B9" s="1190" t="e">
        <f>음성분뇨연계!D46</f>
        <v>#DIV/0!</v>
      </c>
      <c r="C9" s="1191" t="e">
        <f>음성분뇨연계!E46</f>
        <v>#DIV/0!</v>
      </c>
      <c r="D9" s="1191" t="e">
        <f>음성분뇨연계!F46</f>
        <v>#DIV/0!</v>
      </c>
      <c r="E9" s="1192" t="e">
        <f>음성분뇨연계!G46</f>
        <v>#DIV/0!</v>
      </c>
      <c r="F9" s="1192" t="e">
        <f>음성분뇨연계!H46</f>
        <v>#DIV/0!</v>
      </c>
      <c r="G9" s="1193" t="s">
        <v>1712</v>
      </c>
      <c r="J9" s="1195"/>
      <c r="K9" s="1195"/>
      <c r="L9" s="1195"/>
      <c r="M9" s="1195"/>
      <c r="N9" s="1195"/>
      <c r="O9" s="1195"/>
      <c r="P9" s="1195"/>
      <c r="Q9" s="1195"/>
    </row>
    <row r="10" spans="1:17" s="1194" customFormat="1" ht="28.5" customHeight="1">
      <c r="A10" s="1196" t="s">
        <v>1713</v>
      </c>
      <c r="B10" s="1197"/>
      <c r="C10" s="1197"/>
      <c r="D10" s="1197"/>
      <c r="E10" s="1197"/>
      <c r="F10" s="1197"/>
      <c r="G10" s="1197"/>
      <c r="H10" s="1197"/>
      <c r="J10" s="1195"/>
      <c r="K10" s="1195"/>
      <c r="L10" s="1195"/>
      <c r="M10" s="1195"/>
      <c r="N10" s="1195"/>
      <c r="O10" s="1195"/>
      <c r="P10" s="1195"/>
      <c r="Q10" s="1195"/>
    </row>
    <row r="11" spans="1:17" ht="28.5" customHeight="1">
      <c r="J11" s="1198"/>
      <c r="K11" s="1198"/>
      <c r="L11" s="1198"/>
      <c r="M11" s="1198"/>
      <c r="N11" s="1198"/>
      <c r="O11" s="1198"/>
      <c r="P11" s="1198"/>
      <c r="Q11" s="1198"/>
    </row>
    <row r="12" spans="1:17" s="1181" customFormat="1" ht="28.5" customHeight="1">
      <c r="A12" s="1182" t="s">
        <v>1714</v>
      </c>
      <c r="J12" s="1199"/>
      <c r="K12" s="1199"/>
      <c r="L12" s="1200"/>
      <c r="M12" s="1200"/>
      <c r="N12" s="1200"/>
      <c r="O12" s="1200"/>
      <c r="P12" s="1200"/>
      <c r="Q12" s="1199"/>
    </row>
    <row r="13" spans="1:17" ht="28.5" customHeight="1">
      <c r="A13" s="2188" t="s">
        <v>1715</v>
      </c>
      <c r="B13" s="2189"/>
      <c r="C13" s="1186" t="s">
        <v>1716</v>
      </c>
      <c r="D13" s="1187" t="s">
        <v>1717</v>
      </c>
      <c r="E13" s="1187" t="s">
        <v>1718</v>
      </c>
      <c r="F13" s="1187" t="s">
        <v>1719</v>
      </c>
      <c r="G13" s="1201" t="s">
        <v>1720</v>
      </c>
      <c r="J13" s="1198"/>
      <c r="K13" s="1202"/>
      <c r="L13" s="1202"/>
      <c r="M13" s="1202"/>
      <c r="N13" s="1202"/>
      <c r="O13" s="1202"/>
      <c r="P13" s="1202"/>
      <c r="Q13" s="1198"/>
    </row>
    <row r="14" spans="1:17" ht="28.5" customHeight="1">
      <c r="A14" s="2190" t="s">
        <v>1721</v>
      </c>
      <c r="B14" s="2191"/>
      <c r="C14" s="1203">
        <f>+'[5]라. 환경기초시설'!F92</f>
        <v>90</v>
      </c>
      <c r="D14" s="1204">
        <f>+'[5]라. 환경기초시설'!H92</f>
        <v>90</v>
      </c>
      <c r="E14" s="1204">
        <f>+'[5]라. 환경기초시설'!J92</f>
        <v>90</v>
      </c>
      <c r="F14" s="1204">
        <f>+'[5]라. 환경기초시설'!L92</f>
        <v>90</v>
      </c>
      <c r="G14" s="1205"/>
      <c r="J14" s="1198"/>
      <c r="K14" s="1202"/>
      <c r="L14" s="1202"/>
      <c r="M14" s="1202"/>
      <c r="N14" s="1202"/>
      <c r="O14" s="1202"/>
      <c r="P14" s="1202"/>
      <c r="Q14" s="1198"/>
    </row>
    <row r="15" spans="1:17" ht="28.5" customHeight="1">
      <c r="A15" s="2192" t="s">
        <v>1722</v>
      </c>
      <c r="B15" s="1206" t="s">
        <v>1723</v>
      </c>
      <c r="C15" s="1207" t="e">
        <f>+B9</f>
        <v>#DIV/0!</v>
      </c>
      <c r="D15" s="1208" t="e">
        <f t="shared" ref="D15:F19" si="0">+C15</f>
        <v>#DIV/0!</v>
      </c>
      <c r="E15" s="1208" t="e">
        <f t="shared" si="0"/>
        <v>#DIV/0!</v>
      </c>
      <c r="F15" s="1208" t="e">
        <f t="shared" si="0"/>
        <v>#DIV/0!</v>
      </c>
      <c r="G15" s="2194"/>
      <c r="J15" s="1198"/>
      <c r="K15" s="1202"/>
      <c r="L15" s="1202"/>
      <c r="M15" s="1202"/>
      <c r="N15" s="1202"/>
      <c r="O15" s="1202"/>
      <c r="P15" s="1202"/>
      <c r="Q15" s="1198"/>
    </row>
    <row r="16" spans="1:17" ht="28.5" customHeight="1">
      <c r="A16" s="2193"/>
      <c r="B16" s="1206" t="s">
        <v>1724</v>
      </c>
      <c r="C16" s="1207" t="e">
        <f>+C9</f>
        <v>#DIV/0!</v>
      </c>
      <c r="D16" s="1208" t="e">
        <f t="shared" si="0"/>
        <v>#DIV/0!</v>
      </c>
      <c r="E16" s="1208" t="e">
        <f t="shared" si="0"/>
        <v>#DIV/0!</v>
      </c>
      <c r="F16" s="1208" t="e">
        <f t="shared" si="0"/>
        <v>#DIV/0!</v>
      </c>
      <c r="G16" s="2195"/>
      <c r="J16" s="1198"/>
      <c r="K16" s="1202"/>
      <c r="L16" s="1202"/>
      <c r="M16" s="1202"/>
      <c r="N16" s="1202"/>
      <c r="O16" s="1202"/>
      <c r="P16" s="1202"/>
      <c r="Q16" s="1198"/>
    </row>
    <row r="17" spans="1:17" ht="28.5" customHeight="1">
      <c r="A17" s="2193"/>
      <c r="B17" s="1206" t="s">
        <v>1725</v>
      </c>
      <c r="C17" s="1207" t="e">
        <f>+D9</f>
        <v>#DIV/0!</v>
      </c>
      <c r="D17" s="1208" t="e">
        <f t="shared" si="0"/>
        <v>#DIV/0!</v>
      </c>
      <c r="E17" s="1208" t="e">
        <f t="shared" si="0"/>
        <v>#DIV/0!</v>
      </c>
      <c r="F17" s="1208" t="e">
        <f t="shared" si="0"/>
        <v>#DIV/0!</v>
      </c>
      <c r="G17" s="2195"/>
      <c r="J17" s="1198"/>
      <c r="K17" s="1202"/>
      <c r="L17" s="1202"/>
      <c r="M17" s="1202"/>
      <c r="N17" s="1202"/>
      <c r="O17" s="1202"/>
      <c r="P17" s="1202"/>
      <c r="Q17" s="1198"/>
    </row>
    <row r="18" spans="1:17" ht="28.5" customHeight="1">
      <c r="A18" s="2193"/>
      <c r="B18" s="1206" t="s">
        <v>1726</v>
      </c>
      <c r="C18" s="1209" t="e">
        <f>+E9</f>
        <v>#DIV/0!</v>
      </c>
      <c r="D18" s="1210" t="e">
        <f t="shared" si="0"/>
        <v>#DIV/0!</v>
      </c>
      <c r="E18" s="1210" t="e">
        <f t="shared" si="0"/>
        <v>#DIV/0!</v>
      </c>
      <c r="F18" s="1210" t="e">
        <f t="shared" si="0"/>
        <v>#DIV/0!</v>
      </c>
      <c r="G18" s="2195"/>
      <c r="J18" s="1198"/>
      <c r="K18" s="1202"/>
      <c r="L18" s="1202"/>
      <c r="M18" s="1202"/>
      <c r="N18" s="1202"/>
      <c r="O18" s="1202"/>
      <c r="P18" s="1202"/>
      <c r="Q18" s="1198"/>
    </row>
    <row r="19" spans="1:17" ht="28.5" customHeight="1">
      <c r="A19" s="2193"/>
      <c r="B19" s="1206" t="s">
        <v>1727</v>
      </c>
      <c r="C19" s="1209" t="e">
        <f>+F9</f>
        <v>#DIV/0!</v>
      </c>
      <c r="D19" s="1210" t="e">
        <f t="shared" si="0"/>
        <v>#DIV/0!</v>
      </c>
      <c r="E19" s="1210" t="e">
        <f t="shared" si="0"/>
        <v>#DIV/0!</v>
      </c>
      <c r="F19" s="1210" t="e">
        <f t="shared" si="0"/>
        <v>#DIV/0!</v>
      </c>
      <c r="G19" s="2195"/>
      <c r="J19" s="1198"/>
      <c r="K19" s="1202"/>
      <c r="L19" s="1202"/>
      <c r="M19" s="1202"/>
      <c r="N19" s="1202"/>
      <c r="O19" s="1202"/>
      <c r="P19" s="1202"/>
      <c r="Q19" s="1198"/>
    </row>
    <row r="20" spans="1:17" ht="28.5" customHeight="1">
      <c r="A20" s="2192" t="s">
        <v>1728</v>
      </c>
      <c r="B20" s="1206" t="s">
        <v>1723</v>
      </c>
      <c r="C20" s="1207" t="e">
        <f t="shared" ref="C20:F23" si="1">ROUND(C$14*C15/1000,1)</f>
        <v>#DIV/0!</v>
      </c>
      <c r="D20" s="1208" t="e">
        <f t="shared" si="1"/>
        <v>#DIV/0!</v>
      </c>
      <c r="E20" s="1208" t="e">
        <f t="shared" si="1"/>
        <v>#DIV/0!</v>
      </c>
      <c r="F20" s="1208" t="e">
        <f t="shared" si="1"/>
        <v>#DIV/0!</v>
      </c>
      <c r="G20" s="2194"/>
      <c r="J20" s="1198"/>
      <c r="K20" s="1202"/>
      <c r="L20" s="1202"/>
      <c r="M20" s="1202"/>
      <c r="N20" s="1202"/>
      <c r="O20" s="1202"/>
      <c r="P20" s="1202"/>
      <c r="Q20" s="1198"/>
    </row>
    <row r="21" spans="1:17" ht="28.5" customHeight="1">
      <c r="A21" s="2193"/>
      <c r="B21" s="1206" t="s">
        <v>1729</v>
      </c>
      <c r="C21" s="1207" t="e">
        <f t="shared" si="1"/>
        <v>#DIV/0!</v>
      </c>
      <c r="D21" s="1208" t="e">
        <f t="shared" si="1"/>
        <v>#DIV/0!</v>
      </c>
      <c r="E21" s="1208" t="e">
        <f t="shared" si="1"/>
        <v>#DIV/0!</v>
      </c>
      <c r="F21" s="1208" t="e">
        <f t="shared" si="1"/>
        <v>#DIV/0!</v>
      </c>
      <c r="G21" s="2195"/>
      <c r="J21" s="1198"/>
      <c r="K21" s="1202"/>
      <c r="L21" s="1202"/>
      <c r="M21" s="1202"/>
      <c r="N21" s="1202"/>
      <c r="O21" s="1202"/>
      <c r="P21" s="1202"/>
      <c r="Q21" s="1198"/>
    </row>
    <row r="22" spans="1:17" ht="28.5" customHeight="1">
      <c r="A22" s="2193"/>
      <c r="B22" s="1206" t="s">
        <v>1725</v>
      </c>
      <c r="C22" s="1207" t="e">
        <f t="shared" si="1"/>
        <v>#DIV/0!</v>
      </c>
      <c r="D22" s="1208" t="e">
        <f t="shared" si="1"/>
        <v>#DIV/0!</v>
      </c>
      <c r="E22" s="1208" t="e">
        <f t="shared" si="1"/>
        <v>#DIV/0!</v>
      </c>
      <c r="F22" s="1208" t="e">
        <f t="shared" si="1"/>
        <v>#DIV/0!</v>
      </c>
      <c r="G22" s="2195"/>
      <c r="J22" s="1198"/>
      <c r="K22" s="1202"/>
      <c r="L22" s="1202"/>
      <c r="M22" s="1202"/>
      <c r="N22" s="1202"/>
      <c r="O22" s="1202"/>
      <c r="P22" s="1202"/>
      <c r="Q22" s="1198"/>
    </row>
    <row r="23" spans="1:17" ht="28.5" customHeight="1">
      <c r="A23" s="2193"/>
      <c r="B23" s="1206" t="s">
        <v>1726</v>
      </c>
      <c r="C23" s="1209" t="e">
        <f t="shared" si="1"/>
        <v>#DIV/0!</v>
      </c>
      <c r="D23" s="1210" t="e">
        <f t="shared" si="1"/>
        <v>#DIV/0!</v>
      </c>
      <c r="E23" s="1210" t="e">
        <f t="shared" si="1"/>
        <v>#DIV/0!</v>
      </c>
      <c r="F23" s="1210" t="e">
        <f t="shared" si="1"/>
        <v>#DIV/0!</v>
      </c>
      <c r="G23" s="2195"/>
      <c r="J23" s="1198"/>
      <c r="K23" s="1198"/>
      <c r="L23" s="1198"/>
      <c r="M23" s="1198"/>
      <c r="N23" s="1198"/>
      <c r="O23" s="1198"/>
      <c r="P23" s="1198"/>
      <c r="Q23" s="1198"/>
    </row>
    <row r="24" spans="1:17" ht="28.5" customHeight="1">
      <c r="A24" s="2196"/>
      <c r="B24" s="1211" t="s">
        <v>1730</v>
      </c>
      <c r="C24" s="1212" t="e">
        <f>ROUND(C$14*C19/1000,6)</f>
        <v>#DIV/0!</v>
      </c>
      <c r="D24" s="1213" t="e">
        <f>ROUND(D$14*D19/1000,6)</f>
        <v>#DIV/0!</v>
      </c>
      <c r="E24" s="1213" t="e">
        <f>ROUND(E$14*E19/1000,6)</f>
        <v>#DIV/0!</v>
      </c>
      <c r="F24" s="1213" t="e">
        <f>ROUND(F$14*F19/1000,6)</f>
        <v>#DIV/0!</v>
      </c>
      <c r="G24" s="2197"/>
      <c r="J24" s="1198"/>
      <c r="K24" s="1198"/>
      <c r="L24" s="1198"/>
      <c r="M24" s="1198"/>
      <c r="N24" s="1198"/>
      <c r="O24" s="1198"/>
      <c r="P24" s="1198"/>
      <c r="Q24" s="1198"/>
    </row>
    <row r="25" spans="1:17" ht="20.100000000000001" customHeight="1">
      <c r="J25" s="1198"/>
      <c r="K25" s="1198"/>
      <c r="L25" s="1198"/>
      <c r="M25" s="1198"/>
      <c r="N25" s="1198"/>
      <c r="O25" s="1198"/>
      <c r="P25" s="1198"/>
      <c r="Q25" s="1198"/>
    </row>
  </sheetData>
  <mergeCells count="6">
    <mergeCell ref="A13:B13"/>
    <mergeCell ref="A14:B14"/>
    <mergeCell ref="A15:A19"/>
    <mergeCell ref="G15:G19"/>
    <mergeCell ref="A20:A24"/>
    <mergeCell ref="G20:G24"/>
  </mergeCells>
  <phoneticPr fontId="7" type="noConversion"/>
  <pageMargins left="0.7" right="0.7" top="0.75" bottom="0.75" header="0.3" footer="0.3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70157"/>
  </sheetPr>
  <dimension ref="A1:I75"/>
  <sheetViews>
    <sheetView view="pageBreakPreview" zoomScaleNormal="100" zoomScaleSheetLayoutView="100" workbookViewId="0"/>
  </sheetViews>
  <sheetFormatPr defaultRowHeight="16.5" outlineLevelRow="1"/>
  <cols>
    <col min="1" max="2" width="8.88671875" style="81"/>
    <col min="3" max="8" width="11.33203125" style="81" customWidth="1"/>
  </cols>
  <sheetData>
    <row r="1" spans="1:9" ht="17.100000000000001" customHeight="1">
      <c r="A1" s="75" t="s">
        <v>72</v>
      </c>
      <c r="B1" s="76"/>
      <c r="C1" s="76"/>
      <c r="D1" s="76"/>
      <c r="E1" s="76"/>
      <c r="F1" s="77"/>
      <c r="G1" s="76"/>
      <c r="H1" s="76"/>
      <c r="I1" s="14"/>
    </row>
    <row r="2" spans="1:9" ht="17.100000000000001" customHeight="1">
      <c r="A2" s="77" t="s">
        <v>76</v>
      </c>
      <c r="B2" s="76"/>
      <c r="C2" s="76"/>
      <c r="D2" s="76"/>
      <c r="E2" s="76"/>
      <c r="F2" s="77"/>
      <c r="G2" s="76"/>
      <c r="H2" s="76"/>
      <c r="I2" s="14"/>
    </row>
    <row r="3" spans="1:9" ht="17.100000000000001" customHeight="1">
      <c r="A3" s="78" t="s">
        <v>941</v>
      </c>
      <c r="B3" s="76"/>
      <c r="C3" s="76"/>
      <c r="D3" s="76"/>
      <c r="E3" s="76"/>
      <c r="F3" s="77"/>
      <c r="G3" s="76"/>
      <c r="H3" s="76"/>
      <c r="I3" s="14"/>
    </row>
    <row r="4" spans="1:9" ht="17.100000000000001" customHeight="1">
      <c r="A4" s="1589" t="s">
        <v>77</v>
      </c>
      <c r="B4" s="1590"/>
      <c r="C4" s="837" t="s">
        <v>78</v>
      </c>
      <c r="D4" s="837" t="s">
        <v>79</v>
      </c>
      <c r="E4" s="837" t="s">
        <v>80</v>
      </c>
      <c r="F4" s="837" t="s">
        <v>81</v>
      </c>
      <c r="G4" s="837" t="s">
        <v>82</v>
      </c>
      <c r="H4" s="818" t="s">
        <v>83</v>
      </c>
      <c r="I4" s="14"/>
    </row>
    <row r="5" spans="1:9" ht="17.100000000000001" customHeight="1">
      <c r="A5" s="1591"/>
      <c r="B5" s="1592"/>
      <c r="C5" s="838" t="s">
        <v>84</v>
      </c>
      <c r="D5" s="838" t="s">
        <v>84</v>
      </c>
      <c r="E5" s="838" t="s">
        <v>85</v>
      </c>
      <c r="F5" s="838" t="s">
        <v>86</v>
      </c>
      <c r="G5" s="838" t="s">
        <v>86</v>
      </c>
      <c r="H5" s="829" t="s">
        <v>87</v>
      </c>
      <c r="I5" s="14"/>
    </row>
    <row r="6" spans="1:9" ht="17.100000000000001" customHeight="1">
      <c r="A6" s="1593" t="s">
        <v>943</v>
      </c>
      <c r="B6" s="1594"/>
      <c r="C6" s="850">
        <v>88382</v>
      </c>
      <c r="D6" s="850">
        <v>54773</v>
      </c>
      <c r="E6" s="827">
        <v>61.9</v>
      </c>
      <c r="F6" s="850">
        <v>0</v>
      </c>
      <c r="G6" s="850">
        <v>20342</v>
      </c>
      <c r="H6" s="817">
        <f>+G6/D6*1000</f>
        <v>371.38736238657731</v>
      </c>
      <c r="I6" s="14"/>
    </row>
    <row r="7" spans="1:9" ht="17.100000000000001" customHeight="1">
      <c r="A7" s="1593" t="s">
        <v>37</v>
      </c>
      <c r="B7" s="1594"/>
      <c r="C7" s="850">
        <v>90159</v>
      </c>
      <c r="D7" s="850">
        <v>56144</v>
      </c>
      <c r="E7" s="827">
        <v>62.3</v>
      </c>
      <c r="F7" s="850">
        <v>0</v>
      </c>
      <c r="G7" s="850">
        <v>21838</v>
      </c>
      <c r="H7" s="817">
        <f>+G7/D7*1000</f>
        <v>388.96409233399834</v>
      </c>
      <c r="I7" s="14"/>
    </row>
    <row r="8" spans="1:9" ht="17.100000000000001" customHeight="1">
      <c r="A8" s="1593" t="s">
        <v>2</v>
      </c>
      <c r="B8" s="1594"/>
      <c r="C8" s="850">
        <v>92520</v>
      </c>
      <c r="D8" s="850">
        <v>59217</v>
      </c>
      <c r="E8" s="827">
        <v>64</v>
      </c>
      <c r="F8" s="850">
        <v>0</v>
      </c>
      <c r="G8" s="850">
        <v>25182</v>
      </c>
      <c r="H8" s="817">
        <f>+G8/D8*1000</f>
        <v>425.24950605400477</v>
      </c>
      <c r="I8" s="14"/>
    </row>
    <row r="9" spans="1:9" ht="17.100000000000001" customHeight="1">
      <c r="A9" s="1593" t="s">
        <v>3</v>
      </c>
      <c r="B9" s="1594"/>
      <c r="C9" s="850">
        <v>94144</v>
      </c>
      <c r="D9" s="850">
        <v>63816</v>
      </c>
      <c r="E9" s="827">
        <v>67.8</v>
      </c>
      <c r="F9" s="850">
        <v>0</v>
      </c>
      <c r="G9" s="850">
        <v>27183</v>
      </c>
      <c r="H9" s="817">
        <f t="shared" ref="H9:H16" si="0">+G9/D9*1000</f>
        <v>425.95900714554341</v>
      </c>
      <c r="I9" s="14"/>
    </row>
    <row r="10" spans="1:9" ht="17.100000000000001" customHeight="1">
      <c r="A10" s="1593" t="s">
        <v>65</v>
      </c>
      <c r="B10" s="1594"/>
      <c r="C10" s="850">
        <v>94580</v>
      </c>
      <c r="D10" s="850">
        <v>66068</v>
      </c>
      <c r="E10" s="827">
        <v>69.900000000000006</v>
      </c>
      <c r="F10" s="850">
        <v>0</v>
      </c>
      <c r="G10" s="850">
        <v>27456</v>
      </c>
      <c r="H10" s="817">
        <f t="shared" si="0"/>
        <v>415.57183507900953</v>
      </c>
      <c r="I10" s="14"/>
    </row>
    <row r="11" spans="1:9" ht="17.100000000000001" customHeight="1">
      <c r="A11" s="1593" t="s">
        <v>16</v>
      </c>
      <c r="B11" s="1594"/>
      <c r="C11" s="850">
        <v>96214</v>
      </c>
      <c r="D11" s="850">
        <v>66068</v>
      </c>
      <c r="E11" s="827">
        <v>68.7</v>
      </c>
      <c r="F11" s="850">
        <v>0</v>
      </c>
      <c r="G11" s="850">
        <v>30502</v>
      </c>
      <c r="H11" s="817">
        <f t="shared" si="0"/>
        <v>461.67584912514383</v>
      </c>
      <c r="I11" s="14"/>
    </row>
    <row r="12" spans="1:9" ht="17.100000000000001" customHeight="1">
      <c r="A12" s="1593" t="s">
        <v>66</v>
      </c>
      <c r="B12" s="1594"/>
      <c r="C12" s="850">
        <v>96993</v>
      </c>
      <c r="D12" s="850">
        <v>73355</v>
      </c>
      <c r="E12" s="827">
        <v>75.599999999999994</v>
      </c>
      <c r="F12" s="850">
        <v>0</v>
      </c>
      <c r="G12" s="850">
        <v>26607</v>
      </c>
      <c r="H12" s="817">
        <f t="shared" si="0"/>
        <v>362.71556131143075</v>
      </c>
      <c r="I12" s="14"/>
    </row>
    <row r="13" spans="1:9" ht="17.100000000000001" customHeight="1">
      <c r="A13" s="1593" t="s">
        <v>67</v>
      </c>
      <c r="B13" s="1594"/>
      <c r="C13" s="850">
        <v>98279</v>
      </c>
      <c r="D13" s="850">
        <v>76988</v>
      </c>
      <c r="E13" s="827">
        <v>78.3</v>
      </c>
      <c r="F13" s="850">
        <v>0</v>
      </c>
      <c r="G13" s="850">
        <v>29861</v>
      </c>
      <c r="H13" s="817">
        <f t="shared" si="0"/>
        <v>387.86564139865953</v>
      </c>
      <c r="I13" s="15"/>
    </row>
    <row r="14" spans="1:9" ht="17.100000000000001" customHeight="1">
      <c r="A14" s="1593" t="s">
        <v>89</v>
      </c>
      <c r="B14" s="1594"/>
      <c r="C14" s="850">
        <v>99952</v>
      </c>
      <c r="D14" s="850">
        <v>79162</v>
      </c>
      <c r="E14" s="827">
        <v>79.2</v>
      </c>
      <c r="F14" s="850">
        <v>0</v>
      </c>
      <c r="G14" s="850">
        <v>30756</v>
      </c>
      <c r="H14" s="817">
        <f t="shared" si="0"/>
        <v>388.51974432177053</v>
      </c>
      <c r="I14" s="15"/>
    </row>
    <row r="15" spans="1:9" ht="17.100000000000001" customHeight="1">
      <c r="A15" s="1593" t="s">
        <v>868</v>
      </c>
      <c r="B15" s="1594"/>
      <c r="C15" s="850">
        <v>102796</v>
      </c>
      <c r="D15" s="850">
        <v>87367</v>
      </c>
      <c r="E15" s="827">
        <v>85</v>
      </c>
      <c r="F15" s="850">
        <v>0</v>
      </c>
      <c r="G15" s="850">
        <v>43683</v>
      </c>
      <c r="H15" s="817">
        <f t="shared" si="0"/>
        <v>499.99427701534904</v>
      </c>
      <c r="I15" s="15"/>
    </row>
    <row r="16" spans="1:9" s="812" customFormat="1" ht="17.100000000000001" hidden="1" customHeight="1" outlineLevel="1">
      <c r="A16" s="1593" t="s">
        <v>940</v>
      </c>
      <c r="B16" s="1594"/>
      <c r="C16" s="850">
        <v>104316</v>
      </c>
      <c r="D16" s="850">
        <v>87109</v>
      </c>
      <c r="E16" s="827">
        <v>83.5</v>
      </c>
      <c r="F16" s="850">
        <v>0</v>
      </c>
      <c r="G16" s="885">
        <v>40000</v>
      </c>
      <c r="H16" s="817">
        <f t="shared" si="0"/>
        <v>459.19480191484229</v>
      </c>
      <c r="I16" s="15"/>
    </row>
    <row r="17" spans="1:9" ht="17.100000000000001" customHeight="1" collapsed="1">
      <c r="A17" s="1595" t="s">
        <v>73</v>
      </c>
      <c r="B17" s="824" t="s">
        <v>74</v>
      </c>
      <c r="C17" s="826">
        <f>((C15/C6)^(1/9)-1)*100</f>
        <v>1.692814122384334</v>
      </c>
      <c r="D17" s="826">
        <f>((D15/D6)^(1/9)-1)*100</f>
        <v>5.324937604219615</v>
      </c>
      <c r="E17" s="822">
        <v>0</v>
      </c>
      <c r="F17" s="821"/>
      <c r="G17" s="826">
        <f>((G15/G6)^(1/9)-1)*100</f>
        <v>8.8628920014633294</v>
      </c>
      <c r="H17" s="834">
        <f>((H15/H6)^(1/9)-1)*100</f>
        <v>3.3590852059540932</v>
      </c>
      <c r="I17" s="14"/>
    </row>
    <row r="18" spans="1:9" ht="17.100000000000001" customHeight="1">
      <c r="A18" s="1596"/>
      <c r="B18" s="824" t="s">
        <v>88</v>
      </c>
      <c r="C18" s="826">
        <f>((C15/C11)^(1/4)-1)*100</f>
        <v>1.6680482428053089</v>
      </c>
      <c r="D18" s="826">
        <f>((D15/D11)^(1/4)-1)*100</f>
        <v>7.2356196790081428</v>
      </c>
      <c r="E18" s="822">
        <v>0</v>
      </c>
      <c r="F18" s="821"/>
      <c r="G18" s="826">
        <f>((G15/G11)^(1/4)-1)*100</f>
        <v>9.3946378675420448</v>
      </c>
      <c r="H18" s="834">
        <f>((H15/H11)^(1/4)-1)*100</f>
        <v>2.0133405252812153</v>
      </c>
      <c r="I18" s="14"/>
    </row>
    <row r="19" spans="1:9" ht="17.100000000000001" customHeight="1">
      <c r="A19" s="1597"/>
      <c r="B19" s="819" t="s">
        <v>75</v>
      </c>
      <c r="C19" s="831">
        <f>((C15/C13)^(1/2)-1)*100</f>
        <v>2.2722341896395548</v>
      </c>
      <c r="D19" s="831">
        <f>((D15/D13)^(1/2)-1)*100</f>
        <v>6.5276122723262775</v>
      </c>
      <c r="E19" s="828">
        <v>0</v>
      </c>
      <c r="F19" s="836"/>
      <c r="G19" s="831">
        <f>((G15/G13)^(1/2)-1)*100</f>
        <v>20.9494936494782</v>
      </c>
      <c r="H19" s="823">
        <f>((H15/H13)^(1/2)-1)*100</f>
        <v>13.538162612979576</v>
      </c>
      <c r="I19" s="14"/>
    </row>
    <row r="20" spans="1:9" ht="17.100000000000001" customHeight="1">
      <c r="A20" s="79"/>
      <c r="B20" s="76"/>
      <c r="C20" s="76"/>
      <c r="D20" s="76"/>
      <c r="E20" s="76"/>
      <c r="F20" s="80"/>
      <c r="G20" s="76"/>
      <c r="H20" s="76"/>
      <c r="I20" s="14"/>
    </row>
    <row r="21" spans="1:9" ht="17.100000000000001" customHeight="1">
      <c r="A21" s="75"/>
      <c r="B21" s="76"/>
      <c r="C21" s="76"/>
      <c r="D21" s="76"/>
      <c r="E21" s="76"/>
      <c r="F21" s="77"/>
      <c r="G21" s="76"/>
      <c r="H21" s="76"/>
      <c r="I21" s="14"/>
    </row>
    <row r="22" spans="1:9" ht="17.100000000000001" customHeight="1">
      <c r="A22" s="75"/>
      <c r="B22" s="76"/>
      <c r="C22" s="76"/>
      <c r="D22" s="76"/>
      <c r="E22" s="76"/>
      <c r="F22" s="77"/>
      <c r="G22" s="76"/>
      <c r="H22" s="76"/>
      <c r="I22" s="14"/>
    </row>
    <row r="23" spans="1:9" ht="17.100000000000001" customHeight="1">
      <c r="A23" s="75"/>
      <c r="B23" s="76"/>
      <c r="C23" s="76"/>
      <c r="D23" s="76"/>
      <c r="E23" s="76"/>
      <c r="F23" s="77"/>
      <c r="G23" s="76"/>
      <c r="H23" s="76"/>
      <c r="I23" s="14"/>
    </row>
    <row r="24" spans="1:9" ht="17.100000000000001" customHeight="1">
      <c r="A24" s="75"/>
      <c r="B24" s="76"/>
      <c r="C24" s="76"/>
      <c r="D24" s="76"/>
      <c r="E24" s="76"/>
      <c r="F24" s="77"/>
      <c r="G24" s="76"/>
      <c r="H24" s="76"/>
      <c r="I24" s="14"/>
    </row>
    <row r="25" spans="1:9" ht="17.100000000000001" customHeight="1">
      <c r="A25" s="75"/>
      <c r="B25" s="76"/>
      <c r="C25" s="76"/>
      <c r="D25" s="76"/>
      <c r="E25" s="76"/>
      <c r="F25" s="77"/>
      <c r="G25" s="76"/>
      <c r="H25" s="76"/>
      <c r="I25" s="14"/>
    </row>
    <row r="26" spans="1:9" ht="17.100000000000001" customHeight="1">
      <c r="A26" s="75"/>
      <c r="B26" s="76"/>
      <c r="C26" s="76"/>
      <c r="D26" s="76"/>
      <c r="E26" s="76"/>
      <c r="F26" s="77"/>
      <c r="G26" s="76"/>
      <c r="H26" s="76"/>
      <c r="I26" s="14"/>
    </row>
    <row r="27" spans="1:9" ht="17.100000000000001" customHeight="1">
      <c r="A27" s="75"/>
      <c r="B27" s="76"/>
      <c r="C27" s="76"/>
      <c r="D27" s="76"/>
      <c r="E27" s="76"/>
      <c r="F27" s="77"/>
      <c r="G27" s="76"/>
      <c r="H27" s="76"/>
      <c r="I27" s="14"/>
    </row>
    <row r="28" spans="1:9" ht="17.100000000000001" customHeight="1">
      <c r="A28" s="75"/>
      <c r="B28" s="76"/>
      <c r="C28" s="76"/>
      <c r="D28" s="76"/>
      <c r="E28" s="76"/>
      <c r="F28" s="77"/>
      <c r="G28" s="76"/>
      <c r="H28" s="76"/>
      <c r="I28" s="14"/>
    </row>
    <row r="29" spans="1:9" ht="17.100000000000001" customHeight="1">
      <c r="A29" s="75"/>
      <c r="B29" s="76"/>
      <c r="C29" s="76"/>
      <c r="D29" s="76"/>
      <c r="E29" s="76"/>
      <c r="F29" s="77"/>
      <c r="G29" s="76"/>
      <c r="H29" s="76"/>
      <c r="I29" s="14"/>
    </row>
    <row r="30" spans="1:9" ht="17.100000000000001" customHeight="1">
      <c r="A30" s="75"/>
      <c r="B30" s="76"/>
      <c r="C30" s="76"/>
      <c r="D30" s="76"/>
      <c r="E30" s="76"/>
      <c r="F30" s="77"/>
      <c r="G30" s="76"/>
      <c r="H30" s="76"/>
      <c r="I30" s="14"/>
    </row>
    <row r="31" spans="1:9" ht="17.100000000000001" customHeight="1">
      <c r="A31" s="75"/>
      <c r="B31" s="76"/>
      <c r="C31" s="76"/>
      <c r="D31" s="76"/>
      <c r="E31" s="76"/>
      <c r="F31" s="77"/>
      <c r="G31" s="76"/>
      <c r="H31" s="76"/>
      <c r="I31" s="14"/>
    </row>
    <row r="32" spans="1:9" ht="17.100000000000001" customHeight="1">
      <c r="A32" s="75"/>
      <c r="B32" s="76"/>
      <c r="C32" s="76"/>
      <c r="D32" s="76"/>
      <c r="E32" s="76"/>
      <c r="F32" s="77"/>
      <c r="G32" s="76"/>
      <c r="H32" s="76"/>
      <c r="I32" s="14"/>
    </row>
    <row r="33" spans="1:9" ht="17.100000000000001" customHeight="1">
      <c r="A33" s="75"/>
      <c r="B33" s="76"/>
      <c r="C33" s="76"/>
      <c r="D33" s="76"/>
      <c r="E33" s="76"/>
      <c r="F33" s="77"/>
      <c r="G33" s="76"/>
      <c r="H33" s="76"/>
      <c r="I33" s="14"/>
    </row>
    <row r="34" spans="1:9" ht="17.100000000000001" customHeight="1">
      <c r="A34" s="75"/>
      <c r="B34" s="76"/>
      <c r="C34" s="76"/>
      <c r="D34" s="76"/>
      <c r="E34" s="76"/>
      <c r="F34" s="77"/>
      <c r="G34" s="76"/>
      <c r="H34" s="76"/>
      <c r="I34" s="14"/>
    </row>
    <row r="35" spans="1:9" ht="17.100000000000001" customHeight="1">
      <c r="A35" s="75"/>
      <c r="B35" s="76"/>
      <c r="C35" s="76"/>
      <c r="D35" s="76"/>
      <c r="E35" s="76"/>
      <c r="F35" s="77"/>
      <c r="G35" s="76"/>
      <c r="H35" s="76"/>
      <c r="I35" s="14"/>
    </row>
    <row r="36" spans="1:9" ht="17.100000000000001" customHeight="1">
      <c r="A36" s="75"/>
      <c r="B36" s="76"/>
      <c r="C36" s="76"/>
      <c r="D36" s="76"/>
      <c r="E36" s="76"/>
      <c r="F36" s="77"/>
      <c r="G36" s="76"/>
      <c r="H36" s="76"/>
      <c r="I36" s="14"/>
    </row>
    <row r="37" spans="1:9" ht="17.100000000000001" customHeight="1">
      <c r="A37" s="75"/>
      <c r="B37" s="76"/>
      <c r="C37" s="76"/>
      <c r="D37" s="76"/>
      <c r="E37" s="76"/>
      <c r="F37" s="77"/>
      <c r="G37" s="76"/>
      <c r="H37" s="76"/>
      <c r="I37" s="14"/>
    </row>
    <row r="38" spans="1:9" ht="17.100000000000001" customHeight="1">
      <c r="A38" s="75"/>
      <c r="B38" s="76"/>
      <c r="C38" s="76"/>
      <c r="D38" s="76"/>
      <c r="E38" s="76"/>
      <c r="F38" s="77"/>
      <c r="G38" s="76"/>
      <c r="H38" s="76"/>
      <c r="I38" s="14"/>
    </row>
    <row r="39" spans="1:9" ht="17.100000000000001" customHeight="1">
      <c r="A39" s="75"/>
      <c r="B39" s="76"/>
      <c r="C39" s="76"/>
      <c r="D39" s="76"/>
      <c r="E39" s="76"/>
      <c r="F39" s="77"/>
      <c r="G39" s="76"/>
      <c r="H39" s="76"/>
      <c r="I39" s="14"/>
    </row>
    <row r="40" spans="1:9" ht="17.100000000000001" customHeight="1">
      <c r="A40" s="75"/>
      <c r="B40" s="76"/>
      <c r="C40" s="76"/>
      <c r="D40" s="76"/>
      <c r="E40" s="76"/>
      <c r="F40" s="77"/>
      <c r="G40" s="76"/>
      <c r="H40" s="76"/>
      <c r="I40" s="14"/>
    </row>
    <row r="41" spans="1:9" ht="17.100000000000001" customHeight="1">
      <c r="A41" s="75"/>
      <c r="B41" s="76"/>
      <c r="C41" s="76"/>
      <c r="D41" s="76"/>
      <c r="E41" s="76"/>
      <c r="F41" s="77"/>
      <c r="G41" s="76"/>
      <c r="H41" s="76"/>
      <c r="I41" s="14"/>
    </row>
    <row r="42" spans="1:9" ht="17.100000000000001" customHeight="1">
      <c r="A42" s="75"/>
      <c r="B42" s="76"/>
      <c r="C42" s="76"/>
      <c r="D42" s="76"/>
      <c r="E42" s="76"/>
      <c r="F42" s="77"/>
      <c r="G42" s="76"/>
      <c r="H42" s="76"/>
      <c r="I42" s="14"/>
    </row>
    <row r="43" spans="1:9" ht="17.100000000000001" customHeight="1">
      <c r="A43" s="75"/>
      <c r="B43" s="76"/>
      <c r="C43" s="76"/>
      <c r="D43" s="76"/>
      <c r="E43" s="76"/>
      <c r="F43" s="77"/>
      <c r="G43" s="76"/>
      <c r="H43" s="76"/>
      <c r="I43" s="14"/>
    </row>
    <row r="44" spans="1:9" ht="17.100000000000001" customHeight="1">
      <c r="A44" s="75"/>
      <c r="B44" s="76"/>
      <c r="C44" s="76"/>
      <c r="D44" s="76"/>
      <c r="E44" s="76"/>
      <c r="F44" s="77"/>
      <c r="G44" s="76"/>
      <c r="H44" s="76"/>
      <c r="I44" s="14"/>
    </row>
    <row r="45" spans="1:9" ht="17.100000000000001" customHeight="1">
      <c r="A45" s="75"/>
      <c r="B45" s="76"/>
      <c r="C45" s="76"/>
      <c r="D45" s="76"/>
      <c r="E45" s="76"/>
      <c r="F45" s="77"/>
      <c r="G45" s="76"/>
      <c r="H45" s="76"/>
      <c r="I45" s="14"/>
    </row>
    <row r="46" spans="1:9" ht="17.100000000000001" customHeight="1">
      <c r="A46" s="75"/>
      <c r="B46" s="76"/>
      <c r="C46" s="76"/>
      <c r="D46" s="76"/>
      <c r="E46" s="76"/>
      <c r="F46" s="77"/>
      <c r="G46" s="76"/>
      <c r="H46" s="76"/>
      <c r="I46" s="14"/>
    </row>
    <row r="47" spans="1:9" ht="17.100000000000001" customHeight="1">
      <c r="A47" s="75"/>
      <c r="B47" s="76"/>
      <c r="C47" s="76"/>
      <c r="D47" s="76"/>
      <c r="E47" s="76"/>
      <c r="F47" s="77"/>
      <c r="G47" s="76"/>
      <c r="H47" s="76"/>
      <c r="I47" s="14"/>
    </row>
    <row r="48" spans="1:9" ht="17.100000000000001" customHeight="1">
      <c r="A48" s="75"/>
      <c r="B48" s="76"/>
      <c r="C48" s="76"/>
      <c r="D48" s="76"/>
      <c r="E48" s="76"/>
      <c r="F48" s="77"/>
      <c r="G48" s="76"/>
      <c r="H48" s="76"/>
      <c r="I48" s="14"/>
    </row>
    <row r="49" spans="1:9" ht="17.100000000000001" customHeight="1">
      <c r="A49" s="78"/>
      <c r="B49" s="77"/>
      <c r="C49" s="77"/>
      <c r="D49" s="76"/>
      <c r="E49" s="77"/>
      <c r="F49" s="77"/>
      <c r="G49" s="77"/>
      <c r="H49" s="77"/>
      <c r="I49" s="16"/>
    </row>
    <row r="75" spans="1:1">
      <c r="A75" s="81" t="s">
        <v>1941</v>
      </c>
    </row>
  </sheetData>
  <mergeCells count="13">
    <mergeCell ref="A15:B15"/>
    <mergeCell ref="A17:A19"/>
    <mergeCell ref="A10:B10"/>
    <mergeCell ref="A11:B11"/>
    <mergeCell ref="A12:B12"/>
    <mergeCell ref="A13:B13"/>
    <mergeCell ref="A14:B14"/>
    <mergeCell ref="A16:B16"/>
    <mergeCell ref="A4:B5"/>
    <mergeCell ref="A6:B6"/>
    <mergeCell ref="A7:B7"/>
    <mergeCell ref="A8:B8"/>
    <mergeCell ref="A9:B9"/>
  </mergeCells>
  <phoneticPr fontId="7" type="noConversion"/>
  <pageMargins left="0.7" right="0.7" top="0.75" bottom="0.75" header="0.3" footer="0.3"/>
  <pageSetup paperSize="9" scale="88" orientation="portrait" r:id="rId1"/>
  <colBreaks count="1" manualBreakCount="1">
    <brk id="8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53"/>
  <sheetViews>
    <sheetView workbookViewId="0"/>
  </sheetViews>
  <sheetFormatPr defaultRowHeight="13.5"/>
  <cols>
    <col min="1" max="5" width="8.88671875" style="1221"/>
    <col min="6" max="6" width="9.5546875" style="1221" bestFit="1" customWidth="1"/>
    <col min="7" max="8" width="8.88671875" style="1221"/>
    <col min="9" max="16384" width="8.88671875" style="1214"/>
  </cols>
  <sheetData>
    <row r="1" spans="1:8" ht="18.75">
      <c r="A1" s="2199" t="s">
        <v>1746</v>
      </c>
      <c r="B1" s="2199"/>
      <c r="C1" s="2199"/>
      <c r="D1" s="2199"/>
      <c r="E1" s="2199"/>
      <c r="F1" s="2199"/>
      <c r="G1" s="2199"/>
      <c r="H1" s="2199"/>
    </row>
    <row r="2" spans="1:8">
      <c r="A2" s="2198" t="s">
        <v>1731</v>
      </c>
      <c r="B2" s="2198"/>
      <c r="C2" s="2200" t="s">
        <v>1732</v>
      </c>
      <c r="D2" s="2198" t="s">
        <v>1733</v>
      </c>
      <c r="E2" s="2198"/>
      <c r="F2" s="2198"/>
      <c r="G2" s="2198"/>
      <c r="H2" s="2198"/>
    </row>
    <row r="3" spans="1:8">
      <c r="A3" s="2198"/>
      <c r="B3" s="2198"/>
      <c r="C3" s="2200"/>
      <c r="D3" s="1215" t="s">
        <v>1734</v>
      </c>
      <c r="E3" s="1215" t="s">
        <v>1735</v>
      </c>
      <c r="F3" s="1215" t="s">
        <v>1736</v>
      </c>
      <c r="G3" s="1215" t="s">
        <v>1737</v>
      </c>
      <c r="H3" s="1215" t="s">
        <v>1738</v>
      </c>
    </row>
    <row r="4" spans="1:8">
      <c r="A4" s="2198" t="s">
        <v>868</v>
      </c>
      <c r="B4" s="1215" t="s">
        <v>1739</v>
      </c>
      <c r="C4" s="1216">
        <v>26.5</v>
      </c>
      <c r="D4" s="1216"/>
      <c r="E4" s="1216"/>
      <c r="F4" s="1216"/>
      <c r="G4" s="1216"/>
      <c r="H4" s="1216"/>
    </row>
    <row r="5" spans="1:8">
      <c r="A5" s="2198"/>
      <c r="B5" s="1215" t="s">
        <v>38</v>
      </c>
      <c r="C5" s="1216">
        <v>23.3</v>
      </c>
      <c r="D5" s="1216"/>
      <c r="E5" s="1216"/>
      <c r="F5" s="1216"/>
      <c r="G5" s="1216"/>
      <c r="H5" s="1216"/>
    </row>
    <row r="6" spans="1:8">
      <c r="A6" s="2198"/>
      <c r="B6" s="1215" t="s">
        <v>39</v>
      </c>
      <c r="C6" s="1216">
        <v>31</v>
      </c>
      <c r="D6" s="1216"/>
      <c r="E6" s="1216"/>
      <c r="F6" s="1216"/>
      <c r="G6" s="1216"/>
      <c r="H6" s="1216"/>
    </row>
    <row r="7" spans="1:8">
      <c r="A7" s="2198"/>
      <c r="B7" s="1215" t="s">
        <v>40</v>
      </c>
      <c r="C7" s="1216">
        <v>32.5</v>
      </c>
      <c r="D7" s="1216"/>
      <c r="E7" s="1216"/>
      <c r="F7" s="1216"/>
      <c r="G7" s="1216"/>
      <c r="H7" s="1216"/>
    </row>
    <row r="8" spans="1:8">
      <c r="A8" s="2198"/>
      <c r="B8" s="1215" t="s">
        <v>41</v>
      </c>
      <c r="C8" s="1216">
        <v>30.3</v>
      </c>
      <c r="D8" s="1216"/>
      <c r="E8" s="1216"/>
      <c r="F8" s="1216"/>
      <c r="G8" s="1216"/>
      <c r="H8" s="1216"/>
    </row>
    <row r="9" spans="1:8">
      <c r="A9" s="2198"/>
      <c r="B9" s="1215" t="s">
        <v>28</v>
      </c>
      <c r="C9" s="1216">
        <v>29.1</v>
      </c>
      <c r="D9" s="1216"/>
      <c r="E9" s="1216"/>
      <c r="F9" s="1216"/>
      <c r="G9" s="1216"/>
      <c r="H9" s="1216"/>
    </row>
    <row r="10" spans="1:8">
      <c r="A10" s="2198"/>
      <c r="B10" s="1215" t="s">
        <v>29</v>
      </c>
      <c r="C10" s="1216">
        <v>33.5</v>
      </c>
      <c r="D10" s="1216"/>
      <c r="E10" s="1216"/>
      <c r="F10" s="1216"/>
      <c r="G10" s="1216"/>
      <c r="H10" s="1216"/>
    </row>
    <row r="11" spans="1:8">
      <c r="A11" s="2198"/>
      <c r="B11" s="1215" t="s">
        <v>30</v>
      </c>
      <c r="C11" s="1216">
        <v>31.5</v>
      </c>
      <c r="D11" s="1216"/>
      <c r="E11" s="1216"/>
      <c r="F11" s="1216"/>
      <c r="G11" s="1216"/>
      <c r="H11" s="1216"/>
    </row>
    <row r="12" spans="1:8">
      <c r="A12" s="2198"/>
      <c r="B12" s="1215" t="s">
        <v>31</v>
      </c>
      <c r="C12" s="1216">
        <v>29.5</v>
      </c>
      <c r="D12" s="1216"/>
      <c r="E12" s="1216"/>
      <c r="F12" s="1216"/>
      <c r="G12" s="1216"/>
      <c r="H12" s="1216"/>
    </row>
    <row r="13" spans="1:8">
      <c r="A13" s="2198"/>
      <c r="B13" s="1215" t="s">
        <v>32</v>
      </c>
      <c r="C13" s="1216">
        <v>32.1</v>
      </c>
      <c r="D13" s="1216"/>
      <c r="E13" s="1216"/>
      <c r="F13" s="1216"/>
      <c r="G13" s="1216"/>
      <c r="H13" s="1216"/>
    </row>
    <row r="14" spans="1:8">
      <c r="A14" s="2198"/>
      <c r="B14" s="1215" t="s">
        <v>33</v>
      </c>
      <c r="C14" s="1216">
        <v>30.6</v>
      </c>
      <c r="D14" s="1216"/>
      <c r="E14" s="1216"/>
      <c r="F14" s="1216"/>
      <c r="G14" s="1216"/>
      <c r="H14" s="1216"/>
    </row>
    <row r="15" spans="1:8">
      <c r="A15" s="2198"/>
      <c r="B15" s="1215" t="s">
        <v>34</v>
      </c>
      <c r="C15" s="1216">
        <v>33</v>
      </c>
      <c r="D15" s="1216"/>
      <c r="E15" s="1216"/>
      <c r="F15" s="1216"/>
      <c r="G15" s="1216"/>
      <c r="H15" s="1216"/>
    </row>
    <row r="16" spans="1:8">
      <c r="A16" s="2198"/>
      <c r="B16" s="1217" t="s">
        <v>1740</v>
      </c>
      <c r="C16" s="1218">
        <f t="shared" ref="C16:H16" si="0">+AVERAGE(C4:C15)</f>
        <v>30.241666666666671</v>
      </c>
      <c r="D16" s="1218" t="e">
        <f t="shared" si="0"/>
        <v>#DIV/0!</v>
      </c>
      <c r="E16" s="1218" t="e">
        <f t="shared" si="0"/>
        <v>#DIV/0!</v>
      </c>
      <c r="F16" s="1218" t="e">
        <f t="shared" si="0"/>
        <v>#DIV/0!</v>
      </c>
      <c r="G16" s="1218" t="e">
        <f t="shared" si="0"/>
        <v>#DIV/0!</v>
      </c>
      <c r="H16" s="1218" t="e">
        <f t="shared" si="0"/>
        <v>#DIV/0!</v>
      </c>
    </row>
    <row r="17" spans="1:8">
      <c r="A17" s="2198"/>
      <c r="B17" s="1217" t="s">
        <v>1741</v>
      </c>
      <c r="C17" s="1218">
        <f t="shared" ref="C17:H17" si="1">+MIN(C4:C15)</f>
        <v>23.3</v>
      </c>
      <c r="D17" s="1218">
        <f t="shared" si="1"/>
        <v>0</v>
      </c>
      <c r="E17" s="1218">
        <f t="shared" si="1"/>
        <v>0</v>
      </c>
      <c r="F17" s="1218">
        <f t="shared" si="1"/>
        <v>0</v>
      </c>
      <c r="G17" s="1218">
        <f t="shared" si="1"/>
        <v>0</v>
      </c>
      <c r="H17" s="1218">
        <f t="shared" si="1"/>
        <v>0</v>
      </c>
    </row>
    <row r="18" spans="1:8">
      <c r="A18" s="2198"/>
      <c r="B18" s="1217" t="s">
        <v>1742</v>
      </c>
      <c r="C18" s="1218">
        <f t="shared" ref="C18:H18" si="2">+MAX(C4:C15)</f>
        <v>33.5</v>
      </c>
      <c r="D18" s="1218">
        <f t="shared" si="2"/>
        <v>0</v>
      </c>
      <c r="E18" s="1218">
        <f t="shared" si="2"/>
        <v>0</v>
      </c>
      <c r="F18" s="1218">
        <f t="shared" si="2"/>
        <v>0</v>
      </c>
      <c r="G18" s="1218">
        <f t="shared" si="2"/>
        <v>0</v>
      </c>
      <c r="H18" s="1218">
        <f t="shared" si="2"/>
        <v>0</v>
      </c>
    </row>
    <row r="19" spans="1:8">
      <c r="A19" s="2198" t="s">
        <v>940</v>
      </c>
      <c r="B19" s="1215" t="s">
        <v>1739</v>
      </c>
      <c r="C19" s="1216">
        <v>27.6</v>
      </c>
      <c r="D19" s="1216">
        <v>5572.9</v>
      </c>
      <c r="E19" s="1216">
        <v>4197.3999999999996</v>
      </c>
      <c r="F19" s="1216">
        <v>4747.6000000000004</v>
      </c>
      <c r="G19" s="1216">
        <v>415.95600000000002</v>
      </c>
      <c r="H19" s="1216">
        <v>61.331000000000003</v>
      </c>
    </row>
    <row r="20" spans="1:8">
      <c r="A20" s="2198"/>
      <c r="B20" s="1215" t="s">
        <v>38</v>
      </c>
      <c r="C20" s="1216">
        <v>18.2</v>
      </c>
      <c r="D20" s="1216">
        <v>5473.5</v>
      </c>
      <c r="E20" s="1216">
        <v>3563.5</v>
      </c>
      <c r="F20" s="1216">
        <v>8706.7000000000007</v>
      </c>
      <c r="G20" s="1216">
        <v>532.03599999999994</v>
      </c>
      <c r="H20" s="1216">
        <v>110.511</v>
      </c>
    </row>
    <row r="21" spans="1:8">
      <c r="A21" s="2198"/>
      <c r="B21" s="1215" t="s">
        <v>39</v>
      </c>
      <c r="C21" s="1216">
        <v>27.1</v>
      </c>
      <c r="D21" s="1216">
        <v>4959.3</v>
      </c>
      <c r="E21" s="1216">
        <v>3714.3</v>
      </c>
      <c r="F21" s="1216">
        <v>7212</v>
      </c>
      <c r="G21" s="1216">
        <v>494.279</v>
      </c>
      <c r="H21" s="1216">
        <v>79.837000000000003</v>
      </c>
    </row>
    <row r="22" spans="1:8">
      <c r="A22" s="2198"/>
      <c r="B22" s="1215" t="s">
        <v>40</v>
      </c>
      <c r="C22" s="1216">
        <v>29.3</v>
      </c>
      <c r="D22" s="1216">
        <v>4576.3</v>
      </c>
      <c r="E22" s="1216">
        <v>3504.2</v>
      </c>
      <c r="F22" s="1216">
        <v>10027.200000000001</v>
      </c>
      <c r="G22" s="1216">
        <v>491.08600000000001</v>
      </c>
      <c r="H22" s="1216">
        <v>125.685</v>
      </c>
    </row>
    <row r="23" spans="1:8">
      <c r="A23" s="2198"/>
      <c r="B23" s="1215" t="s">
        <v>41</v>
      </c>
      <c r="C23" s="1216">
        <v>26.99</v>
      </c>
      <c r="D23" s="1216">
        <v>5123.75</v>
      </c>
      <c r="E23" s="1216">
        <v>4333.25</v>
      </c>
      <c r="F23" s="1216">
        <v>9875.25</v>
      </c>
      <c r="G23" s="1216">
        <v>516.33450000000005</v>
      </c>
      <c r="H23" s="1216">
        <v>144.84700000000001</v>
      </c>
    </row>
    <row r="24" spans="1:8">
      <c r="A24" s="2198"/>
      <c r="B24" s="1215" t="s">
        <v>28</v>
      </c>
      <c r="C24" s="1216">
        <v>29.4</v>
      </c>
      <c r="D24" s="1216">
        <v>5037.5</v>
      </c>
      <c r="E24" s="1216">
        <v>4061</v>
      </c>
      <c r="F24" s="1216">
        <v>9527.5</v>
      </c>
      <c r="G24" s="1216">
        <v>513.11400000000003</v>
      </c>
      <c r="H24" s="1216">
        <v>145.44149999999999</v>
      </c>
    </row>
    <row r="25" spans="1:8">
      <c r="A25" s="2198"/>
      <c r="B25" s="1215" t="s">
        <v>29</v>
      </c>
      <c r="C25" s="1216">
        <v>30.25</v>
      </c>
      <c r="D25" s="1216">
        <v>4569.8</v>
      </c>
      <c r="E25" s="1216">
        <v>3733.6</v>
      </c>
      <c r="F25" s="1216">
        <v>8583</v>
      </c>
      <c r="G25" s="1216">
        <v>493.07</v>
      </c>
      <c r="H25" s="1216">
        <v>144.428</v>
      </c>
    </row>
    <row r="26" spans="1:8">
      <c r="A26" s="2198"/>
      <c r="B26" s="1215" t="s">
        <v>30</v>
      </c>
      <c r="C26" s="1216">
        <v>33.24</v>
      </c>
      <c r="D26" s="1216">
        <v>6221.7</v>
      </c>
      <c r="E26" s="1216">
        <v>4175</v>
      </c>
      <c r="F26" s="1216">
        <v>8277.75</v>
      </c>
      <c r="G26" s="1216">
        <v>469.34899999999999</v>
      </c>
      <c r="H26" s="1216">
        <v>154.59</v>
      </c>
    </row>
    <row r="27" spans="1:8">
      <c r="A27" s="2198"/>
      <c r="B27" s="1215" t="s">
        <v>31</v>
      </c>
      <c r="C27" s="1216"/>
      <c r="D27" s="1216"/>
      <c r="E27" s="1216"/>
      <c r="F27" s="1216"/>
      <c r="G27" s="1216"/>
      <c r="H27" s="1216"/>
    </row>
    <row r="28" spans="1:8">
      <c r="A28" s="2198"/>
      <c r="B28" s="1215" t="s">
        <v>32</v>
      </c>
      <c r="C28" s="1216"/>
      <c r="D28" s="1216"/>
      <c r="E28" s="1216"/>
      <c r="F28" s="1216"/>
      <c r="G28" s="1216"/>
      <c r="H28" s="1216"/>
    </row>
    <row r="29" spans="1:8">
      <c r="A29" s="2198"/>
      <c r="B29" s="1215" t="s">
        <v>33</v>
      </c>
      <c r="C29" s="1216"/>
      <c r="D29" s="1216"/>
      <c r="E29" s="1216"/>
      <c r="F29" s="1216"/>
      <c r="G29" s="1216"/>
      <c r="H29" s="1216"/>
    </row>
    <row r="30" spans="1:8">
      <c r="A30" s="2198"/>
      <c r="B30" s="1215" t="s">
        <v>34</v>
      </c>
      <c r="C30" s="1216"/>
      <c r="D30" s="1216"/>
      <c r="E30" s="1216"/>
      <c r="F30" s="1216"/>
      <c r="G30" s="1216"/>
      <c r="H30" s="1216"/>
    </row>
    <row r="31" spans="1:8">
      <c r="A31" s="2198"/>
      <c r="B31" s="1217" t="s">
        <v>1740</v>
      </c>
      <c r="C31" s="1218">
        <f t="shared" ref="C31:H31" si="3">+AVERAGE(C19:C30)</f>
        <v>27.76</v>
      </c>
      <c r="D31" s="1218">
        <f t="shared" si="3"/>
        <v>5191.84375</v>
      </c>
      <c r="E31" s="1218">
        <f t="shared" si="3"/>
        <v>3910.28125</v>
      </c>
      <c r="F31" s="1218">
        <f t="shared" si="3"/>
        <v>8369.625</v>
      </c>
      <c r="G31" s="1218">
        <f t="shared" si="3"/>
        <v>490.65306250000003</v>
      </c>
      <c r="H31" s="1218">
        <f t="shared" si="3"/>
        <v>120.83381250000001</v>
      </c>
    </row>
    <row r="32" spans="1:8">
      <c r="A32" s="2198"/>
      <c r="B32" s="1217" t="s">
        <v>1741</v>
      </c>
      <c r="C32" s="1218">
        <f t="shared" ref="C32:H32" si="4">+MIN(C19:C30)</f>
        <v>18.2</v>
      </c>
      <c r="D32" s="1218">
        <f t="shared" si="4"/>
        <v>4569.8</v>
      </c>
      <c r="E32" s="1218">
        <f t="shared" si="4"/>
        <v>3504.2</v>
      </c>
      <c r="F32" s="1218">
        <f t="shared" si="4"/>
        <v>4747.6000000000004</v>
      </c>
      <c r="G32" s="1218">
        <f t="shared" si="4"/>
        <v>415.95600000000002</v>
      </c>
      <c r="H32" s="1218">
        <f t="shared" si="4"/>
        <v>61.331000000000003</v>
      </c>
    </row>
    <row r="33" spans="1:8">
      <c r="A33" s="2198"/>
      <c r="B33" s="1217" t="s">
        <v>1742</v>
      </c>
      <c r="C33" s="1218">
        <f t="shared" ref="C33:H33" si="5">+MAX(C19:C30)</f>
        <v>33.24</v>
      </c>
      <c r="D33" s="1218">
        <f t="shared" si="5"/>
        <v>6221.7</v>
      </c>
      <c r="E33" s="1218">
        <f t="shared" si="5"/>
        <v>4333.25</v>
      </c>
      <c r="F33" s="1218">
        <f t="shared" si="5"/>
        <v>10027.200000000001</v>
      </c>
      <c r="G33" s="1218">
        <f t="shared" si="5"/>
        <v>532.03599999999994</v>
      </c>
      <c r="H33" s="1218">
        <f t="shared" si="5"/>
        <v>154.59</v>
      </c>
    </row>
    <row r="34" spans="1:8">
      <c r="A34" s="2198" t="s">
        <v>1437</v>
      </c>
      <c r="B34" s="1215" t="s">
        <v>1739</v>
      </c>
      <c r="C34" s="1216"/>
      <c r="D34" s="1216"/>
      <c r="E34" s="1216"/>
      <c r="F34" s="1216"/>
      <c r="G34" s="1216"/>
      <c r="H34" s="1216"/>
    </row>
    <row r="35" spans="1:8">
      <c r="A35" s="2198"/>
      <c r="B35" s="1215" t="s">
        <v>38</v>
      </c>
      <c r="C35" s="1216"/>
      <c r="D35" s="1216"/>
      <c r="E35" s="1216"/>
      <c r="F35" s="1216"/>
      <c r="G35" s="1216"/>
      <c r="H35" s="1216"/>
    </row>
    <row r="36" spans="1:8">
      <c r="A36" s="2198"/>
      <c r="B36" s="1215" t="s">
        <v>39</v>
      </c>
      <c r="C36" s="1216"/>
      <c r="D36" s="1216"/>
      <c r="E36" s="1216"/>
      <c r="F36" s="1216"/>
      <c r="G36" s="1216"/>
      <c r="H36" s="1216"/>
    </row>
    <row r="37" spans="1:8">
      <c r="A37" s="2198"/>
      <c r="B37" s="1215" t="s">
        <v>40</v>
      </c>
      <c r="C37" s="1216"/>
      <c r="D37" s="1216"/>
      <c r="E37" s="1216"/>
      <c r="F37" s="1216"/>
      <c r="G37" s="1216"/>
      <c r="H37" s="1216"/>
    </row>
    <row r="38" spans="1:8">
      <c r="A38" s="2198"/>
      <c r="B38" s="1215" t="s">
        <v>41</v>
      </c>
      <c r="C38" s="1216"/>
      <c r="D38" s="1216"/>
      <c r="E38" s="1216"/>
      <c r="F38" s="1216"/>
      <c r="G38" s="1216"/>
      <c r="H38" s="1216"/>
    </row>
    <row r="39" spans="1:8">
      <c r="A39" s="2198"/>
      <c r="B39" s="1215" t="s">
        <v>28</v>
      </c>
      <c r="C39" s="1216"/>
      <c r="D39" s="1216"/>
      <c r="E39" s="1216"/>
      <c r="F39" s="1216"/>
      <c r="G39" s="1216"/>
      <c r="H39" s="1216"/>
    </row>
    <row r="40" spans="1:8">
      <c r="A40" s="2198"/>
      <c r="B40" s="1215" t="s">
        <v>29</v>
      </c>
      <c r="C40" s="1216"/>
      <c r="D40" s="1216"/>
      <c r="E40" s="1216"/>
      <c r="F40" s="1216"/>
      <c r="G40" s="1216"/>
      <c r="H40" s="1216"/>
    </row>
    <row r="41" spans="1:8">
      <c r="A41" s="2198"/>
      <c r="B41" s="1215" t="s">
        <v>30</v>
      </c>
      <c r="C41" s="1216"/>
      <c r="D41" s="1216"/>
      <c r="E41" s="1216"/>
      <c r="F41" s="1216"/>
      <c r="G41" s="1216"/>
      <c r="H41" s="1216"/>
    </row>
    <row r="42" spans="1:8">
      <c r="A42" s="2198"/>
      <c r="B42" s="1215" t="s">
        <v>31</v>
      </c>
      <c r="C42" s="1216"/>
      <c r="D42" s="1216"/>
      <c r="E42" s="1216"/>
      <c r="F42" s="1216"/>
      <c r="G42" s="1216"/>
      <c r="H42" s="1216"/>
    </row>
    <row r="43" spans="1:8">
      <c r="A43" s="2198"/>
      <c r="B43" s="1215" t="s">
        <v>32</v>
      </c>
      <c r="C43" s="1216"/>
      <c r="D43" s="1216"/>
      <c r="E43" s="1216"/>
      <c r="F43" s="1216"/>
      <c r="G43" s="1216"/>
      <c r="H43" s="1216"/>
    </row>
    <row r="44" spans="1:8">
      <c r="A44" s="2198"/>
      <c r="B44" s="1215" t="s">
        <v>33</v>
      </c>
      <c r="C44" s="1216"/>
      <c r="D44" s="1216"/>
      <c r="E44" s="1216"/>
      <c r="F44" s="1216"/>
      <c r="G44" s="1216"/>
      <c r="H44" s="1216"/>
    </row>
    <row r="45" spans="1:8">
      <c r="A45" s="2198"/>
      <c r="B45" s="1215" t="s">
        <v>34</v>
      </c>
      <c r="C45" s="1216"/>
      <c r="D45" s="1216"/>
      <c r="E45" s="1216"/>
      <c r="F45" s="1216"/>
      <c r="G45" s="1216"/>
      <c r="H45" s="1216"/>
    </row>
    <row r="46" spans="1:8">
      <c r="A46" s="2198"/>
      <c r="B46" s="1217" t="s">
        <v>1740</v>
      </c>
      <c r="C46" s="1218" t="e">
        <f t="shared" ref="C46:H46" si="6">+AVERAGE(C34:C45)</f>
        <v>#DIV/0!</v>
      </c>
      <c r="D46" s="1218" t="e">
        <f t="shared" si="6"/>
        <v>#DIV/0!</v>
      </c>
      <c r="E46" s="1218" t="e">
        <f t="shared" si="6"/>
        <v>#DIV/0!</v>
      </c>
      <c r="F46" s="1218" t="e">
        <f t="shared" si="6"/>
        <v>#DIV/0!</v>
      </c>
      <c r="G46" s="1218" t="e">
        <f t="shared" si="6"/>
        <v>#DIV/0!</v>
      </c>
      <c r="H46" s="1218" t="e">
        <f t="shared" si="6"/>
        <v>#DIV/0!</v>
      </c>
    </row>
    <row r="47" spans="1:8">
      <c r="A47" s="2198"/>
      <c r="B47" s="1217" t="s">
        <v>1741</v>
      </c>
      <c r="C47" s="1218">
        <f t="shared" ref="C47:H47" si="7">+MIN(C34:C45)</f>
        <v>0</v>
      </c>
      <c r="D47" s="1218">
        <f t="shared" si="7"/>
        <v>0</v>
      </c>
      <c r="E47" s="1218">
        <f t="shared" si="7"/>
        <v>0</v>
      </c>
      <c r="F47" s="1218">
        <f t="shared" si="7"/>
        <v>0</v>
      </c>
      <c r="G47" s="1218">
        <f t="shared" si="7"/>
        <v>0</v>
      </c>
      <c r="H47" s="1218">
        <f t="shared" si="7"/>
        <v>0</v>
      </c>
    </row>
    <row r="48" spans="1:8">
      <c r="A48" s="2198"/>
      <c r="B48" s="1217" t="s">
        <v>1742</v>
      </c>
      <c r="C48" s="1218">
        <f t="shared" ref="C48:H48" si="8">+MAX(C34:C45)</f>
        <v>0</v>
      </c>
      <c r="D48" s="1218">
        <f>+MAX(D34:D45)</f>
        <v>0</v>
      </c>
      <c r="E48" s="1218">
        <f t="shared" si="8"/>
        <v>0</v>
      </c>
      <c r="F48" s="1218">
        <f t="shared" si="8"/>
        <v>0</v>
      </c>
      <c r="G48" s="1218">
        <f t="shared" si="8"/>
        <v>0</v>
      </c>
      <c r="H48" s="1218">
        <f t="shared" si="8"/>
        <v>0</v>
      </c>
    </row>
    <row r="49" spans="1:8">
      <c r="A49" s="2198" t="s">
        <v>1743</v>
      </c>
      <c r="B49" s="1219" t="s">
        <v>1740</v>
      </c>
      <c r="C49" s="1220" t="e">
        <f t="shared" ref="C49:H49" si="9">+AVERAGE(C16,C31,C46)</f>
        <v>#DIV/0!</v>
      </c>
      <c r="D49" s="1220" t="e">
        <f t="shared" si="9"/>
        <v>#DIV/0!</v>
      </c>
      <c r="E49" s="1220" t="e">
        <f t="shared" si="9"/>
        <v>#DIV/0!</v>
      </c>
      <c r="F49" s="1220" t="e">
        <f t="shared" si="9"/>
        <v>#DIV/0!</v>
      </c>
      <c r="G49" s="1220" t="e">
        <f t="shared" si="9"/>
        <v>#DIV/0!</v>
      </c>
      <c r="H49" s="1220" t="e">
        <f t="shared" si="9"/>
        <v>#DIV/0!</v>
      </c>
    </row>
    <row r="50" spans="1:8">
      <c r="A50" s="2198"/>
      <c r="B50" s="1219" t="s">
        <v>1744</v>
      </c>
      <c r="C50" s="1220" t="e">
        <f t="shared" ref="C50:H50" si="10">MIN(C16,C31,C46)</f>
        <v>#DIV/0!</v>
      </c>
      <c r="D50" s="1220" t="e">
        <f t="shared" si="10"/>
        <v>#DIV/0!</v>
      </c>
      <c r="E50" s="1220" t="e">
        <f t="shared" si="10"/>
        <v>#DIV/0!</v>
      </c>
      <c r="F50" s="1220" t="e">
        <f t="shared" si="10"/>
        <v>#DIV/0!</v>
      </c>
      <c r="G50" s="1220" t="e">
        <f t="shared" si="10"/>
        <v>#DIV/0!</v>
      </c>
      <c r="H50" s="1220" t="e">
        <f t="shared" si="10"/>
        <v>#DIV/0!</v>
      </c>
    </row>
    <row r="51" spans="1:8">
      <c r="A51" s="2198"/>
      <c r="B51" s="1219" t="s">
        <v>1745</v>
      </c>
      <c r="C51" s="1220">
        <f t="shared" ref="C51:H51" si="11">+MAX(C18,C33,C48,)</f>
        <v>33.5</v>
      </c>
      <c r="D51" s="1220">
        <f t="shared" si="11"/>
        <v>6221.7</v>
      </c>
      <c r="E51" s="1220">
        <f t="shared" si="11"/>
        <v>4333.25</v>
      </c>
      <c r="F51" s="1220">
        <f t="shared" si="11"/>
        <v>10027.200000000001</v>
      </c>
      <c r="G51" s="1220">
        <f t="shared" si="11"/>
        <v>532.03599999999994</v>
      </c>
      <c r="H51" s="1220">
        <f t="shared" si="11"/>
        <v>154.59</v>
      </c>
    </row>
    <row r="53" spans="1:8">
      <c r="G53" s="1222"/>
      <c r="H53" s="1222"/>
    </row>
  </sheetData>
  <mergeCells count="8">
    <mergeCell ref="A34:A48"/>
    <mergeCell ref="A49:A51"/>
    <mergeCell ref="A1:H1"/>
    <mergeCell ref="A2:B3"/>
    <mergeCell ref="C2:C3"/>
    <mergeCell ref="D2:H2"/>
    <mergeCell ref="A4:A18"/>
    <mergeCell ref="A19:A33"/>
  </mergeCells>
  <phoneticPr fontId="7" type="noConversion"/>
  <pageMargins left="0.7" right="0.7" top="0.75" bottom="0.75" header="0.3" footer="0.3"/>
  <pageSetup paperSize="9" scale="9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X1056"/>
  <sheetViews>
    <sheetView topLeftCell="A1034" workbookViewId="0"/>
  </sheetViews>
  <sheetFormatPr defaultRowHeight="19.5"/>
  <cols>
    <col min="1" max="1" width="12.77734375" style="1133" customWidth="1"/>
    <col min="2" max="7" width="8.77734375" style="1133" customWidth="1"/>
    <col min="8" max="8" width="8.44140625" style="1133" customWidth="1"/>
    <col min="9" max="9" width="12.77734375" style="1133" customWidth="1"/>
    <col min="10" max="10" width="8.77734375" style="1134" customWidth="1"/>
    <col min="11" max="11" width="8.77734375" style="1135" customWidth="1"/>
    <col min="12" max="14" width="8.77734375" style="1136" customWidth="1"/>
    <col min="15" max="15" width="8.77734375" style="1137" customWidth="1"/>
    <col min="16" max="16" width="8.44140625" style="1137" customWidth="1"/>
    <col min="17" max="17" width="12.77734375" style="1133" customWidth="1"/>
    <col min="18" max="23" width="8.77734375" style="1133" customWidth="1"/>
    <col min="24" max="24" width="8.44140625" style="1133" customWidth="1"/>
    <col min="25" max="25" width="12.77734375" style="1133" customWidth="1"/>
    <col min="26" max="31" width="8.77734375" style="1133" customWidth="1"/>
    <col min="32" max="256" width="8.88671875" style="1133"/>
    <col min="257" max="257" width="12.77734375" style="1133" customWidth="1"/>
    <col min="258" max="263" width="8.77734375" style="1133" customWidth="1"/>
    <col min="264" max="264" width="8.44140625" style="1133" customWidth="1"/>
    <col min="265" max="265" width="12.77734375" style="1133" customWidth="1"/>
    <col min="266" max="271" width="8.77734375" style="1133" customWidth="1"/>
    <col min="272" max="272" width="8.44140625" style="1133" customWidth="1"/>
    <col min="273" max="273" width="12.77734375" style="1133" customWidth="1"/>
    <col min="274" max="279" width="8.77734375" style="1133" customWidth="1"/>
    <col min="280" max="280" width="8.44140625" style="1133" customWidth="1"/>
    <col min="281" max="281" width="12.77734375" style="1133" customWidth="1"/>
    <col min="282" max="287" width="8.77734375" style="1133" customWidth="1"/>
    <col min="288" max="512" width="8.88671875" style="1133"/>
    <col min="513" max="513" width="12.77734375" style="1133" customWidth="1"/>
    <col min="514" max="519" width="8.77734375" style="1133" customWidth="1"/>
    <col min="520" max="520" width="8.44140625" style="1133" customWidth="1"/>
    <col min="521" max="521" width="12.77734375" style="1133" customWidth="1"/>
    <col min="522" max="527" width="8.77734375" style="1133" customWidth="1"/>
    <col min="528" max="528" width="8.44140625" style="1133" customWidth="1"/>
    <col min="529" max="529" width="12.77734375" style="1133" customWidth="1"/>
    <col min="530" max="535" width="8.77734375" style="1133" customWidth="1"/>
    <col min="536" max="536" width="8.44140625" style="1133" customWidth="1"/>
    <col min="537" max="537" width="12.77734375" style="1133" customWidth="1"/>
    <col min="538" max="543" width="8.77734375" style="1133" customWidth="1"/>
    <col min="544" max="768" width="8.88671875" style="1133"/>
    <col min="769" max="769" width="12.77734375" style="1133" customWidth="1"/>
    <col min="770" max="775" width="8.77734375" style="1133" customWidth="1"/>
    <col min="776" max="776" width="8.44140625" style="1133" customWidth="1"/>
    <col min="777" max="777" width="12.77734375" style="1133" customWidth="1"/>
    <col min="778" max="783" width="8.77734375" style="1133" customWidth="1"/>
    <col min="784" max="784" width="8.44140625" style="1133" customWidth="1"/>
    <col min="785" max="785" width="12.77734375" style="1133" customWidth="1"/>
    <col min="786" max="791" width="8.77734375" style="1133" customWidth="1"/>
    <col min="792" max="792" width="8.44140625" style="1133" customWidth="1"/>
    <col min="793" max="793" width="12.77734375" style="1133" customWidth="1"/>
    <col min="794" max="799" width="8.77734375" style="1133" customWidth="1"/>
    <col min="800" max="1024" width="8.88671875" style="1133"/>
    <col min="1025" max="1025" width="12.77734375" style="1133" customWidth="1"/>
    <col min="1026" max="1031" width="8.77734375" style="1133" customWidth="1"/>
    <col min="1032" max="1032" width="8.44140625" style="1133" customWidth="1"/>
    <col min="1033" max="1033" width="12.77734375" style="1133" customWidth="1"/>
    <col min="1034" max="1039" width="8.77734375" style="1133" customWidth="1"/>
    <col min="1040" max="1040" width="8.44140625" style="1133" customWidth="1"/>
    <col min="1041" max="1041" width="12.77734375" style="1133" customWidth="1"/>
    <col min="1042" max="1047" width="8.77734375" style="1133" customWidth="1"/>
    <col min="1048" max="1048" width="8.44140625" style="1133" customWidth="1"/>
    <col min="1049" max="1049" width="12.77734375" style="1133" customWidth="1"/>
    <col min="1050" max="1055" width="8.77734375" style="1133" customWidth="1"/>
    <col min="1056" max="1280" width="8.88671875" style="1133"/>
    <col min="1281" max="1281" width="12.77734375" style="1133" customWidth="1"/>
    <col min="1282" max="1287" width="8.77734375" style="1133" customWidth="1"/>
    <col min="1288" max="1288" width="8.44140625" style="1133" customWidth="1"/>
    <col min="1289" max="1289" width="12.77734375" style="1133" customWidth="1"/>
    <col min="1290" max="1295" width="8.77734375" style="1133" customWidth="1"/>
    <col min="1296" max="1296" width="8.44140625" style="1133" customWidth="1"/>
    <col min="1297" max="1297" width="12.77734375" style="1133" customWidth="1"/>
    <col min="1298" max="1303" width="8.77734375" style="1133" customWidth="1"/>
    <col min="1304" max="1304" width="8.44140625" style="1133" customWidth="1"/>
    <col min="1305" max="1305" width="12.77734375" style="1133" customWidth="1"/>
    <col min="1306" max="1311" width="8.77734375" style="1133" customWidth="1"/>
    <col min="1312" max="1536" width="8.88671875" style="1133"/>
    <col min="1537" max="1537" width="12.77734375" style="1133" customWidth="1"/>
    <col min="1538" max="1543" width="8.77734375" style="1133" customWidth="1"/>
    <col min="1544" max="1544" width="8.44140625" style="1133" customWidth="1"/>
    <col min="1545" max="1545" width="12.77734375" style="1133" customWidth="1"/>
    <col min="1546" max="1551" width="8.77734375" style="1133" customWidth="1"/>
    <col min="1552" max="1552" width="8.44140625" style="1133" customWidth="1"/>
    <col min="1553" max="1553" width="12.77734375" style="1133" customWidth="1"/>
    <col min="1554" max="1559" width="8.77734375" style="1133" customWidth="1"/>
    <col min="1560" max="1560" width="8.44140625" style="1133" customWidth="1"/>
    <col min="1561" max="1561" width="12.77734375" style="1133" customWidth="1"/>
    <col min="1562" max="1567" width="8.77734375" style="1133" customWidth="1"/>
    <col min="1568" max="1792" width="8.88671875" style="1133"/>
    <col min="1793" max="1793" width="12.77734375" style="1133" customWidth="1"/>
    <col min="1794" max="1799" width="8.77734375" style="1133" customWidth="1"/>
    <col min="1800" max="1800" width="8.44140625" style="1133" customWidth="1"/>
    <col min="1801" max="1801" width="12.77734375" style="1133" customWidth="1"/>
    <col min="1802" max="1807" width="8.77734375" style="1133" customWidth="1"/>
    <col min="1808" max="1808" width="8.44140625" style="1133" customWidth="1"/>
    <col min="1809" max="1809" width="12.77734375" style="1133" customWidth="1"/>
    <col min="1810" max="1815" width="8.77734375" style="1133" customWidth="1"/>
    <col min="1816" max="1816" width="8.44140625" style="1133" customWidth="1"/>
    <col min="1817" max="1817" width="12.77734375" style="1133" customWidth="1"/>
    <col min="1818" max="1823" width="8.77734375" style="1133" customWidth="1"/>
    <col min="1824" max="2048" width="8.88671875" style="1133"/>
    <col min="2049" max="2049" width="12.77734375" style="1133" customWidth="1"/>
    <col min="2050" max="2055" width="8.77734375" style="1133" customWidth="1"/>
    <col min="2056" max="2056" width="8.44140625" style="1133" customWidth="1"/>
    <col min="2057" max="2057" width="12.77734375" style="1133" customWidth="1"/>
    <col min="2058" max="2063" width="8.77734375" style="1133" customWidth="1"/>
    <col min="2064" max="2064" width="8.44140625" style="1133" customWidth="1"/>
    <col min="2065" max="2065" width="12.77734375" style="1133" customWidth="1"/>
    <col min="2066" max="2071" width="8.77734375" style="1133" customWidth="1"/>
    <col min="2072" max="2072" width="8.44140625" style="1133" customWidth="1"/>
    <col min="2073" max="2073" width="12.77734375" style="1133" customWidth="1"/>
    <col min="2074" max="2079" width="8.77734375" style="1133" customWidth="1"/>
    <col min="2080" max="2304" width="8.88671875" style="1133"/>
    <col min="2305" max="2305" width="12.77734375" style="1133" customWidth="1"/>
    <col min="2306" max="2311" width="8.77734375" style="1133" customWidth="1"/>
    <col min="2312" max="2312" width="8.44140625" style="1133" customWidth="1"/>
    <col min="2313" max="2313" width="12.77734375" style="1133" customWidth="1"/>
    <col min="2314" max="2319" width="8.77734375" style="1133" customWidth="1"/>
    <col min="2320" max="2320" width="8.44140625" style="1133" customWidth="1"/>
    <col min="2321" max="2321" width="12.77734375" style="1133" customWidth="1"/>
    <col min="2322" max="2327" width="8.77734375" style="1133" customWidth="1"/>
    <col min="2328" max="2328" width="8.44140625" style="1133" customWidth="1"/>
    <col min="2329" max="2329" width="12.77734375" style="1133" customWidth="1"/>
    <col min="2330" max="2335" width="8.77734375" style="1133" customWidth="1"/>
    <col min="2336" max="2560" width="8.88671875" style="1133"/>
    <col min="2561" max="2561" width="12.77734375" style="1133" customWidth="1"/>
    <col min="2562" max="2567" width="8.77734375" style="1133" customWidth="1"/>
    <col min="2568" max="2568" width="8.44140625" style="1133" customWidth="1"/>
    <col min="2569" max="2569" width="12.77734375" style="1133" customWidth="1"/>
    <col min="2570" max="2575" width="8.77734375" style="1133" customWidth="1"/>
    <col min="2576" max="2576" width="8.44140625" style="1133" customWidth="1"/>
    <col min="2577" max="2577" width="12.77734375" style="1133" customWidth="1"/>
    <col min="2578" max="2583" width="8.77734375" style="1133" customWidth="1"/>
    <col min="2584" max="2584" width="8.44140625" style="1133" customWidth="1"/>
    <col min="2585" max="2585" width="12.77734375" style="1133" customWidth="1"/>
    <col min="2586" max="2591" width="8.77734375" style="1133" customWidth="1"/>
    <col min="2592" max="2816" width="8.88671875" style="1133"/>
    <col min="2817" max="2817" width="12.77734375" style="1133" customWidth="1"/>
    <col min="2818" max="2823" width="8.77734375" style="1133" customWidth="1"/>
    <col min="2824" max="2824" width="8.44140625" style="1133" customWidth="1"/>
    <col min="2825" max="2825" width="12.77734375" style="1133" customWidth="1"/>
    <col min="2826" max="2831" width="8.77734375" style="1133" customWidth="1"/>
    <col min="2832" max="2832" width="8.44140625" style="1133" customWidth="1"/>
    <col min="2833" max="2833" width="12.77734375" style="1133" customWidth="1"/>
    <col min="2834" max="2839" width="8.77734375" style="1133" customWidth="1"/>
    <col min="2840" max="2840" width="8.44140625" style="1133" customWidth="1"/>
    <col min="2841" max="2841" width="12.77734375" style="1133" customWidth="1"/>
    <col min="2842" max="2847" width="8.77734375" style="1133" customWidth="1"/>
    <col min="2848" max="3072" width="8.88671875" style="1133"/>
    <col min="3073" max="3073" width="12.77734375" style="1133" customWidth="1"/>
    <col min="3074" max="3079" width="8.77734375" style="1133" customWidth="1"/>
    <col min="3080" max="3080" width="8.44140625" style="1133" customWidth="1"/>
    <col min="3081" max="3081" width="12.77734375" style="1133" customWidth="1"/>
    <col min="3082" max="3087" width="8.77734375" style="1133" customWidth="1"/>
    <col min="3088" max="3088" width="8.44140625" style="1133" customWidth="1"/>
    <col min="3089" max="3089" width="12.77734375" style="1133" customWidth="1"/>
    <col min="3090" max="3095" width="8.77734375" style="1133" customWidth="1"/>
    <col min="3096" max="3096" width="8.44140625" style="1133" customWidth="1"/>
    <col min="3097" max="3097" width="12.77734375" style="1133" customWidth="1"/>
    <col min="3098" max="3103" width="8.77734375" style="1133" customWidth="1"/>
    <col min="3104" max="3328" width="8.88671875" style="1133"/>
    <col min="3329" max="3329" width="12.77734375" style="1133" customWidth="1"/>
    <col min="3330" max="3335" width="8.77734375" style="1133" customWidth="1"/>
    <col min="3336" max="3336" width="8.44140625" style="1133" customWidth="1"/>
    <col min="3337" max="3337" width="12.77734375" style="1133" customWidth="1"/>
    <col min="3338" max="3343" width="8.77734375" style="1133" customWidth="1"/>
    <col min="3344" max="3344" width="8.44140625" style="1133" customWidth="1"/>
    <col min="3345" max="3345" width="12.77734375" style="1133" customWidth="1"/>
    <col min="3346" max="3351" width="8.77734375" style="1133" customWidth="1"/>
    <col min="3352" max="3352" width="8.44140625" style="1133" customWidth="1"/>
    <col min="3353" max="3353" width="12.77734375" style="1133" customWidth="1"/>
    <col min="3354" max="3359" width="8.77734375" style="1133" customWidth="1"/>
    <col min="3360" max="3584" width="8.88671875" style="1133"/>
    <col min="3585" max="3585" width="12.77734375" style="1133" customWidth="1"/>
    <col min="3586" max="3591" width="8.77734375" style="1133" customWidth="1"/>
    <col min="3592" max="3592" width="8.44140625" style="1133" customWidth="1"/>
    <col min="3593" max="3593" width="12.77734375" style="1133" customWidth="1"/>
    <col min="3594" max="3599" width="8.77734375" style="1133" customWidth="1"/>
    <col min="3600" max="3600" width="8.44140625" style="1133" customWidth="1"/>
    <col min="3601" max="3601" width="12.77734375" style="1133" customWidth="1"/>
    <col min="3602" max="3607" width="8.77734375" style="1133" customWidth="1"/>
    <col min="3608" max="3608" width="8.44140625" style="1133" customWidth="1"/>
    <col min="3609" max="3609" width="12.77734375" style="1133" customWidth="1"/>
    <col min="3610" max="3615" width="8.77734375" style="1133" customWidth="1"/>
    <col min="3616" max="3840" width="8.88671875" style="1133"/>
    <col min="3841" max="3841" width="12.77734375" style="1133" customWidth="1"/>
    <col min="3842" max="3847" width="8.77734375" style="1133" customWidth="1"/>
    <col min="3848" max="3848" width="8.44140625" style="1133" customWidth="1"/>
    <col min="3849" max="3849" width="12.77734375" style="1133" customWidth="1"/>
    <col min="3850" max="3855" width="8.77734375" style="1133" customWidth="1"/>
    <col min="3856" max="3856" width="8.44140625" style="1133" customWidth="1"/>
    <col min="3857" max="3857" width="12.77734375" style="1133" customWidth="1"/>
    <col min="3858" max="3863" width="8.77734375" style="1133" customWidth="1"/>
    <col min="3864" max="3864" width="8.44140625" style="1133" customWidth="1"/>
    <col min="3865" max="3865" width="12.77734375" style="1133" customWidth="1"/>
    <col min="3866" max="3871" width="8.77734375" style="1133" customWidth="1"/>
    <col min="3872" max="4096" width="8.88671875" style="1133"/>
    <col min="4097" max="4097" width="12.77734375" style="1133" customWidth="1"/>
    <col min="4098" max="4103" width="8.77734375" style="1133" customWidth="1"/>
    <col min="4104" max="4104" width="8.44140625" style="1133" customWidth="1"/>
    <col min="4105" max="4105" width="12.77734375" style="1133" customWidth="1"/>
    <col min="4106" max="4111" width="8.77734375" style="1133" customWidth="1"/>
    <col min="4112" max="4112" width="8.44140625" style="1133" customWidth="1"/>
    <col min="4113" max="4113" width="12.77734375" style="1133" customWidth="1"/>
    <col min="4114" max="4119" width="8.77734375" style="1133" customWidth="1"/>
    <col min="4120" max="4120" width="8.44140625" style="1133" customWidth="1"/>
    <col min="4121" max="4121" width="12.77734375" style="1133" customWidth="1"/>
    <col min="4122" max="4127" width="8.77734375" style="1133" customWidth="1"/>
    <col min="4128" max="4352" width="8.88671875" style="1133"/>
    <col min="4353" max="4353" width="12.77734375" style="1133" customWidth="1"/>
    <col min="4354" max="4359" width="8.77734375" style="1133" customWidth="1"/>
    <col min="4360" max="4360" width="8.44140625" style="1133" customWidth="1"/>
    <col min="4361" max="4361" width="12.77734375" style="1133" customWidth="1"/>
    <col min="4362" max="4367" width="8.77734375" style="1133" customWidth="1"/>
    <col min="4368" max="4368" width="8.44140625" style="1133" customWidth="1"/>
    <col min="4369" max="4369" width="12.77734375" style="1133" customWidth="1"/>
    <col min="4370" max="4375" width="8.77734375" style="1133" customWidth="1"/>
    <col min="4376" max="4376" width="8.44140625" style="1133" customWidth="1"/>
    <col min="4377" max="4377" width="12.77734375" style="1133" customWidth="1"/>
    <col min="4378" max="4383" width="8.77734375" style="1133" customWidth="1"/>
    <col min="4384" max="4608" width="8.88671875" style="1133"/>
    <col min="4609" max="4609" width="12.77734375" style="1133" customWidth="1"/>
    <col min="4610" max="4615" width="8.77734375" style="1133" customWidth="1"/>
    <col min="4616" max="4616" width="8.44140625" style="1133" customWidth="1"/>
    <col min="4617" max="4617" width="12.77734375" style="1133" customWidth="1"/>
    <col min="4618" max="4623" width="8.77734375" style="1133" customWidth="1"/>
    <col min="4624" max="4624" width="8.44140625" style="1133" customWidth="1"/>
    <col min="4625" max="4625" width="12.77734375" style="1133" customWidth="1"/>
    <col min="4626" max="4631" width="8.77734375" style="1133" customWidth="1"/>
    <col min="4632" max="4632" width="8.44140625" style="1133" customWidth="1"/>
    <col min="4633" max="4633" width="12.77734375" style="1133" customWidth="1"/>
    <col min="4634" max="4639" width="8.77734375" style="1133" customWidth="1"/>
    <col min="4640" max="4864" width="8.88671875" style="1133"/>
    <col min="4865" max="4865" width="12.77734375" style="1133" customWidth="1"/>
    <col min="4866" max="4871" width="8.77734375" style="1133" customWidth="1"/>
    <col min="4872" max="4872" width="8.44140625" style="1133" customWidth="1"/>
    <col min="4873" max="4873" width="12.77734375" style="1133" customWidth="1"/>
    <col min="4874" max="4879" width="8.77734375" style="1133" customWidth="1"/>
    <col min="4880" max="4880" width="8.44140625" style="1133" customWidth="1"/>
    <col min="4881" max="4881" width="12.77734375" style="1133" customWidth="1"/>
    <col min="4882" max="4887" width="8.77734375" style="1133" customWidth="1"/>
    <col min="4888" max="4888" width="8.44140625" style="1133" customWidth="1"/>
    <col min="4889" max="4889" width="12.77734375" style="1133" customWidth="1"/>
    <col min="4890" max="4895" width="8.77734375" style="1133" customWidth="1"/>
    <col min="4896" max="5120" width="8.88671875" style="1133"/>
    <col min="5121" max="5121" width="12.77734375" style="1133" customWidth="1"/>
    <col min="5122" max="5127" width="8.77734375" style="1133" customWidth="1"/>
    <col min="5128" max="5128" width="8.44140625" style="1133" customWidth="1"/>
    <col min="5129" max="5129" width="12.77734375" style="1133" customWidth="1"/>
    <col min="5130" max="5135" width="8.77734375" style="1133" customWidth="1"/>
    <col min="5136" max="5136" width="8.44140625" style="1133" customWidth="1"/>
    <col min="5137" max="5137" width="12.77734375" style="1133" customWidth="1"/>
    <col min="5138" max="5143" width="8.77734375" style="1133" customWidth="1"/>
    <col min="5144" max="5144" width="8.44140625" style="1133" customWidth="1"/>
    <col min="5145" max="5145" width="12.77734375" style="1133" customWidth="1"/>
    <col min="5146" max="5151" width="8.77734375" style="1133" customWidth="1"/>
    <col min="5152" max="5376" width="8.88671875" style="1133"/>
    <col min="5377" max="5377" width="12.77734375" style="1133" customWidth="1"/>
    <col min="5378" max="5383" width="8.77734375" style="1133" customWidth="1"/>
    <col min="5384" max="5384" width="8.44140625" style="1133" customWidth="1"/>
    <col min="5385" max="5385" width="12.77734375" style="1133" customWidth="1"/>
    <col min="5386" max="5391" width="8.77734375" style="1133" customWidth="1"/>
    <col min="5392" max="5392" width="8.44140625" style="1133" customWidth="1"/>
    <col min="5393" max="5393" width="12.77734375" style="1133" customWidth="1"/>
    <col min="5394" max="5399" width="8.77734375" style="1133" customWidth="1"/>
    <col min="5400" max="5400" width="8.44140625" style="1133" customWidth="1"/>
    <col min="5401" max="5401" width="12.77734375" style="1133" customWidth="1"/>
    <col min="5402" max="5407" width="8.77734375" style="1133" customWidth="1"/>
    <col min="5408" max="5632" width="8.88671875" style="1133"/>
    <col min="5633" max="5633" width="12.77734375" style="1133" customWidth="1"/>
    <col min="5634" max="5639" width="8.77734375" style="1133" customWidth="1"/>
    <col min="5640" max="5640" width="8.44140625" style="1133" customWidth="1"/>
    <col min="5641" max="5641" width="12.77734375" style="1133" customWidth="1"/>
    <col min="5642" max="5647" width="8.77734375" style="1133" customWidth="1"/>
    <col min="5648" max="5648" width="8.44140625" style="1133" customWidth="1"/>
    <col min="5649" max="5649" width="12.77734375" style="1133" customWidth="1"/>
    <col min="5650" max="5655" width="8.77734375" style="1133" customWidth="1"/>
    <col min="5656" max="5656" width="8.44140625" style="1133" customWidth="1"/>
    <col min="5657" max="5657" width="12.77734375" style="1133" customWidth="1"/>
    <col min="5658" max="5663" width="8.77734375" style="1133" customWidth="1"/>
    <col min="5664" max="5888" width="8.88671875" style="1133"/>
    <col min="5889" max="5889" width="12.77734375" style="1133" customWidth="1"/>
    <col min="5890" max="5895" width="8.77734375" style="1133" customWidth="1"/>
    <col min="5896" max="5896" width="8.44140625" style="1133" customWidth="1"/>
    <col min="5897" max="5897" width="12.77734375" style="1133" customWidth="1"/>
    <col min="5898" max="5903" width="8.77734375" style="1133" customWidth="1"/>
    <col min="5904" max="5904" width="8.44140625" style="1133" customWidth="1"/>
    <col min="5905" max="5905" width="12.77734375" style="1133" customWidth="1"/>
    <col min="5906" max="5911" width="8.77734375" style="1133" customWidth="1"/>
    <col min="5912" max="5912" width="8.44140625" style="1133" customWidth="1"/>
    <col min="5913" max="5913" width="12.77734375" style="1133" customWidth="1"/>
    <col min="5914" max="5919" width="8.77734375" style="1133" customWidth="1"/>
    <col min="5920" max="6144" width="8.88671875" style="1133"/>
    <col min="6145" max="6145" width="12.77734375" style="1133" customWidth="1"/>
    <col min="6146" max="6151" width="8.77734375" style="1133" customWidth="1"/>
    <col min="6152" max="6152" width="8.44140625" style="1133" customWidth="1"/>
    <col min="6153" max="6153" width="12.77734375" style="1133" customWidth="1"/>
    <col min="6154" max="6159" width="8.77734375" style="1133" customWidth="1"/>
    <col min="6160" max="6160" width="8.44140625" style="1133" customWidth="1"/>
    <col min="6161" max="6161" width="12.77734375" style="1133" customWidth="1"/>
    <col min="6162" max="6167" width="8.77734375" style="1133" customWidth="1"/>
    <col min="6168" max="6168" width="8.44140625" style="1133" customWidth="1"/>
    <col min="6169" max="6169" width="12.77734375" style="1133" customWidth="1"/>
    <col min="6170" max="6175" width="8.77734375" style="1133" customWidth="1"/>
    <col min="6176" max="6400" width="8.88671875" style="1133"/>
    <col min="6401" max="6401" width="12.77734375" style="1133" customWidth="1"/>
    <col min="6402" max="6407" width="8.77734375" style="1133" customWidth="1"/>
    <col min="6408" max="6408" width="8.44140625" style="1133" customWidth="1"/>
    <col min="6409" max="6409" width="12.77734375" style="1133" customWidth="1"/>
    <col min="6410" max="6415" width="8.77734375" style="1133" customWidth="1"/>
    <col min="6416" max="6416" width="8.44140625" style="1133" customWidth="1"/>
    <col min="6417" max="6417" width="12.77734375" style="1133" customWidth="1"/>
    <col min="6418" max="6423" width="8.77734375" style="1133" customWidth="1"/>
    <col min="6424" max="6424" width="8.44140625" style="1133" customWidth="1"/>
    <col min="6425" max="6425" width="12.77734375" style="1133" customWidth="1"/>
    <col min="6426" max="6431" width="8.77734375" style="1133" customWidth="1"/>
    <col min="6432" max="6656" width="8.88671875" style="1133"/>
    <col min="6657" max="6657" width="12.77734375" style="1133" customWidth="1"/>
    <col min="6658" max="6663" width="8.77734375" style="1133" customWidth="1"/>
    <col min="6664" max="6664" width="8.44140625" style="1133" customWidth="1"/>
    <col min="6665" max="6665" width="12.77734375" style="1133" customWidth="1"/>
    <col min="6666" max="6671" width="8.77734375" style="1133" customWidth="1"/>
    <col min="6672" max="6672" width="8.44140625" style="1133" customWidth="1"/>
    <col min="6673" max="6673" width="12.77734375" style="1133" customWidth="1"/>
    <col min="6674" max="6679" width="8.77734375" style="1133" customWidth="1"/>
    <col min="6680" max="6680" width="8.44140625" style="1133" customWidth="1"/>
    <col min="6681" max="6681" width="12.77734375" style="1133" customWidth="1"/>
    <col min="6682" max="6687" width="8.77734375" style="1133" customWidth="1"/>
    <col min="6688" max="6912" width="8.88671875" style="1133"/>
    <col min="6913" max="6913" width="12.77734375" style="1133" customWidth="1"/>
    <col min="6914" max="6919" width="8.77734375" style="1133" customWidth="1"/>
    <col min="6920" max="6920" width="8.44140625" style="1133" customWidth="1"/>
    <col min="6921" max="6921" width="12.77734375" style="1133" customWidth="1"/>
    <col min="6922" max="6927" width="8.77734375" style="1133" customWidth="1"/>
    <col min="6928" max="6928" width="8.44140625" style="1133" customWidth="1"/>
    <col min="6929" max="6929" width="12.77734375" style="1133" customWidth="1"/>
    <col min="6930" max="6935" width="8.77734375" style="1133" customWidth="1"/>
    <col min="6936" max="6936" width="8.44140625" style="1133" customWidth="1"/>
    <col min="6937" max="6937" width="12.77734375" style="1133" customWidth="1"/>
    <col min="6938" max="6943" width="8.77734375" style="1133" customWidth="1"/>
    <col min="6944" max="7168" width="8.88671875" style="1133"/>
    <col min="7169" max="7169" width="12.77734375" style="1133" customWidth="1"/>
    <col min="7170" max="7175" width="8.77734375" style="1133" customWidth="1"/>
    <col min="7176" max="7176" width="8.44140625" style="1133" customWidth="1"/>
    <col min="7177" max="7177" width="12.77734375" style="1133" customWidth="1"/>
    <col min="7178" max="7183" width="8.77734375" style="1133" customWidth="1"/>
    <col min="7184" max="7184" width="8.44140625" style="1133" customWidth="1"/>
    <col min="7185" max="7185" width="12.77734375" style="1133" customWidth="1"/>
    <col min="7186" max="7191" width="8.77734375" style="1133" customWidth="1"/>
    <col min="7192" max="7192" width="8.44140625" style="1133" customWidth="1"/>
    <col min="7193" max="7193" width="12.77734375" style="1133" customWidth="1"/>
    <col min="7194" max="7199" width="8.77734375" style="1133" customWidth="1"/>
    <col min="7200" max="7424" width="8.88671875" style="1133"/>
    <col min="7425" max="7425" width="12.77734375" style="1133" customWidth="1"/>
    <col min="7426" max="7431" width="8.77734375" style="1133" customWidth="1"/>
    <col min="7432" max="7432" width="8.44140625" style="1133" customWidth="1"/>
    <col min="7433" max="7433" width="12.77734375" style="1133" customWidth="1"/>
    <col min="7434" max="7439" width="8.77734375" style="1133" customWidth="1"/>
    <col min="7440" max="7440" width="8.44140625" style="1133" customWidth="1"/>
    <col min="7441" max="7441" width="12.77734375" style="1133" customWidth="1"/>
    <col min="7442" max="7447" width="8.77734375" style="1133" customWidth="1"/>
    <col min="7448" max="7448" width="8.44140625" style="1133" customWidth="1"/>
    <col min="7449" max="7449" width="12.77734375" style="1133" customWidth="1"/>
    <col min="7450" max="7455" width="8.77734375" style="1133" customWidth="1"/>
    <col min="7456" max="7680" width="8.88671875" style="1133"/>
    <col min="7681" max="7681" width="12.77734375" style="1133" customWidth="1"/>
    <col min="7682" max="7687" width="8.77734375" style="1133" customWidth="1"/>
    <col min="7688" max="7688" width="8.44140625" style="1133" customWidth="1"/>
    <col min="7689" max="7689" width="12.77734375" style="1133" customWidth="1"/>
    <col min="7690" max="7695" width="8.77734375" style="1133" customWidth="1"/>
    <col min="7696" max="7696" width="8.44140625" style="1133" customWidth="1"/>
    <col min="7697" max="7697" width="12.77734375" style="1133" customWidth="1"/>
    <col min="7698" max="7703" width="8.77734375" style="1133" customWidth="1"/>
    <col min="7704" max="7704" width="8.44140625" style="1133" customWidth="1"/>
    <col min="7705" max="7705" width="12.77734375" style="1133" customWidth="1"/>
    <col min="7706" max="7711" width="8.77734375" style="1133" customWidth="1"/>
    <col min="7712" max="7936" width="8.88671875" style="1133"/>
    <col min="7937" max="7937" width="12.77734375" style="1133" customWidth="1"/>
    <col min="7938" max="7943" width="8.77734375" style="1133" customWidth="1"/>
    <col min="7944" max="7944" width="8.44140625" style="1133" customWidth="1"/>
    <col min="7945" max="7945" width="12.77734375" style="1133" customWidth="1"/>
    <col min="7946" max="7951" width="8.77734375" style="1133" customWidth="1"/>
    <col min="7952" max="7952" width="8.44140625" style="1133" customWidth="1"/>
    <col min="7953" max="7953" width="12.77734375" style="1133" customWidth="1"/>
    <col min="7954" max="7959" width="8.77734375" style="1133" customWidth="1"/>
    <col min="7960" max="7960" width="8.44140625" style="1133" customWidth="1"/>
    <col min="7961" max="7961" width="12.77734375" style="1133" customWidth="1"/>
    <col min="7962" max="7967" width="8.77734375" style="1133" customWidth="1"/>
    <col min="7968" max="8192" width="8.88671875" style="1133"/>
    <col min="8193" max="8193" width="12.77734375" style="1133" customWidth="1"/>
    <col min="8194" max="8199" width="8.77734375" style="1133" customWidth="1"/>
    <col min="8200" max="8200" width="8.44140625" style="1133" customWidth="1"/>
    <col min="8201" max="8201" width="12.77734375" style="1133" customWidth="1"/>
    <col min="8202" max="8207" width="8.77734375" style="1133" customWidth="1"/>
    <col min="8208" max="8208" width="8.44140625" style="1133" customWidth="1"/>
    <col min="8209" max="8209" width="12.77734375" style="1133" customWidth="1"/>
    <col min="8210" max="8215" width="8.77734375" style="1133" customWidth="1"/>
    <col min="8216" max="8216" width="8.44140625" style="1133" customWidth="1"/>
    <col min="8217" max="8217" width="12.77734375" style="1133" customWidth="1"/>
    <col min="8218" max="8223" width="8.77734375" style="1133" customWidth="1"/>
    <col min="8224" max="8448" width="8.88671875" style="1133"/>
    <col min="8449" max="8449" width="12.77734375" style="1133" customWidth="1"/>
    <col min="8450" max="8455" width="8.77734375" style="1133" customWidth="1"/>
    <col min="8456" max="8456" width="8.44140625" style="1133" customWidth="1"/>
    <col min="8457" max="8457" width="12.77734375" style="1133" customWidth="1"/>
    <col min="8458" max="8463" width="8.77734375" style="1133" customWidth="1"/>
    <col min="8464" max="8464" width="8.44140625" style="1133" customWidth="1"/>
    <col min="8465" max="8465" width="12.77734375" style="1133" customWidth="1"/>
    <col min="8466" max="8471" width="8.77734375" style="1133" customWidth="1"/>
    <col min="8472" max="8472" width="8.44140625" style="1133" customWidth="1"/>
    <col min="8473" max="8473" width="12.77734375" style="1133" customWidth="1"/>
    <col min="8474" max="8479" width="8.77734375" style="1133" customWidth="1"/>
    <col min="8480" max="8704" width="8.88671875" style="1133"/>
    <col min="8705" max="8705" width="12.77734375" style="1133" customWidth="1"/>
    <col min="8706" max="8711" width="8.77734375" style="1133" customWidth="1"/>
    <col min="8712" max="8712" width="8.44140625" style="1133" customWidth="1"/>
    <col min="8713" max="8713" width="12.77734375" style="1133" customWidth="1"/>
    <col min="8714" max="8719" width="8.77734375" style="1133" customWidth="1"/>
    <col min="8720" max="8720" width="8.44140625" style="1133" customWidth="1"/>
    <col min="8721" max="8721" width="12.77734375" style="1133" customWidth="1"/>
    <col min="8722" max="8727" width="8.77734375" style="1133" customWidth="1"/>
    <col min="8728" max="8728" width="8.44140625" style="1133" customWidth="1"/>
    <col min="8729" max="8729" width="12.77734375" style="1133" customWidth="1"/>
    <col min="8730" max="8735" width="8.77734375" style="1133" customWidth="1"/>
    <col min="8736" max="8960" width="8.88671875" style="1133"/>
    <col min="8961" max="8961" width="12.77734375" style="1133" customWidth="1"/>
    <col min="8962" max="8967" width="8.77734375" style="1133" customWidth="1"/>
    <col min="8968" max="8968" width="8.44140625" style="1133" customWidth="1"/>
    <col min="8969" max="8969" width="12.77734375" style="1133" customWidth="1"/>
    <col min="8970" max="8975" width="8.77734375" style="1133" customWidth="1"/>
    <col min="8976" max="8976" width="8.44140625" style="1133" customWidth="1"/>
    <col min="8977" max="8977" width="12.77734375" style="1133" customWidth="1"/>
    <col min="8978" max="8983" width="8.77734375" style="1133" customWidth="1"/>
    <col min="8984" max="8984" width="8.44140625" style="1133" customWidth="1"/>
    <col min="8985" max="8985" width="12.77734375" style="1133" customWidth="1"/>
    <col min="8986" max="8991" width="8.77734375" style="1133" customWidth="1"/>
    <col min="8992" max="9216" width="8.88671875" style="1133"/>
    <col min="9217" max="9217" width="12.77734375" style="1133" customWidth="1"/>
    <col min="9218" max="9223" width="8.77734375" style="1133" customWidth="1"/>
    <col min="9224" max="9224" width="8.44140625" style="1133" customWidth="1"/>
    <col min="9225" max="9225" width="12.77734375" style="1133" customWidth="1"/>
    <col min="9226" max="9231" width="8.77734375" style="1133" customWidth="1"/>
    <col min="9232" max="9232" width="8.44140625" style="1133" customWidth="1"/>
    <col min="9233" max="9233" width="12.77734375" style="1133" customWidth="1"/>
    <col min="9234" max="9239" width="8.77734375" style="1133" customWidth="1"/>
    <col min="9240" max="9240" width="8.44140625" style="1133" customWidth="1"/>
    <col min="9241" max="9241" width="12.77734375" style="1133" customWidth="1"/>
    <col min="9242" max="9247" width="8.77734375" style="1133" customWidth="1"/>
    <col min="9248" max="9472" width="8.88671875" style="1133"/>
    <col min="9473" max="9473" width="12.77734375" style="1133" customWidth="1"/>
    <col min="9474" max="9479" width="8.77734375" style="1133" customWidth="1"/>
    <col min="9480" max="9480" width="8.44140625" style="1133" customWidth="1"/>
    <col min="9481" max="9481" width="12.77734375" style="1133" customWidth="1"/>
    <col min="9482" max="9487" width="8.77734375" style="1133" customWidth="1"/>
    <col min="9488" max="9488" width="8.44140625" style="1133" customWidth="1"/>
    <col min="9489" max="9489" width="12.77734375" style="1133" customWidth="1"/>
    <col min="9490" max="9495" width="8.77734375" style="1133" customWidth="1"/>
    <col min="9496" max="9496" width="8.44140625" style="1133" customWidth="1"/>
    <col min="9497" max="9497" width="12.77734375" style="1133" customWidth="1"/>
    <col min="9498" max="9503" width="8.77734375" style="1133" customWidth="1"/>
    <col min="9504" max="9728" width="8.88671875" style="1133"/>
    <col min="9729" max="9729" width="12.77734375" style="1133" customWidth="1"/>
    <col min="9730" max="9735" width="8.77734375" style="1133" customWidth="1"/>
    <col min="9736" max="9736" width="8.44140625" style="1133" customWidth="1"/>
    <col min="9737" max="9737" width="12.77734375" style="1133" customWidth="1"/>
    <col min="9738" max="9743" width="8.77734375" style="1133" customWidth="1"/>
    <col min="9744" max="9744" width="8.44140625" style="1133" customWidth="1"/>
    <col min="9745" max="9745" width="12.77734375" style="1133" customWidth="1"/>
    <col min="9746" max="9751" width="8.77734375" style="1133" customWidth="1"/>
    <col min="9752" max="9752" width="8.44140625" style="1133" customWidth="1"/>
    <col min="9753" max="9753" width="12.77734375" style="1133" customWidth="1"/>
    <col min="9754" max="9759" width="8.77734375" style="1133" customWidth="1"/>
    <col min="9760" max="9984" width="8.88671875" style="1133"/>
    <col min="9985" max="9985" width="12.77734375" style="1133" customWidth="1"/>
    <col min="9986" max="9991" width="8.77734375" style="1133" customWidth="1"/>
    <col min="9992" max="9992" width="8.44140625" style="1133" customWidth="1"/>
    <col min="9993" max="9993" width="12.77734375" style="1133" customWidth="1"/>
    <col min="9994" max="9999" width="8.77734375" style="1133" customWidth="1"/>
    <col min="10000" max="10000" width="8.44140625" style="1133" customWidth="1"/>
    <col min="10001" max="10001" width="12.77734375" style="1133" customWidth="1"/>
    <col min="10002" max="10007" width="8.77734375" style="1133" customWidth="1"/>
    <col min="10008" max="10008" width="8.44140625" style="1133" customWidth="1"/>
    <col min="10009" max="10009" width="12.77734375" style="1133" customWidth="1"/>
    <col min="10010" max="10015" width="8.77734375" style="1133" customWidth="1"/>
    <col min="10016" max="10240" width="8.88671875" style="1133"/>
    <col min="10241" max="10241" width="12.77734375" style="1133" customWidth="1"/>
    <col min="10242" max="10247" width="8.77734375" style="1133" customWidth="1"/>
    <col min="10248" max="10248" width="8.44140625" style="1133" customWidth="1"/>
    <col min="10249" max="10249" width="12.77734375" style="1133" customWidth="1"/>
    <col min="10250" max="10255" width="8.77734375" style="1133" customWidth="1"/>
    <col min="10256" max="10256" width="8.44140625" style="1133" customWidth="1"/>
    <col min="10257" max="10257" width="12.77734375" style="1133" customWidth="1"/>
    <col min="10258" max="10263" width="8.77734375" style="1133" customWidth="1"/>
    <col min="10264" max="10264" width="8.44140625" style="1133" customWidth="1"/>
    <col min="10265" max="10265" width="12.77734375" style="1133" customWidth="1"/>
    <col min="10266" max="10271" width="8.77734375" style="1133" customWidth="1"/>
    <col min="10272" max="10496" width="8.88671875" style="1133"/>
    <col min="10497" max="10497" width="12.77734375" style="1133" customWidth="1"/>
    <col min="10498" max="10503" width="8.77734375" style="1133" customWidth="1"/>
    <col min="10504" max="10504" width="8.44140625" style="1133" customWidth="1"/>
    <col min="10505" max="10505" width="12.77734375" style="1133" customWidth="1"/>
    <col min="10506" max="10511" width="8.77734375" style="1133" customWidth="1"/>
    <col min="10512" max="10512" width="8.44140625" style="1133" customWidth="1"/>
    <col min="10513" max="10513" width="12.77734375" style="1133" customWidth="1"/>
    <col min="10514" max="10519" width="8.77734375" style="1133" customWidth="1"/>
    <col min="10520" max="10520" width="8.44140625" style="1133" customWidth="1"/>
    <col min="10521" max="10521" width="12.77734375" style="1133" customWidth="1"/>
    <col min="10522" max="10527" width="8.77734375" style="1133" customWidth="1"/>
    <col min="10528" max="10752" width="8.88671875" style="1133"/>
    <col min="10753" max="10753" width="12.77734375" style="1133" customWidth="1"/>
    <col min="10754" max="10759" width="8.77734375" style="1133" customWidth="1"/>
    <col min="10760" max="10760" width="8.44140625" style="1133" customWidth="1"/>
    <col min="10761" max="10761" width="12.77734375" style="1133" customWidth="1"/>
    <col min="10762" max="10767" width="8.77734375" style="1133" customWidth="1"/>
    <col min="10768" max="10768" width="8.44140625" style="1133" customWidth="1"/>
    <col min="10769" max="10769" width="12.77734375" style="1133" customWidth="1"/>
    <col min="10770" max="10775" width="8.77734375" style="1133" customWidth="1"/>
    <col min="10776" max="10776" width="8.44140625" style="1133" customWidth="1"/>
    <col min="10777" max="10777" width="12.77734375" style="1133" customWidth="1"/>
    <col min="10778" max="10783" width="8.77734375" style="1133" customWidth="1"/>
    <col min="10784" max="11008" width="8.88671875" style="1133"/>
    <col min="11009" max="11009" width="12.77734375" style="1133" customWidth="1"/>
    <col min="11010" max="11015" width="8.77734375" style="1133" customWidth="1"/>
    <col min="11016" max="11016" width="8.44140625" style="1133" customWidth="1"/>
    <col min="11017" max="11017" width="12.77734375" style="1133" customWidth="1"/>
    <col min="11018" max="11023" width="8.77734375" style="1133" customWidth="1"/>
    <col min="11024" max="11024" width="8.44140625" style="1133" customWidth="1"/>
    <col min="11025" max="11025" width="12.77734375" style="1133" customWidth="1"/>
    <col min="11026" max="11031" width="8.77734375" style="1133" customWidth="1"/>
    <col min="11032" max="11032" width="8.44140625" style="1133" customWidth="1"/>
    <col min="11033" max="11033" width="12.77734375" style="1133" customWidth="1"/>
    <col min="11034" max="11039" width="8.77734375" style="1133" customWidth="1"/>
    <col min="11040" max="11264" width="8.88671875" style="1133"/>
    <col min="11265" max="11265" width="12.77734375" style="1133" customWidth="1"/>
    <col min="11266" max="11271" width="8.77734375" style="1133" customWidth="1"/>
    <col min="11272" max="11272" width="8.44140625" style="1133" customWidth="1"/>
    <col min="11273" max="11273" width="12.77734375" style="1133" customWidth="1"/>
    <col min="11274" max="11279" width="8.77734375" style="1133" customWidth="1"/>
    <col min="11280" max="11280" width="8.44140625" style="1133" customWidth="1"/>
    <col min="11281" max="11281" width="12.77734375" style="1133" customWidth="1"/>
    <col min="11282" max="11287" width="8.77734375" style="1133" customWidth="1"/>
    <col min="11288" max="11288" width="8.44140625" style="1133" customWidth="1"/>
    <col min="11289" max="11289" width="12.77734375" style="1133" customWidth="1"/>
    <col min="11290" max="11295" width="8.77734375" style="1133" customWidth="1"/>
    <col min="11296" max="11520" width="8.88671875" style="1133"/>
    <col min="11521" max="11521" width="12.77734375" style="1133" customWidth="1"/>
    <col min="11522" max="11527" width="8.77734375" style="1133" customWidth="1"/>
    <col min="11528" max="11528" width="8.44140625" style="1133" customWidth="1"/>
    <col min="11529" max="11529" width="12.77734375" style="1133" customWidth="1"/>
    <col min="11530" max="11535" width="8.77734375" style="1133" customWidth="1"/>
    <col min="11536" max="11536" width="8.44140625" style="1133" customWidth="1"/>
    <col min="11537" max="11537" width="12.77734375" style="1133" customWidth="1"/>
    <col min="11538" max="11543" width="8.77734375" style="1133" customWidth="1"/>
    <col min="11544" max="11544" width="8.44140625" style="1133" customWidth="1"/>
    <col min="11545" max="11545" width="12.77734375" style="1133" customWidth="1"/>
    <col min="11546" max="11551" width="8.77734375" style="1133" customWidth="1"/>
    <col min="11552" max="11776" width="8.88671875" style="1133"/>
    <col min="11777" max="11777" width="12.77734375" style="1133" customWidth="1"/>
    <col min="11778" max="11783" width="8.77734375" style="1133" customWidth="1"/>
    <col min="11784" max="11784" width="8.44140625" style="1133" customWidth="1"/>
    <col min="11785" max="11785" width="12.77734375" style="1133" customWidth="1"/>
    <col min="11786" max="11791" width="8.77734375" style="1133" customWidth="1"/>
    <col min="11792" max="11792" width="8.44140625" style="1133" customWidth="1"/>
    <col min="11793" max="11793" width="12.77734375" style="1133" customWidth="1"/>
    <col min="11794" max="11799" width="8.77734375" style="1133" customWidth="1"/>
    <col min="11800" max="11800" width="8.44140625" style="1133" customWidth="1"/>
    <col min="11801" max="11801" width="12.77734375" style="1133" customWidth="1"/>
    <col min="11802" max="11807" width="8.77734375" style="1133" customWidth="1"/>
    <col min="11808" max="12032" width="8.88671875" style="1133"/>
    <col min="12033" max="12033" width="12.77734375" style="1133" customWidth="1"/>
    <col min="12034" max="12039" width="8.77734375" style="1133" customWidth="1"/>
    <col min="12040" max="12040" width="8.44140625" style="1133" customWidth="1"/>
    <col min="12041" max="12041" width="12.77734375" style="1133" customWidth="1"/>
    <col min="12042" max="12047" width="8.77734375" style="1133" customWidth="1"/>
    <col min="12048" max="12048" width="8.44140625" style="1133" customWidth="1"/>
    <col min="12049" max="12049" width="12.77734375" style="1133" customWidth="1"/>
    <col min="12050" max="12055" width="8.77734375" style="1133" customWidth="1"/>
    <col min="12056" max="12056" width="8.44140625" style="1133" customWidth="1"/>
    <col min="12057" max="12057" width="12.77734375" style="1133" customWidth="1"/>
    <col min="12058" max="12063" width="8.77734375" style="1133" customWidth="1"/>
    <col min="12064" max="12288" width="8.88671875" style="1133"/>
    <col min="12289" max="12289" width="12.77734375" style="1133" customWidth="1"/>
    <col min="12290" max="12295" width="8.77734375" style="1133" customWidth="1"/>
    <col min="12296" max="12296" width="8.44140625" style="1133" customWidth="1"/>
    <col min="12297" max="12297" width="12.77734375" style="1133" customWidth="1"/>
    <col min="12298" max="12303" width="8.77734375" style="1133" customWidth="1"/>
    <col min="12304" max="12304" width="8.44140625" style="1133" customWidth="1"/>
    <col min="12305" max="12305" width="12.77734375" style="1133" customWidth="1"/>
    <col min="12306" max="12311" width="8.77734375" style="1133" customWidth="1"/>
    <col min="12312" max="12312" width="8.44140625" style="1133" customWidth="1"/>
    <col min="12313" max="12313" width="12.77734375" style="1133" customWidth="1"/>
    <col min="12314" max="12319" width="8.77734375" style="1133" customWidth="1"/>
    <col min="12320" max="12544" width="8.88671875" style="1133"/>
    <col min="12545" max="12545" width="12.77734375" style="1133" customWidth="1"/>
    <col min="12546" max="12551" width="8.77734375" style="1133" customWidth="1"/>
    <col min="12552" max="12552" width="8.44140625" style="1133" customWidth="1"/>
    <col min="12553" max="12553" width="12.77734375" style="1133" customWidth="1"/>
    <col min="12554" max="12559" width="8.77734375" style="1133" customWidth="1"/>
    <col min="12560" max="12560" width="8.44140625" style="1133" customWidth="1"/>
    <col min="12561" max="12561" width="12.77734375" style="1133" customWidth="1"/>
    <col min="12562" max="12567" width="8.77734375" style="1133" customWidth="1"/>
    <col min="12568" max="12568" width="8.44140625" style="1133" customWidth="1"/>
    <col min="12569" max="12569" width="12.77734375" style="1133" customWidth="1"/>
    <col min="12570" max="12575" width="8.77734375" style="1133" customWidth="1"/>
    <col min="12576" max="12800" width="8.88671875" style="1133"/>
    <col min="12801" max="12801" width="12.77734375" style="1133" customWidth="1"/>
    <col min="12802" max="12807" width="8.77734375" style="1133" customWidth="1"/>
    <col min="12808" max="12808" width="8.44140625" style="1133" customWidth="1"/>
    <col min="12809" max="12809" width="12.77734375" style="1133" customWidth="1"/>
    <col min="12810" max="12815" width="8.77734375" style="1133" customWidth="1"/>
    <col min="12816" max="12816" width="8.44140625" style="1133" customWidth="1"/>
    <col min="12817" max="12817" width="12.77734375" style="1133" customWidth="1"/>
    <col min="12818" max="12823" width="8.77734375" style="1133" customWidth="1"/>
    <col min="12824" max="12824" width="8.44140625" style="1133" customWidth="1"/>
    <col min="12825" max="12825" width="12.77734375" style="1133" customWidth="1"/>
    <col min="12826" max="12831" width="8.77734375" style="1133" customWidth="1"/>
    <col min="12832" max="13056" width="8.88671875" style="1133"/>
    <col min="13057" max="13057" width="12.77734375" style="1133" customWidth="1"/>
    <col min="13058" max="13063" width="8.77734375" style="1133" customWidth="1"/>
    <col min="13064" max="13064" width="8.44140625" style="1133" customWidth="1"/>
    <col min="13065" max="13065" width="12.77734375" style="1133" customWidth="1"/>
    <col min="13066" max="13071" width="8.77734375" style="1133" customWidth="1"/>
    <col min="13072" max="13072" width="8.44140625" style="1133" customWidth="1"/>
    <col min="13073" max="13073" width="12.77734375" style="1133" customWidth="1"/>
    <col min="13074" max="13079" width="8.77734375" style="1133" customWidth="1"/>
    <col min="13080" max="13080" width="8.44140625" style="1133" customWidth="1"/>
    <col min="13081" max="13081" width="12.77734375" style="1133" customWidth="1"/>
    <col min="13082" max="13087" width="8.77734375" style="1133" customWidth="1"/>
    <col min="13088" max="13312" width="8.88671875" style="1133"/>
    <col min="13313" max="13313" width="12.77734375" style="1133" customWidth="1"/>
    <col min="13314" max="13319" width="8.77734375" style="1133" customWidth="1"/>
    <col min="13320" max="13320" width="8.44140625" style="1133" customWidth="1"/>
    <col min="13321" max="13321" width="12.77734375" style="1133" customWidth="1"/>
    <col min="13322" max="13327" width="8.77734375" style="1133" customWidth="1"/>
    <col min="13328" max="13328" width="8.44140625" style="1133" customWidth="1"/>
    <col min="13329" max="13329" width="12.77734375" style="1133" customWidth="1"/>
    <col min="13330" max="13335" width="8.77734375" style="1133" customWidth="1"/>
    <col min="13336" max="13336" width="8.44140625" style="1133" customWidth="1"/>
    <col min="13337" max="13337" width="12.77734375" style="1133" customWidth="1"/>
    <col min="13338" max="13343" width="8.77734375" style="1133" customWidth="1"/>
    <col min="13344" max="13568" width="8.88671875" style="1133"/>
    <col min="13569" max="13569" width="12.77734375" style="1133" customWidth="1"/>
    <col min="13570" max="13575" width="8.77734375" style="1133" customWidth="1"/>
    <col min="13576" max="13576" width="8.44140625" style="1133" customWidth="1"/>
    <col min="13577" max="13577" width="12.77734375" style="1133" customWidth="1"/>
    <col min="13578" max="13583" width="8.77734375" style="1133" customWidth="1"/>
    <col min="13584" max="13584" width="8.44140625" style="1133" customWidth="1"/>
    <col min="13585" max="13585" width="12.77734375" style="1133" customWidth="1"/>
    <col min="13586" max="13591" width="8.77734375" style="1133" customWidth="1"/>
    <col min="13592" max="13592" width="8.44140625" style="1133" customWidth="1"/>
    <col min="13593" max="13593" width="12.77734375" style="1133" customWidth="1"/>
    <col min="13594" max="13599" width="8.77734375" style="1133" customWidth="1"/>
    <col min="13600" max="13824" width="8.88671875" style="1133"/>
    <col min="13825" max="13825" width="12.77734375" style="1133" customWidth="1"/>
    <col min="13826" max="13831" width="8.77734375" style="1133" customWidth="1"/>
    <col min="13832" max="13832" width="8.44140625" style="1133" customWidth="1"/>
    <col min="13833" max="13833" width="12.77734375" style="1133" customWidth="1"/>
    <col min="13834" max="13839" width="8.77734375" style="1133" customWidth="1"/>
    <col min="13840" max="13840" width="8.44140625" style="1133" customWidth="1"/>
    <col min="13841" max="13841" width="12.77734375" style="1133" customWidth="1"/>
    <col min="13842" max="13847" width="8.77734375" style="1133" customWidth="1"/>
    <col min="13848" max="13848" width="8.44140625" style="1133" customWidth="1"/>
    <col min="13849" max="13849" width="12.77734375" style="1133" customWidth="1"/>
    <col min="13850" max="13855" width="8.77734375" style="1133" customWidth="1"/>
    <col min="13856" max="14080" width="8.88671875" style="1133"/>
    <col min="14081" max="14081" width="12.77734375" style="1133" customWidth="1"/>
    <col min="14082" max="14087" width="8.77734375" style="1133" customWidth="1"/>
    <col min="14088" max="14088" width="8.44140625" style="1133" customWidth="1"/>
    <col min="14089" max="14089" width="12.77734375" style="1133" customWidth="1"/>
    <col min="14090" max="14095" width="8.77734375" style="1133" customWidth="1"/>
    <col min="14096" max="14096" width="8.44140625" style="1133" customWidth="1"/>
    <col min="14097" max="14097" width="12.77734375" style="1133" customWidth="1"/>
    <col min="14098" max="14103" width="8.77734375" style="1133" customWidth="1"/>
    <col min="14104" max="14104" width="8.44140625" style="1133" customWidth="1"/>
    <col min="14105" max="14105" width="12.77734375" style="1133" customWidth="1"/>
    <col min="14106" max="14111" width="8.77734375" style="1133" customWidth="1"/>
    <col min="14112" max="14336" width="8.88671875" style="1133"/>
    <col min="14337" max="14337" width="12.77734375" style="1133" customWidth="1"/>
    <col min="14338" max="14343" width="8.77734375" style="1133" customWidth="1"/>
    <col min="14344" max="14344" width="8.44140625" style="1133" customWidth="1"/>
    <col min="14345" max="14345" width="12.77734375" style="1133" customWidth="1"/>
    <col min="14346" max="14351" width="8.77734375" style="1133" customWidth="1"/>
    <col min="14352" max="14352" width="8.44140625" style="1133" customWidth="1"/>
    <col min="14353" max="14353" width="12.77734375" style="1133" customWidth="1"/>
    <col min="14354" max="14359" width="8.77734375" style="1133" customWidth="1"/>
    <col min="14360" max="14360" width="8.44140625" style="1133" customWidth="1"/>
    <col min="14361" max="14361" width="12.77734375" style="1133" customWidth="1"/>
    <col min="14362" max="14367" width="8.77734375" style="1133" customWidth="1"/>
    <col min="14368" max="14592" width="8.88671875" style="1133"/>
    <col min="14593" max="14593" width="12.77734375" style="1133" customWidth="1"/>
    <col min="14594" max="14599" width="8.77734375" style="1133" customWidth="1"/>
    <col min="14600" max="14600" width="8.44140625" style="1133" customWidth="1"/>
    <col min="14601" max="14601" width="12.77734375" style="1133" customWidth="1"/>
    <col min="14602" max="14607" width="8.77734375" style="1133" customWidth="1"/>
    <col min="14608" max="14608" width="8.44140625" style="1133" customWidth="1"/>
    <col min="14609" max="14609" width="12.77734375" style="1133" customWidth="1"/>
    <col min="14610" max="14615" width="8.77734375" style="1133" customWidth="1"/>
    <col min="14616" max="14616" width="8.44140625" style="1133" customWidth="1"/>
    <col min="14617" max="14617" width="12.77734375" style="1133" customWidth="1"/>
    <col min="14618" max="14623" width="8.77734375" style="1133" customWidth="1"/>
    <col min="14624" max="14848" width="8.88671875" style="1133"/>
    <col min="14849" max="14849" width="12.77734375" style="1133" customWidth="1"/>
    <col min="14850" max="14855" width="8.77734375" style="1133" customWidth="1"/>
    <col min="14856" max="14856" width="8.44140625" style="1133" customWidth="1"/>
    <col min="14857" max="14857" width="12.77734375" style="1133" customWidth="1"/>
    <col min="14858" max="14863" width="8.77734375" style="1133" customWidth="1"/>
    <col min="14864" max="14864" width="8.44140625" style="1133" customWidth="1"/>
    <col min="14865" max="14865" width="12.77734375" style="1133" customWidth="1"/>
    <col min="14866" max="14871" width="8.77734375" style="1133" customWidth="1"/>
    <col min="14872" max="14872" width="8.44140625" style="1133" customWidth="1"/>
    <col min="14873" max="14873" width="12.77734375" style="1133" customWidth="1"/>
    <col min="14874" max="14879" width="8.77734375" style="1133" customWidth="1"/>
    <col min="14880" max="15104" width="8.88671875" style="1133"/>
    <col min="15105" max="15105" width="12.77734375" style="1133" customWidth="1"/>
    <col min="15106" max="15111" width="8.77734375" style="1133" customWidth="1"/>
    <col min="15112" max="15112" width="8.44140625" style="1133" customWidth="1"/>
    <col min="15113" max="15113" width="12.77734375" style="1133" customWidth="1"/>
    <col min="15114" max="15119" width="8.77734375" style="1133" customWidth="1"/>
    <col min="15120" max="15120" width="8.44140625" style="1133" customWidth="1"/>
    <col min="15121" max="15121" width="12.77734375" style="1133" customWidth="1"/>
    <col min="15122" max="15127" width="8.77734375" style="1133" customWidth="1"/>
    <col min="15128" max="15128" width="8.44140625" style="1133" customWidth="1"/>
    <col min="15129" max="15129" width="12.77734375" style="1133" customWidth="1"/>
    <col min="15130" max="15135" width="8.77734375" style="1133" customWidth="1"/>
    <col min="15136" max="15360" width="8.88671875" style="1133"/>
    <col min="15361" max="15361" width="12.77734375" style="1133" customWidth="1"/>
    <col min="15362" max="15367" width="8.77734375" style="1133" customWidth="1"/>
    <col min="15368" max="15368" width="8.44140625" style="1133" customWidth="1"/>
    <col min="15369" max="15369" width="12.77734375" style="1133" customWidth="1"/>
    <col min="15370" max="15375" width="8.77734375" style="1133" customWidth="1"/>
    <col min="15376" max="15376" width="8.44140625" style="1133" customWidth="1"/>
    <col min="15377" max="15377" width="12.77734375" style="1133" customWidth="1"/>
    <col min="15378" max="15383" width="8.77734375" style="1133" customWidth="1"/>
    <col min="15384" max="15384" width="8.44140625" style="1133" customWidth="1"/>
    <col min="15385" max="15385" width="12.77734375" style="1133" customWidth="1"/>
    <col min="15386" max="15391" width="8.77734375" style="1133" customWidth="1"/>
    <col min="15392" max="15616" width="8.88671875" style="1133"/>
    <col min="15617" max="15617" width="12.77734375" style="1133" customWidth="1"/>
    <col min="15618" max="15623" width="8.77734375" style="1133" customWidth="1"/>
    <col min="15624" max="15624" width="8.44140625" style="1133" customWidth="1"/>
    <col min="15625" max="15625" width="12.77734375" style="1133" customWidth="1"/>
    <col min="15626" max="15631" width="8.77734375" style="1133" customWidth="1"/>
    <col min="15632" max="15632" width="8.44140625" style="1133" customWidth="1"/>
    <col min="15633" max="15633" width="12.77734375" style="1133" customWidth="1"/>
    <col min="15634" max="15639" width="8.77734375" style="1133" customWidth="1"/>
    <col min="15640" max="15640" width="8.44140625" style="1133" customWidth="1"/>
    <col min="15641" max="15641" width="12.77734375" style="1133" customWidth="1"/>
    <col min="15642" max="15647" width="8.77734375" style="1133" customWidth="1"/>
    <col min="15648" max="15872" width="8.88671875" style="1133"/>
    <col min="15873" max="15873" width="12.77734375" style="1133" customWidth="1"/>
    <col min="15874" max="15879" width="8.77734375" style="1133" customWidth="1"/>
    <col min="15880" max="15880" width="8.44140625" style="1133" customWidth="1"/>
    <col min="15881" max="15881" width="12.77734375" style="1133" customWidth="1"/>
    <col min="15882" max="15887" width="8.77734375" style="1133" customWidth="1"/>
    <col min="15888" max="15888" width="8.44140625" style="1133" customWidth="1"/>
    <col min="15889" max="15889" width="12.77734375" style="1133" customWidth="1"/>
    <col min="15890" max="15895" width="8.77734375" style="1133" customWidth="1"/>
    <col min="15896" max="15896" width="8.44140625" style="1133" customWidth="1"/>
    <col min="15897" max="15897" width="12.77734375" style="1133" customWidth="1"/>
    <col min="15898" max="15903" width="8.77734375" style="1133" customWidth="1"/>
    <col min="15904" max="16128" width="8.88671875" style="1133"/>
    <col min="16129" max="16129" width="12.77734375" style="1133" customWidth="1"/>
    <col min="16130" max="16135" width="8.77734375" style="1133" customWidth="1"/>
    <col min="16136" max="16136" width="8.44140625" style="1133" customWidth="1"/>
    <col min="16137" max="16137" width="12.77734375" style="1133" customWidth="1"/>
    <col min="16138" max="16143" width="8.77734375" style="1133" customWidth="1"/>
    <col min="16144" max="16144" width="8.44140625" style="1133" customWidth="1"/>
    <col min="16145" max="16145" width="12.77734375" style="1133" customWidth="1"/>
    <col min="16146" max="16151" width="8.77734375" style="1133" customWidth="1"/>
    <col min="16152" max="16152" width="8.44140625" style="1133" customWidth="1"/>
    <col min="16153" max="16153" width="12.77734375" style="1133" customWidth="1"/>
    <col min="16154" max="16159" width="8.77734375" style="1133" customWidth="1"/>
    <col min="16160" max="16384" width="8.88671875" style="1133"/>
  </cols>
  <sheetData>
    <row r="1" spans="1:24" ht="21" customHeight="1"/>
    <row r="2" spans="1:24" ht="21" customHeight="1">
      <c r="A2" s="2201" t="s">
        <v>1679</v>
      </c>
      <c r="B2" s="2201"/>
      <c r="C2" s="2201"/>
      <c r="D2" s="2201"/>
      <c r="E2" s="2201"/>
      <c r="F2" s="2201"/>
      <c r="G2" s="2201"/>
      <c r="H2" s="1138"/>
      <c r="P2" s="1138"/>
      <c r="X2" s="1138"/>
    </row>
    <row r="3" spans="1:24" ht="21" customHeight="1">
      <c r="A3" s="2201"/>
      <c r="B3" s="2201"/>
      <c r="C3" s="2201"/>
      <c r="D3" s="2201"/>
      <c r="E3" s="2201"/>
      <c r="F3" s="2201"/>
      <c r="G3" s="2201"/>
      <c r="H3" s="1138"/>
      <c r="P3" s="1138"/>
      <c r="X3" s="1138"/>
    </row>
    <row r="4" spans="1:24" ht="21" customHeight="1">
      <c r="A4" s="1139" t="s">
        <v>1680</v>
      </c>
      <c r="B4" s="1139" t="s">
        <v>1681</v>
      </c>
      <c r="C4" s="1139" t="s">
        <v>1682</v>
      </c>
      <c r="D4" s="1139" t="s">
        <v>1683</v>
      </c>
      <c r="E4" s="1139" t="s">
        <v>1684</v>
      </c>
      <c r="F4" s="1139" t="s">
        <v>1685</v>
      </c>
      <c r="G4" s="1139" t="s">
        <v>1686</v>
      </c>
      <c r="P4" s="1133"/>
    </row>
    <row r="5" spans="1:24" ht="21" customHeight="1">
      <c r="A5" s="2202" t="s">
        <v>1687</v>
      </c>
      <c r="B5" s="2202"/>
      <c r="C5" s="2202"/>
      <c r="D5" s="2202"/>
      <c r="E5" s="2202"/>
      <c r="F5" s="2202"/>
      <c r="G5" s="2202"/>
      <c r="P5" s="1133"/>
    </row>
    <row r="6" spans="1:24" ht="21" customHeight="1">
      <c r="A6" s="2202"/>
      <c r="B6" s="2202"/>
      <c r="C6" s="2202"/>
      <c r="D6" s="2202"/>
      <c r="E6" s="2202"/>
      <c r="F6" s="2202"/>
      <c r="G6" s="2202"/>
      <c r="P6" s="1133"/>
    </row>
    <row r="7" spans="1:24" ht="20.100000000000001" customHeight="1">
      <c r="A7" s="1140">
        <v>41518</v>
      </c>
      <c r="B7" s="1141">
        <v>432</v>
      </c>
      <c r="C7" s="1142">
        <v>377.99999999999994</v>
      </c>
      <c r="D7" s="1142">
        <v>188</v>
      </c>
      <c r="E7" s="1142">
        <v>483.33333333333331</v>
      </c>
      <c r="F7" s="1143">
        <v>62.84421561744287</v>
      </c>
      <c r="G7" s="1143">
        <v>4.9876580373269119</v>
      </c>
      <c r="P7" s="1133"/>
    </row>
    <row r="8" spans="1:24" ht="20.100000000000001" customHeight="1">
      <c r="A8" s="1140">
        <v>41519</v>
      </c>
      <c r="B8" s="1141">
        <v>438</v>
      </c>
      <c r="C8" s="1142">
        <v>360</v>
      </c>
      <c r="D8" s="1142">
        <v>200</v>
      </c>
      <c r="E8" s="1142">
        <v>910.00000000000023</v>
      </c>
      <c r="F8" s="1143">
        <v>66.807083235821821</v>
      </c>
      <c r="G8" s="1143">
        <v>4.9425045153521978</v>
      </c>
      <c r="P8" s="1133"/>
    </row>
    <row r="9" spans="1:24" ht="20.100000000000001" customHeight="1">
      <c r="A9" s="1140">
        <v>41520</v>
      </c>
      <c r="B9" s="1141">
        <v>420</v>
      </c>
      <c r="C9" s="1142">
        <v>324</v>
      </c>
      <c r="D9" s="1142">
        <v>180</v>
      </c>
      <c r="E9" s="1142">
        <v>716.6666666666664</v>
      </c>
      <c r="F9" s="1143">
        <v>71.518839223028323</v>
      </c>
      <c r="G9" s="1143">
        <v>4.7618904274533405</v>
      </c>
      <c r="P9" s="1133"/>
    </row>
    <row r="10" spans="1:24" ht="20.100000000000001" customHeight="1">
      <c r="A10" s="1140">
        <v>41521</v>
      </c>
      <c r="B10" s="1141">
        <v>570</v>
      </c>
      <c r="C10" s="1142">
        <v>354</v>
      </c>
      <c r="D10" s="1142">
        <v>176.00000000000003</v>
      </c>
      <c r="E10" s="1142">
        <v>529.99999999999989</v>
      </c>
      <c r="F10" s="1143">
        <v>68.710507839925128</v>
      </c>
      <c r="G10" s="1143">
        <v>4.8070439494280555</v>
      </c>
      <c r="P10" s="1133"/>
    </row>
    <row r="11" spans="1:24" ht="20.100000000000001" customHeight="1">
      <c r="A11" s="1140">
        <v>41522</v>
      </c>
      <c r="B11" s="1141">
        <v>375</v>
      </c>
      <c r="C11" s="1142">
        <v>306</v>
      </c>
      <c r="D11" s="1142">
        <v>188</v>
      </c>
      <c r="E11" s="1142">
        <v>630</v>
      </c>
      <c r="F11" s="1143">
        <v>67.961619471097606</v>
      </c>
      <c r="G11" s="1143">
        <v>4.626429861529199</v>
      </c>
      <c r="P11" s="1133"/>
    </row>
    <row r="12" spans="1:24" ht="20.100000000000001" customHeight="1">
      <c r="A12" s="1140">
        <v>41523</v>
      </c>
      <c r="B12" s="1141">
        <v>263</v>
      </c>
      <c r="C12" s="1142">
        <v>341.99999999999994</v>
      </c>
      <c r="D12" s="1142">
        <v>196</v>
      </c>
      <c r="E12" s="1142">
        <v>693.33333333333337</v>
      </c>
      <c r="F12" s="1143">
        <v>68.398471019580313</v>
      </c>
      <c r="G12" s="1143">
        <v>4.4593618302227567</v>
      </c>
      <c r="P12" s="1133"/>
    </row>
    <row r="13" spans="1:24" ht="20.100000000000001" customHeight="1">
      <c r="A13" s="1140">
        <v>41524</v>
      </c>
      <c r="B13" s="1141">
        <v>0</v>
      </c>
      <c r="C13" s="1142">
        <v>353.99999999999994</v>
      </c>
      <c r="D13" s="1142">
        <v>180</v>
      </c>
      <c r="E13" s="1142">
        <v>603.33333333333348</v>
      </c>
      <c r="F13" s="1143">
        <v>65.652547000546065</v>
      </c>
      <c r="G13" s="1143">
        <v>4.4367850692354009</v>
      </c>
      <c r="P13" s="1133"/>
    </row>
    <row r="14" spans="1:24" ht="20.100000000000001" customHeight="1">
      <c r="A14" s="1140">
        <v>41525</v>
      </c>
      <c r="B14" s="1141">
        <v>297</v>
      </c>
      <c r="C14" s="1142">
        <v>378.00000000000006</v>
      </c>
      <c r="D14" s="1142">
        <v>184.00000000000003</v>
      </c>
      <c r="E14" s="1142">
        <v>483.33333333333331</v>
      </c>
      <c r="F14" s="1143">
        <v>64.966065995787517</v>
      </c>
      <c r="G14" s="1143">
        <v>4.3509933774834435</v>
      </c>
      <c r="P14" s="1133"/>
    </row>
    <row r="15" spans="1:24" ht="20.100000000000001" customHeight="1">
      <c r="A15" s="1140">
        <v>41526</v>
      </c>
      <c r="B15" s="1141">
        <v>402</v>
      </c>
      <c r="C15" s="1142">
        <v>366</v>
      </c>
      <c r="D15" s="1142">
        <v>204.00000000000003</v>
      </c>
      <c r="E15" s="1142">
        <v>733.33333333333303</v>
      </c>
      <c r="F15" s="1143">
        <v>64.435603401201362</v>
      </c>
      <c r="G15" s="1143">
        <v>4.2922937989163152</v>
      </c>
      <c r="P15" s="1133"/>
    </row>
    <row r="16" spans="1:24" ht="20.100000000000001" customHeight="1">
      <c r="A16" s="1140">
        <v>41527</v>
      </c>
      <c r="B16" s="1141">
        <v>395</v>
      </c>
      <c r="C16" s="1142">
        <v>348.00000000000006</v>
      </c>
      <c r="D16" s="1142">
        <v>224</v>
      </c>
      <c r="E16" s="1142">
        <v>663.33333333333348</v>
      </c>
      <c r="F16" s="1143">
        <v>67.33754583040799</v>
      </c>
      <c r="G16" s="1143">
        <v>4.1884406983744729</v>
      </c>
      <c r="P16" s="1133"/>
    </row>
    <row r="17" spans="1:16" ht="20.100000000000001" customHeight="1">
      <c r="A17" s="1140">
        <v>41528</v>
      </c>
      <c r="B17" s="1141">
        <v>402</v>
      </c>
      <c r="C17" s="1142">
        <v>360</v>
      </c>
      <c r="D17" s="1142">
        <v>184.00000000000003</v>
      </c>
      <c r="E17" s="1142">
        <v>396.66666666666652</v>
      </c>
      <c r="F17" s="1143">
        <v>66.807083235821821</v>
      </c>
      <c r="G17" s="1143">
        <v>4.2381095725466587</v>
      </c>
      <c r="P17" s="1133"/>
    </row>
    <row r="18" spans="1:16" ht="20.100000000000001" customHeight="1">
      <c r="A18" s="1140">
        <v>41529</v>
      </c>
      <c r="B18" s="1141">
        <v>216</v>
      </c>
      <c r="C18" s="1142">
        <v>342.00000000000006</v>
      </c>
      <c r="D18" s="1142">
        <v>184.00000000000003</v>
      </c>
      <c r="E18" s="1142">
        <v>199.99999999999974</v>
      </c>
      <c r="F18" s="1143">
        <v>68.273656291442393</v>
      </c>
      <c r="G18" s="1143">
        <v>4.1116797110174597</v>
      </c>
      <c r="P18" s="1133"/>
    </row>
    <row r="19" spans="1:16" ht="20.100000000000001" customHeight="1">
      <c r="A19" s="1140">
        <v>41530</v>
      </c>
      <c r="B19" s="1141">
        <v>0</v>
      </c>
      <c r="C19" s="1142">
        <v>311.99999999999994</v>
      </c>
      <c r="D19" s="1142">
        <v>160</v>
      </c>
      <c r="E19" s="1142">
        <v>349.99999999999989</v>
      </c>
      <c r="F19" s="1143">
        <v>69.865044075200885</v>
      </c>
      <c r="G19" s="1143">
        <v>4.4458157736303425</v>
      </c>
      <c r="P19" s="1133"/>
    </row>
    <row r="20" spans="1:16" ht="20.100000000000001" customHeight="1">
      <c r="A20" s="1140">
        <v>41531</v>
      </c>
      <c r="B20" s="1141">
        <v>388</v>
      </c>
      <c r="C20" s="1142">
        <v>276</v>
      </c>
      <c r="D20" s="1142">
        <v>188</v>
      </c>
      <c r="E20" s="1142">
        <v>513.33333333333326</v>
      </c>
      <c r="F20" s="1143">
        <v>65.590139636477105</v>
      </c>
      <c r="G20" s="1143">
        <v>4.3013245033112577</v>
      </c>
      <c r="P20" s="1133"/>
    </row>
    <row r="21" spans="1:16" ht="20.100000000000001" customHeight="1">
      <c r="A21" s="1140">
        <v>41532</v>
      </c>
      <c r="B21" s="1141">
        <v>381</v>
      </c>
      <c r="C21" s="1142">
        <v>318.00000000000006</v>
      </c>
      <c r="D21" s="1142">
        <v>192</v>
      </c>
      <c r="E21" s="1142">
        <v>366.66666666666703</v>
      </c>
      <c r="F21" s="1143">
        <v>65.746158046649512</v>
      </c>
      <c r="G21" s="1143">
        <v>4.1748946417820587</v>
      </c>
      <c r="P21" s="1133"/>
    </row>
    <row r="22" spans="1:16" ht="20.100000000000001" customHeight="1">
      <c r="A22" s="1140">
        <v>41533</v>
      </c>
      <c r="B22" s="1141">
        <v>370</v>
      </c>
      <c r="C22" s="1142">
        <v>348</v>
      </c>
      <c r="D22" s="1142">
        <v>196</v>
      </c>
      <c r="E22" s="1142">
        <v>519.99999999999966</v>
      </c>
      <c r="F22" s="1143">
        <v>66.807083235821821</v>
      </c>
      <c r="G22" s="1143">
        <v>4.2335942203491879</v>
      </c>
      <c r="P22" s="1133"/>
    </row>
    <row r="23" spans="1:16" ht="20.100000000000001" customHeight="1">
      <c r="A23" s="1140">
        <v>41534</v>
      </c>
      <c r="B23" s="1141">
        <v>413</v>
      </c>
      <c r="C23" s="1142">
        <v>371.99999999999994</v>
      </c>
      <c r="D23" s="1142">
        <v>180</v>
      </c>
      <c r="E23" s="1142">
        <v>653.33333333333314</v>
      </c>
      <c r="F23" s="1143">
        <v>65.153288087994383</v>
      </c>
      <c r="G23" s="1143">
        <v>4.1839253461770021</v>
      </c>
      <c r="P23" s="1133"/>
    </row>
    <row r="24" spans="1:16" ht="20.100000000000001" customHeight="1">
      <c r="A24" s="1140">
        <v>41535</v>
      </c>
      <c r="B24" s="1141">
        <v>395</v>
      </c>
      <c r="C24" s="1142">
        <v>300</v>
      </c>
      <c r="D24" s="1142">
        <v>176</v>
      </c>
      <c r="E24" s="1142">
        <v>410.00000000000017</v>
      </c>
      <c r="F24" s="1143">
        <v>66.963101645994229</v>
      </c>
      <c r="G24" s="1143">
        <v>4.4458157736303425</v>
      </c>
      <c r="P24" s="1133"/>
    </row>
    <row r="25" spans="1:16" ht="20.100000000000001" customHeight="1">
      <c r="A25" s="1140">
        <v>41536</v>
      </c>
      <c r="B25" s="1141">
        <v>409</v>
      </c>
      <c r="C25" s="1142">
        <v>324</v>
      </c>
      <c r="D25" s="1142">
        <v>196.00000000000003</v>
      </c>
      <c r="E25" s="1142">
        <v>286.66666666666657</v>
      </c>
      <c r="F25" s="1143">
        <v>67.649582650752791</v>
      </c>
      <c r="G25" s="1143">
        <v>4.2968091511137869</v>
      </c>
      <c r="P25" s="1133"/>
    </row>
    <row r="26" spans="1:16" ht="20.100000000000001" customHeight="1">
      <c r="A26" s="1140">
        <v>41537</v>
      </c>
      <c r="B26" s="1141">
        <v>383</v>
      </c>
      <c r="C26" s="1142">
        <v>353.99999999999994</v>
      </c>
      <c r="D26" s="1142">
        <v>188</v>
      </c>
      <c r="E26" s="1142">
        <v>486.66666666666629</v>
      </c>
      <c r="F26" s="1143">
        <v>67.33754583040799</v>
      </c>
      <c r="G26" s="1143">
        <v>4.1387718242022888</v>
      </c>
      <c r="P26" s="1133"/>
    </row>
    <row r="27" spans="1:16" ht="20.100000000000001" customHeight="1">
      <c r="A27" s="1140">
        <v>41538</v>
      </c>
      <c r="B27" s="1141">
        <v>406</v>
      </c>
      <c r="C27" s="1142">
        <v>324</v>
      </c>
      <c r="D27" s="1142">
        <v>188</v>
      </c>
      <c r="E27" s="1142">
        <v>583.33333333333292</v>
      </c>
      <c r="F27" s="1143">
        <v>67.150323738201109</v>
      </c>
      <c r="G27" s="1143">
        <v>4.3509933774834435</v>
      </c>
      <c r="P27" s="1133"/>
    </row>
    <row r="28" spans="1:16" ht="20.100000000000001" customHeight="1">
      <c r="A28" s="1140">
        <v>41539</v>
      </c>
      <c r="B28" s="1141">
        <v>418</v>
      </c>
      <c r="C28" s="1142">
        <v>281.99999999999994</v>
      </c>
      <c r="D28" s="1142">
        <v>200</v>
      </c>
      <c r="E28" s="1142">
        <v>699.99999999999977</v>
      </c>
      <c r="F28" s="1143">
        <v>67.368749512442477</v>
      </c>
      <c r="G28" s="1143">
        <v>4.1387718242022888</v>
      </c>
      <c r="P28" s="1133"/>
    </row>
    <row r="29" spans="1:16" ht="20.100000000000001" customHeight="1">
      <c r="A29" s="1140">
        <v>41540</v>
      </c>
      <c r="B29" s="1141">
        <v>420</v>
      </c>
      <c r="C29" s="1142">
        <v>353.99999999999994</v>
      </c>
      <c r="D29" s="1142">
        <v>172</v>
      </c>
      <c r="E29" s="1142">
        <v>513.33333333333326</v>
      </c>
      <c r="F29" s="1143">
        <v>66.401435369373587</v>
      </c>
      <c r="G29" s="1143">
        <v>4.8070439494280555</v>
      </c>
      <c r="P29" s="1133"/>
    </row>
    <row r="30" spans="1:16" ht="20.100000000000001" customHeight="1">
      <c r="A30" s="1140">
        <v>41541</v>
      </c>
      <c r="B30" s="1141">
        <v>409</v>
      </c>
      <c r="C30" s="1142">
        <v>330</v>
      </c>
      <c r="D30" s="1142">
        <v>176.00000000000003</v>
      </c>
      <c r="E30" s="1142">
        <v>690</v>
      </c>
      <c r="F30" s="1143">
        <v>65.371713862235751</v>
      </c>
      <c r="G30" s="1143">
        <v>4.612883804936784</v>
      </c>
      <c r="P30" s="1133"/>
    </row>
    <row r="31" spans="1:16" ht="20.100000000000001" customHeight="1">
      <c r="A31" s="1140">
        <v>41542</v>
      </c>
      <c r="B31" s="1141">
        <v>408</v>
      </c>
      <c r="C31" s="1142">
        <v>336</v>
      </c>
      <c r="D31" s="1142">
        <v>184</v>
      </c>
      <c r="E31" s="1142">
        <v>486.66666666666674</v>
      </c>
      <c r="F31" s="1143">
        <v>68.398471019580313</v>
      </c>
      <c r="G31" s="1143">
        <v>4.4458157736303425</v>
      </c>
      <c r="P31" s="1133"/>
    </row>
    <row r="32" spans="1:16" ht="20.100000000000001" customHeight="1">
      <c r="A32" s="1140">
        <v>41543</v>
      </c>
      <c r="B32" s="1141">
        <v>408</v>
      </c>
      <c r="C32" s="1142">
        <v>312</v>
      </c>
      <c r="D32" s="1142">
        <v>184.00000000000003</v>
      </c>
      <c r="E32" s="1142">
        <v>433.33333333333331</v>
      </c>
      <c r="F32" s="1143">
        <v>68.772915203994074</v>
      </c>
      <c r="G32" s="1143">
        <v>4.2335942203491879</v>
      </c>
      <c r="P32" s="1133"/>
    </row>
    <row r="33" spans="1:16" ht="20.100000000000001" customHeight="1">
      <c r="A33" s="1140">
        <v>41544</v>
      </c>
      <c r="B33" s="1141">
        <v>390</v>
      </c>
      <c r="C33" s="1142">
        <v>317.99999999999994</v>
      </c>
      <c r="D33" s="1142">
        <v>188</v>
      </c>
      <c r="E33" s="1142">
        <v>540.00000000000023</v>
      </c>
      <c r="F33" s="1143">
        <v>68.086434199235526</v>
      </c>
      <c r="G33" s="1143">
        <v>4.4322697170379293</v>
      </c>
      <c r="P33" s="1133"/>
    </row>
    <row r="34" spans="1:16" ht="20.100000000000001" customHeight="1">
      <c r="A34" s="1140">
        <v>41545</v>
      </c>
      <c r="B34" s="1141">
        <v>405</v>
      </c>
      <c r="C34" s="1142">
        <v>348</v>
      </c>
      <c r="D34" s="1142">
        <v>168</v>
      </c>
      <c r="E34" s="1142">
        <v>610</v>
      </c>
      <c r="F34" s="1143">
        <v>65.590139636477105</v>
      </c>
      <c r="G34" s="1143">
        <v>4.3509933774834435</v>
      </c>
      <c r="P34" s="1133"/>
    </row>
    <row r="35" spans="1:16" ht="20.100000000000001" customHeight="1">
      <c r="A35" s="1140">
        <v>41546</v>
      </c>
      <c r="B35" s="1141">
        <v>409</v>
      </c>
      <c r="C35" s="1142">
        <v>330</v>
      </c>
      <c r="D35" s="1142">
        <v>184</v>
      </c>
      <c r="E35" s="1142">
        <v>566.66666666666629</v>
      </c>
      <c r="F35" s="1143">
        <v>66.588657461580482</v>
      </c>
      <c r="G35" s="1143">
        <v>4.9425045153521978</v>
      </c>
      <c r="P35" s="1133"/>
    </row>
    <row r="36" spans="1:16" ht="20.100000000000001" customHeight="1">
      <c r="A36" s="1140">
        <v>41547</v>
      </c>
      <c r="B36" s="1141">
        <v>408</v>
      </c>
      <c r="C36" s="1142">
        <v>348.00000000000006</v>
      </c>
      <c r="D36" s="1142">
        <v>180</v>
      </c>
      <c r="E36" s="1142">
        <v>610</v>
      </c>
      <c r="F36" s="1143">
        <v>67.462360558545925</v>
      </c>
      <c r="G36" s="1143">
        <v>4.4548464780252859</v>
      </c>
      <c r="P36" s="1133"/>
    </row>
    <row r="37" spans="1:16" ht="20.100000000000001" customHeight="1">
      <c r="A37" s="1144">
        <v>41548</v>
      </c>
      <c r="B37" s="1141">
        <v>396</v>
      </c>
      <c r="C37" s="1142">
        <v>378.00000000000006</v>
      </c>
      <c r="D37" s="1142">
        <v>207.99999999999997</v>
      </c>
      <c r="E37" s="1142">
        <v>610</v>
      </c>
      <c r="F37" s="1143">
        <v>69.053748342304402</v>
      </c>
      <c r="G37" s="1143">
        <v>4.9876580373269119</v>
      </c>
      <c r="P37" s="1133"/>
    </row>
    <row r="38" spans="1:16" ht="20.100000000000001" customHeight="1">
      <c r="A38" s="1144">
        <v>41549</v>
      </c>
      <c r="B38" s="1141">
        <v>400</v>
      </c>
      <c r="C38" s="1142">
        <v>164</v>
      </c>
      <c r="D38" s="1142">
        <v>164</v>
      </c>
      <c r="E38" s="1142">
        <v>403.33333333333337</v>
      </c>
      <c r="F38" s="1143">
        <v>63.686715032373833</v>
      </c>
      <c r="G38" s="1143">
        <v>4.8070439494280555</v>
      </c>
      <c r="P38" s="1133"/>
    </row>
    <row r="39" spans="1:16" ht="20.100000000000001" customHeight="1">
      <c r="A39" s="1144">
        <v>41550</v>
      </c>
      <c r="B39" s="1141">
        <v>393</v>
      </c>
      <c r="C39" s="1142">
        <v>172</v>
      </c>
      <c r="D39" s="1142">
        <v>172</v>
      </c>
      <c r="E39" s="1142">
        <v>446.66666666666657</v>
      </c>
      <c r="F39" s="1143">
        <v>72.98541227864888</v>
      </c>
      <c r="G39" s="1143">
        <v>4.9425045153521978</v>
      </c>
      <c r="P39" s="1133"/>
    </row>
    <row r="40" spans="1:16" ht="20.100000000000001" customHeight="1">
      <c r="A40" s="1144">
        <v>41551</v>
      </c>
      <c r="B40" s="1141">
        <v>404</v>
      </c>
      <c r="C40" s="1142">
        <v>172</v>
      </c>
      <c r="D40" s="1142">
        <v>172</v>
      </c>
      <c r="E40" s="1142">
        <v>483.33333333333331</v>
      </c>
      <c r="F40" s="1143">
        <v>65.465324908339198</v>
      </c>
      <c r="G40" s="1143">
        <v>5.132149307645995</v>
      </c>
      <c r="P40" s="1133"/>
    </row>
    <row r="41" spans="1:16" ht="20.100000000000001" customHeight="1">
      <c r="A41" s="1144">
        <v>41552</v>
      </c>
      <c r="B41" s="1141">
        <v>428</v>
      </c>
      <c r="C41" s="1142">
        <v>184</v>
      </c>
      <c r="D41" s="1142">
        <v>184</v>
      </c>
      <c r="E41" s="1142">
        <v>476.66666666666646</v>
      </c>
      <c r="F41" s="1143">
        <v>67.33754583040799</v>
      </c>
      <c r="G41" s="1143">
        <v>5.2360024081878382</v>
      </c>
      <c r="P41" s="1133"/>
    </row>
    <row r="42" spans="1:16" ht="20.100000000000001" customHeight="1">
      <c r="A42" s="1144">
        <v>41553</v>
      </c>
      <c r="B42" s="1141">
        <v>410</v>
      </c>
      <c r="C42" s="1142">
        <v>164</v>
      </c>
      <c r="D42" s="1142">
        <v>164</v>
      </c>
      <c r="E42" s="1142">
        <v>360.00000000000017</v>
      </c>
      <c r="F42" s="1143">
        <v>68.398471019580313</v>
      </c>
      <c r="G42" s="1143">
        <v>4.7618904274533405</v>
      </c>
      <c r="P42" s="1133"/>
    </row>
    <row r="43" spans="1:16" ht="20.100000000000001" customHeight="1">
      <c r="A43" s="1144">
        <v>41554</v>
      </c>
      <c r="B43" s="1141">
        <v>352</v>
      </c>
      <c r="C43" s="1142">
        <v>164</v>
      </c>
      <c r="D43" s="1142">
        <v>164</v>
      </c>
      <c r="E43" s="1142">
        <v>466.66666666666669</v>
      </c>
      <c r="F43" s="1143">
        <v>70.177080895545672</v>
      </c>
      <c r="G43" s="1143">
        <v>4.8070439494280555</v>
      </c>
      <c r="P43" s="1133"/>
    </row>
    <row r="44" spans="1:16" ht="20.100000000000001" customHeight="1">
      <c r="A44" s="1144">
        <v>41555</v>
      </c>
      <c r="B44" s="1141">
        <v>464</v>
      </c>
      <c r="C44" s="1142">
        <v>188</v>
      </c>
      <c r="D44" s="1142">
        <v>188</v>
      </c>
      <c r="E44" s="1142">
        <v>556.6666666666664</v>
      </c>
      <c r="F44" s="1143">
        <v>62.84421561744287</v>
      </c>
      <c r="G44" s="1143">
        <v>4.9425045153521978</v>
      </c>
      <c r="P44" s="1133"/>
    </row>
    <row r="45" spans="1:16" ht="20.100000000000001" customHeight="1">
      <c r="A45" s="1144">
        <v>41556</v>
      </c>
      <c r="B45" s="1141">
        <v>411</v>
      </c>
      <c r="C45" s="1142">
        <v>196</v>
      </c>
      <c r="D45" s="1142">
        <v>196</v>
      </c>
      <c r="E45" s="1142">
        <v>636.66666666666652</v>
      </c>
      <c r="F45" s="1143">
        <v>64.341992355097915</v>
      </c>
      <c r="G45" s="1143">
        <v>5.1818181818181817</v>
      </c>
      <c r="P45" s="1133"/>
    </row>
    <row r="46" spans="1:16" ht="20.100000000000001" customHeight="1">
      <c r="A46" s="1144">
        <v>41557</v>
      </c>
      <c r="B46" s="1141">
        <v>634</v>
      </c>
      <c r="C46" s="1142">
        <v>224</v>
      </c>
      <c r="D46" s="1142">
        <v>224</v>
      </c>
      <c r="E46" s="1142">
        <v>559.99999999999989</v>
      </c>
      <c r="F46" s="1143">
        <v>67.27513846633903</v>
      </c>
      <c r="G46" s="1143">
        <v>4.8296207104154121</v>
      </c>
      <c r="P46" s="1133"/>
    </row>
    <row r="47" spans="1:16" ht="20.100000000000001" customHeight="1">
      <c r="A47" s="1144">
        <v>41558</v>
      </c>
      <c r="B47" s="1141">
        <v>217</v>
      </c>
      <c r="C47" s="1142">
        <v>192</v>
      </c>
      <c r="D47" s="1142">
        <v>192</v>
      </c>
      <c r="E47" s="1142">
        <v>536.66666666666686</v>
      </c>
      <c r="F47" s="1143">
        <v>67.743193696856238</v>
      </c>
      <c r="G47" s="1143">
        <v>4.8973509933774837</v>
      </c>
      <c r="P47" s="1133"/>
    </row>
    <row r="48" spans="1:16" ht="20.100000000000001" customHeight="1">
      <c r="A48" s="1144">
        <v>41559</v>
      </c>
      <c r="B48" s="1141">
        <v>358</v>
      </c>
      <c r="C48" s="1142">
        <v>188</v>
      </c>
      <c r="D48" s="1142">
        <v>188</v>
      </c>
      <c r="E48" s="1142">
        <v>533.33333333333348</v>
      </c>
      <c r="F48" s="1143">
        <v>68.679304157890627</v>
      </c>
      <c r="G48" s="1143">
        <v>5.0960264900662233</v>
      </c>
      <c r="P48" s="1133"/>
    </row>
    <row r="49" spans="1:16" ht="20.100000000000001" customHeight="1">
      <c r="A49" s="1144">
        <v>41560</v>
      </c>
      <c r="B49" s="1141">
        <v>402</v>
      </c>
      <c r="C49" s="1142">
        <v>176</v>
      </c>
      <c r="D49" s="1142">
        <v>176</v>
      </c>
      <c r="E49" s="1142">
        <v>596.66666666666663</v>
      </c>
      <c r="F49" s="1143">
        <v>65.590139636477105</v>
      </c>
      <c r="G49" s="1143">
        <v>5.1050571944611667</v>
      </c>
      <c r="P49" s="1133"/>
    </row>
    <row r="50" spans="1:16" ht="20.100000000000001" customHeight="1">
      <c r="A50" s="1144">
        <v>41561</v>
      </c>
      <c r="B50" s="1141">
        <v>414</v>
      </c>
      <c r="C50" s="1142">
        <v>196</v>
      </c>
      <c r="D50" s="1142">
        <v>196</v>
      </c>
      <c r="E50" s="1142">
        <v>510.00000000000034</v>
      </c>
      <c r="F50" s="1143">
        <v>69.521803572821597</v>
      </c>
      <c r="G50" s="1143">
        <v>4.721252257676098</v>
      </c>
      <c r="P50" s="1133"/>
    </row>
    <row r="51" spans="1:16" ht="20.100000000000001" customHeight="1">
      <c r="A51" s="1144">
        <v>41562</v>
      </c>
      <c r="B51" s="1141">
        <v>426</v>
      </c>
      <c r="C51" s="1142">
        <v>216</v>
      </c>
      <c r="D51" s="1142">
        <v>216</v>
      </c>
      <c r="E51" s="1142">
        <v>529.99999999999989</v>
      </c>
      <c r="F51" s="1143">
        <v>63.780326078477266</v>
      </c>
      <c r="G51" s="1143">
        <v>4.6354605659241415</v>
      </c>
      <c r="P51" s="1133"/>
    </row>
    <row r="52" spans="1:16" ht="20.100000000000001" customHeight="1">
      <c r="A52" s="1144">
        <v>41563</v>
      </c>
      <c r="B52" s="1141">
        <v>409</v>
      </c>
      <c r="C52" s="1142">
        <v>180</v>
      </c>
      <c r="D52" s="1142">
        <v>180</v>
      </c>
      <c r="E52" s="1142">
        <v>409.99999999999977</v>
      </c>
      <c r="F52" s="1143">
        <v>68.086434199235526</v>
      </c>
      <c r="G52" s="1143">
        <v>4.910897049969897</v>
      </c>
      <c r="P52" s="1133"/>
    </row>
    <row r="53" spans="1:16" ht="20.100000000000001" customHeight="1">
      <c r="A53" s="1144">
        <v>41564</v>
      </c>
      <c r="B53" s="1141">
        <v>420</v>
      </c>
      <c r="C53" s="1142">
        <v>204</v>
      </c>
      <c r="D53" s="1142">
        <v>204</v>
      </c>
      <c r="E53" s="1142">
        <v>496.66666666666657</v>
      </c>
      <c r="F53" s="1143">
        <v>65.028473359856463</v>
      </c>
      <c r="G53" s="1143">
        <v>5.1050571944611667</v>
      </c>
      <c r="P53" s="1133"/>
    </row>
    <row r="54" spans="1:16" ht="20.100000000000001" customHeight="1">
      <c r="A54" s="1144">
        <v>41565</v>
      </c>
      <c r="B54" s="1141">
        <v>407</v>
      </c>
      <c r="C54" s="1142">
        <v>196.00000000000003</v>
      </c>
      <c r="D54" s="1142">
        <v>196.00000000000003</v>
      </c>
      <c r="E54" s="1142">
        <v>553.33333333333303</v>
      </c>
      <c r="F54" s="1143">
        <v>63.780326078477266</v>
      </c>
      <c r="G54" s="1143">
        <v>4.6354605659241415</v>
      </c>
      <c r="P54" s="1133"/>
    </row>
    <row r="55" spans="1:16" ht="20.100000000000001" customHeight="1">
      <c r="A55" s="1144">
        <v>41566</v>
      </c>
      <c r="B55" s="1141">
        <v>399</v>
      </c>
      <c r="C55" s="1142">
        <v>208</v>
      </c>
      <c r="D55" s="1142">
        <v>208</v>
      </c>
      <c r="E55" s="1142">
        <v>623.3333333333336</v>
      </c>
      <c r="F55" s="1143">
        <v>65.278102816132304</v>
      </c>
      <c r="G55" s="1143">
        <v>4.7438290186634555</v>
      </c>
      <c r="P55" s="1133"/>
    </row>
    <row r="56" spans="1:16" ht="20.100000000000001" customHeight="1">
      <c r="A56" s="1144">
        <v>41567</v>
      </c>
      <c r="B56" s="1141">
        <v>386</v>
      </c>
      <c r="C56" s="1142">
        <v>228</v>
      </c>
      <c r="D56" s="1142">
        <v>228</v>
      </c>
      <c r="E56" s="1142">
        <v>506.6666666666668</v>
      </c>
      <c r="F56" s="1143">
        <v>68.148841563304472</v>
      </c>
      <c r="G56" s="1143">
        <v>4.8070439494280555</v>
      </c>
      <c r="P56" s="1133"/>
    </row>
    <row r="57" spans="1:16" ht="20.100000000000001" customHeight="1">
      <c r="A57" s="1144">
        <v>41568</v>
      </c>
      <c r="B57" s="1141">
        <v>411</v>
      </c>
      <c r="C57" s="1142">
        <v>227.99999999999997</v>
      </c>
      <c r="D57" s="1142">
        <v>227.99999999999997</v>
      </c>
      <c r="E57" s="1142">
        <v>566.66666666666629</v>
      </c>
      <c r="F57" s="1143">
        <v>67.868008424994159</v>
      </c>
      <c r="G57" s="1143">
        <v>4.6399759181216131</v>
      </c>
      <c r="P57" s="1133"/>
    </row>
    <row r="58" spans="1:16" ht="20.100000000000001" customHeight="1">
      <c r="A58" s="1144">
        <v>41569</v>
      </c>
      <c r="B58" s="1141">
        <v>411</v>
      </c>
      <c r="C58" s="1142">
        <v>220</v>
      </c>
      <c r="D58" s="1142">
        <v>220</v>
      </c>
      <c r="E58" s="1142">
        <v>513.33333333333326</v>
      </c>
      <c r="F58" s="1143">
        <v>63.468289258132458</v>
      </c>
      <c r="G58" s="1143">
        <v>5.0960264900662233</v>
      </c>
      <c r="P58" s="1133"/>
    </row>
    <row r="59" spans="1:16" ht="20.100000000000001" customHeight="1">
      <c r="A59" s="1144">
        <v>41570</v>
      </c>
      <c r="B59" s="1141">
        <v>405</v>
      </c>
      <c r="C59" s="1142">
        <v>192</v>
      </c>
      <c r="D59" s="1142">
        <v>192</v>
      </c>
      <c r="E59" s="1142">
        <v>563.33333333333337</v>
      </c>
      <c r="F59" s="1143">
        <v>63.780326078477266</v>
      </c>
      <c r="G59" s="1143">
        <v>4.9831426851294403</v>
      </c>
      <c r="P59" s="1133"/>
    </row>
    <row r="60" spans="1:16" ht="20.100000000000001" customHeight="1">
      <c r="A60" s="1144">
        <v>41571</v>
      </c>
      <c r="B60" s="1141">
        <v>330</v>
      </c>
      <c r="C60" s="1142">
        <v>200</v>
      </c>
      <c r="D60" s="1142">
        <v>200</v>
      </c>
      <c r="E60" s="1142">
        <v>513.33333333333326</v>
      </c>
      <c r="F60" s="1143">
        <v>65.153288087994383</v>
      </c>
      <c r="G60" s="1143">
        <v>5.0599036724864535</v>
      </c>
      <c r="P60" s="1133"/>
    </row>
    <row r="61" spans="1:16" ht="20.100000000000001" customHeight="1">
      <c r="A61" s="1144">
        <v>41572</v>
      </c>
      <c r="B61" s="1141">
        <v>397</v>
      </c>
      <c r="C61" s="1142">
        <v>180</v>
      </c>
      <c r="D61" s="1142">
        <v>180</v>
      </c>
      <c r="E61" s="1142">
        <v>566.66666666666674</v>
      </c>
      <c r="F61" s="1143">
        <v>67.555971604649343</v>
      </c>
      <c r="G61" s="1143">
        <v>4.9560505719446111</v>
      </c>
      <c r="P61" s="1133"/>
    </row>
    <row r="62" spans="1:16" ht="20.100000000000001" customHeight="1">
      <c r="A62" s="1144">
        <v>41573</v>
      </c>
      <c r="B62" s="1141">
        <v>401</v>
      </c>
      <c r="C62" s="1142">
        <v>188</v>
      </c>
      <c r="D62" s="1142">
        <v>188</v>
      </c>
      <c r="E62" s="1142">
        <v>476.66666666666697</v>
      </c>
      <c r="F62" s="1143">
        <v>70.021062485373292</v>
      </c>
      <c r="G62" s="1143">
        <v>4.9000602046959658</v>
      </c>
      <c r="P62" s="1133"/>
    </row>
    <row r="63" spans="1:16" ht="20.100000000000001" customHeight="1">
      <c r="A63" s="1144">
        <v>41574</v>
      </c>
      <c r="B63" s="1141">
        <v>396</v>
      </c>
      <c r="C63" s="1142">
        <v>180</v>
      </c>
      <c r="D63" s="1142">
        <v>180</v>
      </c>
      <c r="E63" s="1142">
        <v>550</v>
      </c>
      <c r="F63" s="1143">
        <v>66.401435369373587</v>
      </c>
      <c r="G63" s="1143">
        <v>4.6851294400963264</v>
      </c>
      <c r="P63" s="1133"/>
    </row>
    <row r="64" spans="1:16" ht="20.100000000000001" customHeight="1">
      <c r="A64" s="1144">
        <v>41575</v>
      </c>
      <c r="B64" s="1141">
        <v>402</v>
      </c>
      <c r="C64" s="1142">
        <v>176</v>
      </c>
      <c r="D64" s="1142">
        <v>176</v>
      </c>
      <c r="E64" s="1142">
        <v>623.33333333333314</v>
      </c>
      <c r="F64" s="1143">
        <v>75.232077385131447</v>
      </c>
      <c r="G64" s="1143">
        <v>4.4593618302227567</v>
      </c>
      <c r="P64" s="1133"/>
    </row>
    <row r="65" spans="1:16" ht="20.100000000000001" customHeight="1">
      <c r="A65" s="1144">
        <v>41576</v>
      </c>
      <c r="B65" s="1141">
        <v>392</v>
      </c>
      <c r="C65" s="1142">
        <v>184</v>
      </c>
      <c r="D65" s="1142">
        <v>184</v>
      </c>
      <c r="E65" s="1142">
        <v>446.66666666666657</v>
      </c>
      <c r="F65" s="1143">
        <v>71.893283407442084</v>
      </c>
      <c r="G65" s="1143">
        <v>4.3509933774834435</v>
      </c>
      <c r="P65" s="1133"/>
    </row>
    <row r="66" spans="1:16" ht="20.100000000000001" customHeight="1">
      <c r="A66" s="1144">
        <v>41577</v>
      </c>
      <c r="B66" s="1141">
        <v>415</v>
      </c>
      <c r="C66" s="1142">
        <v>192</v>
      </c>
      <c r="D66" s="1142">
        <v>192</v>
      </c>
      <c r="E66" s="1142">
        <v>546.66666666666663</v>
      </c>
      <c r="F66" s="1143">
        <v>62.84421561744287</v>
      </c>
      <c r="G66" s="1143">
        <v>4.6399759181216131</v>
      </c>
      <c r="P66" s="1133"/>
    </row>
    <row r="67" spans="1:16" ht="20.100000000000001" customHeight="1">
      <c r="A67" s="1144">
        <v>41578</v>
      </c>
      <c r="B67" s="1141">
        <v>396</v>
      </c>
      <c r="C67" s="1142">
        <v>196</v>
      </c>
      <c r="D67" s="1142">
        <v>196</v>
      </c>
      <c r="E67" s="1142">
        <v>429.99999999999989</v>
      </c>
      <c r="F67" s="1143">
        <v>64.966065995787517</v>
      </c>
      <c r="G67" s="1143">
        <v>4.5541842263696566</v>
      </c>
      <c r="P67" s="1133"/>
    </row>
    <row r="68" spans="1:16" ht="20.100000000000001" customHeight="1">
      <c r="A68" s="1140">
        <v>41275</v>
      </c>
      <c r="B68" s="1141">
        <v>394</v>
      </c>
      <c r="C68" s="1142">
        <v>384</v>
      </c>
      <c r="D68" s="1142">
        <v>196</v>
      </c>
      <c r="E68" s="1142">
        <v>723.33333333333326</v>
      </c>
      <c r="F68" s="1143">
        <v>66.713472189718402</v>
      </c>
      <c r="G68" s="1143">
        <v>5.0599036724864535</v>
      </c>
      <c r="P68" s="1133"/>
    </row>
    <row r="69" spans="1:16" ht="20.100000000000001" customHeight="1">
      <c r="A69" s="1140">
        <v>41276</v>
      </c>
      <c r="B69" s="1141">
        <v>392</v>
      </c>
      <c r="C69" s="1142">
        <v>341.99999999999994</v>
      </c>
      <c r="D69" s="1142">
        <v>207.99999999999997</v>
      </c>
      <c r="E69" s="1142">
        <v>649.99999999999966</v>
      </c>
      <c r="F69" s="1143">
        <v>67.33754583040799</v>
      </c>
      <c r="G69" s="1143">
        <v>4.9425045153521978</v>
      </c>
      <c r="P69" s="1133"/>
    </row>
    <row r="70" spans="1:16" ht="20.100000000000001" customHeight="1">
      <c r="A70" s="1140">
        <v>41277</v>
      </c>
      <c r="B70" s="1141">
        <v>398</v>
      </c>
      <c r="C70" s="1142">
        <v>366.00000000000006</v>
      </c>
      <c r="D70" s="1142">
        <v>216</v>
      </c>
      <c r="E70" s="1142">
        <v>420.00000000000006</v>
      </c>
      <c r="F70" s="1143">
        <v>68.398471019580313</v>
      </c>
      <c r="G70" s="1143">
        <v>4.2742323901264294</v>
      </c>
      <c r="P70" s="1133"/>
    </row>
    <row r="71" spans="1:16" ht="20.100000000000001" customHeight="1">
      <c r="A71" s="1140">
        <v>41278</v>
      </c>
      <c r="B71" s="1141">
        <v>387</v>
      </c>
      <c r="C71" s="1142">
        <v>378.00000000000006</v>
      </c>
      <c r="D71" s="1142">
        <v>188</v>
      </c>
      <c r="E71" s="1142">
        <v>849.99999999999989</v>
      </c>
      <c r="F71" s="1143">
        <v>64.966065995787517</v>
      </c>
      <c r="G71" s="1143">
        <v>4.4322697170379293</v>
      </c>
      <c r="P71" s="1133"/>
    </row>
    <row r="72" spans="1:16" ht="20.100000000000001" customHeight="1">
      <c r="A72" s="1140">
        <v>41279</v>
      </c>
      <c r="B72" s="1141">
        <v>377</v>
      </c>
      <c r="C72" s="1142">
        <v>396</v>
      </c>
      <c r="D72" s="1142">
        <v>188</v>
      </c>
      <c r="E72" s="1142">
        <v>746.66666666666686</v>
      </c>
      <c r="F72" s="1143">
        <v>63.624307668304859</v>
      </c>
      <c r="G72" s="1143">
        <v>4.1748946417820587</v>
      </c>
      <c r="P72" s="1133"/>
    </row>
    <row r="73" spans="1:16" ht="20.100000000000001" customHeight="1">
      <c r="A73" s="1140">
        <v>41280</v>
      </c>
      <c r="B73" s="1141">
        <v>386</v>
      </c>
      <c r="C73" s="1142">
        <v>323.99999999999994</v>
      </c>
      <c r="D73" s="1142">
        <v>180</v>
      </c>
      <c r="E73" s="1142">
        <v>673.33333333333326</v>
      </c>
      <c r="F73" s="1143">
        <v>67.743193696856238</v>
      </c>
      <c r="G73" s="1143">
        <v>4.4593618302227567</v>
      </c>
      <c r="P73" s="1133"/>
    </row>
    <row r="74" spans="1:16" ht="20.100000000000001" customHeight="1">
      <c r="A74" s="1140">
        <v>41281</v>
      </c>
      <c r="B74" s="1141">
        <v>390</v>
      </c>
      <c r="C74" s="1142">
        <v>318</v>
      </c>
      <c r="D74" s="1142">
        <v>208</v>
      </c>
      <c r="E74" s="1142">
        <v>649.99999999999966</v>
      </c>
      <c r="F74" s="1143">
        <v>68.710507839925128</v>
      </c>
      <c r="G74" s="1143">
        <v>4.9425045153521978</v>
      </c>
      <c r="P74" s="1133"/>
    </row>
    <row r="75" spans="1:16" ht="20.100000000000001" customHeight="1">
      <c r="A75" s="1140">
        <v>41282</v>
      </c>
      <c r="B75" s="1141">
        <v>364</v>
      </c>
      <c r="C75" s="1142">
        <v>341.99999999999994</v>
      </c>
      <c r="D75" s="1142">
        <v>184</v>
      </c>
      <c r="E75" s="1142">
        <v>480.0000000000004</v>
      </c>
      <c r="F75" s="1143">
        <v>65.278102816132304</v>
      </c>
      <c r="G75" s="1143">
        <v>4.8973509933774837</v>
      </c>
      <c r="P75" s="1133"/>
    </row>
    <row r="76" spans="1:16" ht="20.100000000000001" customHeight="1">
      <c r="A76" s="1140">
        <v>41283</v>
      </c>
      <c r="B76" s="1141">
        <v>392</v>
      </c>
      <c r="C76" s="1142">
        <v>359.99999999999994</v>
      </c>
      <c r="D76" s="1142">
        <v>228</v>
      </c>
      <c r="E76" s="1142">
        <v>666.66666666666686</v>
      </c>
      <c r="F76" s="1143">
        <v>66.994305328028716</v>
      </c>
      <c r="G76" s="1143">
        <v>4.2335942203491879</v>
      </c>
      <c r="P76" s="1133"/>
    </row>
    <row r="77" spans="1:16" ht="20.100000000000001" customHeight="1">
      <c r="A77" s="1140">
        <v>41284</v>
      </c>
      <c r="B77" s="1141">
        <v>375</v>
      </c>
      <c r="C77" s="1142">
        <v>354</v>
      </c>
      <c r="D77" s="1142">
        <v>188</v>
      </c>
      <c r="E77" s="1142">
        <v>379.99999999999977</v>
      </c>
      <c r="F77" s="1143">
        <v>68.460878383649288</v>
      </c>
      <c r="G77" s="1143">
        <v>4.4413004214328717</v>
      </c>
      <c r="P77" s="1133"/>
    </row>
    <row r="78" spans="1:16" ht="20.100000000000001" customHeight="1">
      <c r="A78" s="1140">
        <v>41285</v>
      </c>
      <c r="B78" s="1141">
        <v>372</v>
      </c>
      <c r="C78" s="1142">
        <v>377.99999999999994</v>
      </c>
      <c r="D78" s="1142">
        <v>216</v>
      </c>
      <c r="E78" s="1142">
        <v>516.66666666666674</v>
      </c>
      <c r="F78" s="1143">
        <v>68.679304157890627</v>
      </c>
      <c r="G78" s="1143">
        <v>4.8070439494280555</v>
      </c>
      <c r="P78" s="1133"/>
    </row>
    <row r="79" spans="1:16" ht="20.100000000000001" customHeight="1">
      <c r="A79" s="1140">
        <v>41286</v>
      </c>
      <c r="B79" s="1141">
        <v>355</v>
      </c>
      <c r="C79" s="1142">
        <v>366</v>
      </c>
      <c r="D79" s="1142">
        <v>180</v>
      </c>
      <c r="E79" s="1142">
        <v>656.66666666666652</v>
      </c>
      <c r="F79" s="1143">
        <v>66.900694281925269</v>
      </c>
      <c r="G79" s="1143">
        <v>4.6715833835039131</v>
      </c>
      <c r="P79" s="1133"/>
    </row>
    <row r="80" spans="1:16" ht="20.100000000000001" customHeight="1">
      <c r="A80" s="1140">
        <v>41287</v>
      </c>
      <c r="B80" s="1141">
        <v>362</v>
      </c>
      <c r="C80" s="1142">
        <v>372.00000000000006</v>
      </c>
      <c r="D80" s="1142">
        <v>216</v>
      </c>
      <c r="E80" s="1142">
        <v>466.66666666666669</v>
      </c>
      <c r="F80" s="1143">
        <v>65.246899134097831</v>
      </c>
      <c r="G80" s="1143">
        <v>4.3961468994581576</v>
      </c>
      <c r="P80" s="1133"/>
    </row>
    <row r="81" spans="1:16" ht="20.100000000000001" customHeight="1">
      <c r="A81" s="1140">
        <v>41288</v>
      </c>
      <c r="B81" s="1141">
        <v>365</v>
      </c>
      <c r="C81" s="1142">
        <v>366.00000000000006</v>
      </c>
      <c r="D81" s="1142">
        <v>188</v>
      </c>
      <c r="E81" s="1142">
        <v>690</v>
      </c>
      <c r="F81" s="1143">
        <v>64.435603401201362</v>
      </c>
      <c r="G81" s="1143">
        <v>4.2561709813365445</v>
      </c>
      <c r="P81" s="1133"/>
    </row>
    <row r="82" spans="1:16" ht="20.100000000000001" customHeight="1">
      <c r="A82" s="1140">
        <v>41289</v>
      </c>
      <c r="B82" s="1141">
        <v>325</v>
      </c>
      <c r="C82" s="1142">
        <v>366.00000000000006</v>
      </c>
      <c r="D82" s="1142">
        <v>168</v>
      </c>
      <c r="E82" s="1142">
        <v>566.66666666666674</v>
      </c>
      <c r="F82" s="1143">
        <v>66.370231687339114</v>
      </c>
      <c r="G82" s="1143">
        <v>4.7618904274533405</v>
      </c>
      <c r="P82" s="1133"/>
    </row>
    <row r="83" spans="1:16" ht="20.100000000000001" customHeight="1">
      <c r="A83" s="1140">
        <v>41290</v>
      </c>
      <c r="B83" s="1141">
        <v>321</v>
      </c>
      <c r="C83" s="1142">
        <v>384</v>
      </c>
      <c r="D83" s="1142">
        <v>184</v>
      </c>
      <c r="E83" s="1142">
        <v>616.6666666666664</v>
      </c>
      <c r="F83" s="1143">
        <v>67.39995319447695</v>
      </c>
      <c r="G83" s="1143">
        <v>4.6399759181216131</v>
      </c>
      <c r="P83" s="1133"/>
    </row>
    <row r="84" spans="1:16" ht="20.100000000000001" customHeight="1">
      <c r="A84" s="1140">
        <v>41291</v>
      </c>
      <c r="B84" s="1141">
        <v>341</v>
      </c>
      <c r="C84" s="1142">
        <v>330</v>
      </c>
      <c r="D84" s="1142">
        <v>180</v>
      </c>
      <c r="E84" s="1142">
        <v>466.66666666666714</v>
      </c>
      <c r="F84" s="1143">
        <v>71.019580310476655</v>
      </c>
      <c r="G84" s="1143">
        <v>3.8226971703792896</v>
      </c>
      <c r="P84" s="1133"/>
    </row>
    <row r="85" spans="1:16" ht="20.100000000000001" customHeight="1">
      <c r="A85" s="1140">
        <v>41292</v>
      </c>
      <c r="B85" s="1141">
        <v>348</v>
      </c>
      <c r="C85" s="1142">
        <v>341.99999999999994</v>
      </c>
      <c r="D85" s="1142">
        <v>196</v>
      </c>
      <c r="E85" s="1142">
        <v>456.66666666666686</v>
      </c>
      <c r="F85" s="1143">
        <v>69.927451439269845</v>
      </c>
      <c r="G85" s="1143">
        <v>4.8070439494280555</v>
      </c>
      <c r="P85" s="1133"/>
    </row>
    <row r="86" spans="1:16" ht="20.100000000000001" customHeight="1">
      <c r="A86" s="1140">
        <v>41293</v>
      </c>
      <c r="B86" s="1141">
        <v>354</v>
      </c>
      <c r="C86" s="1142">
        <v>336</v>
      </c>
      <c r="D86" s="1142">
        <v>172</v>
      </c>
      <c r="E86" s="1142">
        <v>413.33333333333314</v>
      </c>
      <c r="F86" s="1143">
        <v>68.055230517201025</v>
      </c>
      <c r="G86" s="1143">
        <v>4.8973509933774837</v>
      </c>
      <c r="P86" s="1133"/>
    </row>
    <row r="87" spans="1:16" ht="20.100000000000001" customHeight="1">
      <c r="A87" s="1140">
        <v>41294</v>
      </c>
      <c r="B87" s="1141">
        <v>361</v>
      </c>
      <c r="C87" s="1142">
        <v>330</v>
      </c>
      <c r="D87" s="1142">
        <v>184</v>
      </c>
      <c r="E87" s="1142">
        <v>456.66666666666686</v>
      </c>
      <c r="F87" s="1143">
        <v>67.555971604649343</v>
      </c>
      <c r="G87" s="1143">
        <v>5.2947019867549656</v>
      </c>
      <c r="P87" s="1133"/>
    </row>
    <row r="88" spans="1:16" ht="20.100000000000001" customHeight="1">
      <c r="A88" s="1140">
        <v>41295</v>
      </c>
      <c r="B88" s="1141">
        <v>360</v>
      </c>
      <c r="C88" s="1142">
        <v>366.00000000000006</v>
      </c>
      <c r="D88" s="1142">
        <v>212</v>
      </c>
      <c r="E88" s="1142">
        <v>650.00000000000011</v>
      </c>
      <c r="F88" s="1143">
        <v>63.468289258132458</v>
      </c>
      <c r="G88" s="1143">
        <v>4.0258880192655031</v>
      </c>
      <c r="P88" s="1133"/>
    </row>
    <row r="89" spans="1:16" ht="20.100000000000001" customHeight="1">
      <c r="A89" s="1140">
        <v>41296</v>
      </c>
      <c r="B89" s="1141">
        <v>352</v>
      </c>
      <c r="C89" s="1142">
        <v>371.99999999999994</v>
      </c>
      <c r="D89" s="1142">
        <v>188</v>
      </c>
      <c r="E89" s="1142">
        <v>599.99999999999966</v>
      </c>
      <c r="F89" s="1143">
        <v>64.966065995787517</v>
      </c>
      <c r="G89" s="1143">
        <v>4.2606863335340153</v>
      </c>
      <c r="P89" s="1133"/>
    </row>
    <row r="90" spans="1:16" ht="20.100000000000001" customHeight="1">
      <c r="A90" s="1140">
        <v>41297</v>
      </c>
      <c r="B90" s="1141">
        <v>347</v>
      </c>
      <c r="C90" s="1142">
        <v>336</v>
      </c>
      <c r="D90" s="1142">
        <v>180</v>
      </c>
      <c r="E90" s="1142">
        <v>603.33333333333348</v>
      </c>
      <c r="F90" s="1143">
        <v>69.802636711131925</v>
      </c>
      <c r="G90" s="1143">
        <v>3.7188440698374472</v>
      </c>
      <c r="P90" s="1133"/>
    </row>
    <row r="91" spans="1:16" ht="20.100000000000001" customHeight="1">
      <c r="A91" s="1140">
        <v>41298</v>
      </c>
      <c r="B91" s="1141">
        <v>355</v>
      </c>
      <c r="C91" s="1142">
        <v>330</v>
      </c>
      <c r="D91" s="1142">
        <v>224</v>
      </c>
      <c r="E91" s="1142">
        <v>529.99999999999989</v>
      </c>
      <c r="F91" s="1143">
        <v>69.178563070442308</v>
      </c>
      <c r="G91" s="1143">
        <v>4.7618904274533405</v>
      </c>
      <c r="P91" s="1133"/>
    </row>
    <row r="92" spans="1:16" ht="20.100000000000001" customHeight="1">
      <c r="A92" s="1140">
        <v>41299</v>
      </c>
      <c r="B92" s="1141">
        <v>333</v>
      </c>
      <c r="C92" s="1142">
        <v>348.00000000000006</v>
      </c>
      <c r="D92" s="1142">
        <v>200</v>
      </c>
      <c r="E92" s="1142">
        <v>503.33333333333343</v>
      </c>
      <c r="F92" s="1143">
        <v>63.842733442546226</v>
      </c>
      <c r="G92" s="1143">
        <v>5.2947019867549656</v>
      </c>
      <c r="P92" s="1133"/>
    </row>
    <row r="93" spans="1:16" ht="20.100000000000001" customHeight="1">
      <c r="A93" s="1140">
        <v>41300</v>
      </c>
      <c r="B93" s="1141">
        <v>347</v>
      </c>
      <c r="C93" s="1142">
        <v>359.99999999999994</v>
      </c>
      <c r="D93" s="1142">
        <v>196.00000000000003</v>
      </c>
      <c r="E93" s="1142">
        <v>479.99999999999994</v>
      </c>
      <c r="F93" s="1143">
        <v>66.963101645994229</v>
      </c>
      <c r="G93" s="1143">
        <v>4.6399759181216131</v>
      </c>
      <c r="P93" s="1133"/>
    </row>
    <row r="94" spans="1:16" ht="20.100000000000001" customHeight="1">
      <c r="A94" s="1140">
        <v>41301</v>
      </c>
      <c r="B94" s="1141">
        <v>325</v>
      </c>
      <c r="C94" s="1142">
        <v>342</v>
      </c>
      <c r="D94" s="1142">
        <v>224</v>
      </c>
      <c r="E94" s="1142">
        <v>496.66666666666657</v>
      </c>
      <c r="F94" s="1143">
        <v>73.203838052890248</v>
      </c>
      <c r="G94" s="1143">
        <v>4.8973509933774837</v>
      </c>
      <c r="P94" s="1133"/>
    </row>
    <row r="95" spans="1:16" ht="20.100000000000001" customHeight="1">
      <c r="A95" s="1140">
        <v>41302</v>
      </c>
      <c r="B95" s="1141">
        <v>366</v>
      </c>
      <c r="C95" s="1142">
        <v>330</v>
      </c>
      <c r="D95" s="1142">
        <v>188</v>
      </c>
      <c r="E95" s="1142">
        <v>399.99999999999989</v>
      </c>
      <c r="F95" s="1143">
        <v>62.157734612684287</v>
      </c>
      <c r="G95" s="1143">
        <v>4.6309452137266698</v>
      </c>
      <c r="P95" s="1133"/>
    </row>
    <row r="96" spans="1:16" ht="20.100000000000001" customHeight="1">
      <c r="A96" s="1140">
        <v>41303</v>
      </c>
      <c r="B96" s="1141">
        <v>355</v>
      </c>
      <c r="C96" s="1142">
        <v>318</v>
      </c>
      <c r="D96" s="1142">
        <v>180</v>
      </c>
      <c r="E96" s="1142">
        <v>446.66666666666657</v>
      </c>
      <c r="F96" s="1143">
        <v>63.842733442546226</v>
      </c>
      <c r="G96" s="1143">
        <v>4.3961468994581576</v>
      </c>
      <c r="P96" s="1133"/>
    </row>
    <row r="97" spans="1:16" ht="20.100000000000001" customHeight="1">
      <c r="A97" s="1140">
        <v>41304</v>
      </c>
      <c r="B97" s="1141">
        <v>376</v>
      </c>
      <c r="C97" s="1142">
        <v>371.99999999999994</v>
      </c>
      <c r="D97" s="1142">
        <v>184.00000000000003</v>
      </c>
      <c r="E97" s="1142">
        <v>516.66666666666674</v>
      </c>
      <c r="F97" s="1143">
        <v>73.609485919338496</v>
      </c>
      <c r="G97" s="1143">
        <v>4.1884406983744729</v>
      </c>
      <c r="P97" s="1133"/>
    </row>
    <row r="98" spans="1:16" ht="20.100000000000001" customHeight="1">
      <c r="A98" s="1140">
        <v>41609</v>
      </c>
      <c r="B98" s="1141">
        <v>376</v>
      </c>
      <c r="C98" s="1142">
        <v>384</v>
      </c>
      <c r="D98" s="1142">
        <v>196</v>
      </c>
      <c r="E98" s="1142">
        <v>723.33333333333326</v>
      </c>
      <c r="F98" s="1143">
        <v>71.394024494890402</v>
      </c>
      <c r="G98" s="1143">
        <v>4.9831426851294403</v>
      </c>
      <c r="P98" s="1133"/>
    </row>
    <row r="99" spans="1:16" ht="20.100000000000001" customHeight="1">
      <c r="A99" s="1140">
        <v>41610</v>
      </c>
      <c r="B99" s="1141">
        <v>231</v>
      </c>
      <c r="C99" s="1142">
        <v>414</v>
      </c>
      <c r="D99" s="1142">
        <v>240</v>
      </c>
      <c r="E99" s="1142">
        <v>703.33333333333314</v>
      </c>
      <c r="F99" s="1143">
        <v>69.521803572821597</v>
      </c>
      <c r="G99" s="1143">
        <v>4.9425045153521978</v>
      </c>
      <c r="P99" s="1133"/>
    </row>
    <row r="100" spans="1:16" ht="20.100000000000001" customHeight="1">
      <c r="A100" s="1140">
        <v>41611</v>
      </c>
      <c r="B100" s="1141">
        <v>506</v>
      </c>
      <c r="C100" s="1142">
        <v>311.99999999999994</v>
      </c>
      <c r="D100" s="1142">
        <v>180</v>
      </c>
      <c r="E100" s="1142">
        <v>580</v>
      </c>
      <c r="F100" s="1143">
        <v>72.98541227864888</v>
      </c>
      <c r="G100" s="1143">
        <v>4.3509933774834435</v>
      </c>
      <c r="P100" s="1133"/>
    </row>
    <row r="101" spans="1:16" ht="20.100000000000001" customHeight="1">
      <c r="A101" s="1140">
        <v>41612</v>
      </c>
      <c r="B101" s="1141">
        <v>362</v>
      </c>
      <c r="C101" s="1142">
        <v>329.99999999999994</v>
      </c>
      <c r="D101" s="1142">
        <v>200</v>
      </c>
      <c r="E101" s="1142">
        <v>576.66666666666697</v>
      </c>
      <c r="F101" s="1143">
        <v>75.949762071924482</v>
      </c>
      <c r="G101" s="1143">
        <v>4.7618904274533405</v>
      </c>
      <c r="P101" s="1133"/>
    </row>
    <row r="102" spans="1:16" ht="20.100000000000001" customHeight="1">
      <c r="A102" s="1140">
        <v>41613</v>
      </c>
      <c r="B102" s="1141">
        <v>325</v>
      </c>
      <c r="C102" s="1142">
        <v>353.99999999999994</v>
      </c>
      <c r="D102" s="1142">
        <v>224</v>
      </c>
      <c r="E102" s="1142">
        <v>596.66666666666663</v>
      </c>
      <c r="F102" s="1143">
        <v>74.327170606131531</v>
      </c>
      <c r="G102" s="1143">
        <v>4.0394340758579164</v>
      </c>
      <c r="P102" s="1133"/>
    </row>
    <row r="103" spans="1:16" ht="20.100000000000001" customHeight="1">
      <c r="A103" s="1140">
        <v>41614</v>
      </c>
      <c r="B103" s="1141">
        <v>317</v>
      </c>
      <c r="C103" s="1142">
        <v>336</v>
      </c>
      <c r="D103" s="1142">
        <v>184</v>
      </c>
      <c r="E103" s="1142">
        <v>616.6666666666664</v>
      </c>
      <c r="F103" s="1143">
        <v>77.665964583820895</v>
      </c>
      <c r="G103" s="1143">
        <v>4.5451535219747132</v>
      </c>
      <c r="P103" s="1133"/>
    </row>
    <row r="104" spans="1:16" ht="20.100000000000001" customHeight="1">
      <c r="A104" s="1140">
        <v>41615</v>
      </c>
      <c r="B104" s="1141">
        <v>313</v>
      </c>
      <c r="C104" s="1142">
        <v>282</v>
      </c>
      <c r="D104" s="1142">
        <v>220</v>
      </c>
      <c r="E104" s="1142">
        <v>483.33333333333331</v>
      </c>
      <c r="F104" s="1143">
        <v>76.854668850924412</v>
      </c>
      <c r="G104" s="1143">
        <v>4.2516556291390728</v>
      </c>
      <c r="P104" s="1133"/>
    </row>
    <row r="105" spans="1:16" ht="20.100000000000001" customHeight="1">
      <c r="A105" s="1140">
        <v>41616</v>
      </c>
      <c r="B105" s="1141">
        <v>315</v>
      </c>
      <c r="C105" s="1142">
        <v>348.00000000000006</v>
      </c>
      <c r="D105" s="1142">
        <v>184.00000000000003</v>
      </c>
      <c r="E105" s="1142">
        <v>466.66666666666714</v>
      </c>
      <c r="F105" s="1143">
        <v>77.104298307200253</v>
      </c>
      <c r="G105" s="1143">
        <v>4.4458157736303425</v>
      </c>
      <c r="P105" s="1133"/>
    </row>
    <row r="106" spans="1:16" ht="20.100000000000001" customHeight="1">
      <c r="A106" s="1140">
        <v>41617</v>
      </c>
      <c r="B106" s="1141">
        <v>339</v>
      </c>
      <c r="C106" s="1142">
        <v>336.00000000000006</v>
      </c>
      <c r="D106" s="1142">
        <v>208</v>
      </c>
      <c r="E106" s="1142">
        <v>656.66666666666652</v>
      </c>
      <c r="F106" s="1143">
        <v>74.545596380372885</v>
      </c>
      <c r="G106" s="1143">
        <v>4.5812763395544849</v>
      </c>
      <c r="P106" s="1133"/>
    </row>
    <row r="107" spans="1:16" ht="20.100000000000001" customHeight="1">
      <c r="A107" s="1140">
        <v>41618</v>
      </c>
      <c r="B107" s="1141">
        <v>374</v>
      </c>
      <c r="C107" s="1142">
        <v>366.00000000000006</v>
      </c>
      <c r="D107" s="1142">
        <v>192</v>
      </c>
      <c r="E107" s="1142">
        <v>590.00000000000034</v>
      </c>
      <c r="F107" s="1143">
        <v>76.979483579062318</v>
      </c>
      <c r="G107" s="1143">
        <v>4.3509933774834435</v>
      </c>
      <c r="P107" s="1133"/>
    </row>
    <row r="108" spans="1:16" ht="20.100000000000001" customHeight="1">
      <c r="A108" s="1140">
        <v>41619</v>
      </c>
      <c r="B108" s="1141">
        <v>355</v>
      </c>
      <c r="C108" s="1142">
        <v>366</v>
      </c>
      <c r="D108" s="1142">
        <v>196</v>
      </c>
      <c r="E108" s="1142">
        <v>776.66666666666674</v>
      </c>
      <c r="F108" s="1143">
        <v>78.352445588579471</v>
      </c>
      <c r="G108" s="1143">
        <v>4.4367850692354009</v>
      </c>
      <c r="P108" s="1133"/>
    </row>
    <row r="109" spans="1:16" ht="20.100000000000001" customHeight="1">
      <c r="A109" s="1140">
        <v>41620</v>
      </c>
      <c r="B109" s="1141">
        <v>350</v>
      </c>
      <c r="C109" s="1142">
        <v>347.99999999999994</v>
      </c>
      <c r="D109" s="1142">
        <v>188</v>
      </c>
      <c r="E109" s="1142">
        <v>690</v>
      </c>
      <c r="F109" s="1143">
        <v>79.850222326234501</v>
      </c>
      <c r="G109" s="1143">
        <v>4.6535219747140273</v>
      </c>
      <c r="P109" s="1133"/>
    </row>
    <row r="110" spans="1:16" ht="20.100000000000001" customHeight="1">
      <c r="A110" s="1140">
        <v>41621</v>
      </c>
      <c r="B110" s="1141">
        <v>358</v>
      </c>
      <c r="C110" s="1142">
        <v>341.99999999999994</v>
      </c>
      <c r="D110" s="1142">
        <v>260</v>
      </c>
      <c r="E110" s="1142">
        <v>623.33333333333314</v>
      </c>
      <c r="F110" s="1143">
        <v>77.665964583820895</v>
      </c>
      <c r="G110" s="1143">
        <v>4.861228175797712</v>
      </c>
      <c r="P110" s="1133"/>
    </row>
    <row r="111" spans="1:16" ht="20.100000000000001" customHeight="1">
      <c r="A111" s="1140">
        <v>41622</v>
      </c>
      <c r="B111" s="1141">
        <v>238</v>
      </c>
      <c r="C111" s="1142">
        <v>312</v>
      </c>
      <c r="D111" s="1142">
        <v>236</v>
      </c>
      <c r="E111" s="1142">
        <v>543.33333333333371</v>
      </c>
      <c r="F111" s="1143">
        <v>77.447538809579541</v>
      </c>
      <c r="G111" s="1143">
        <v>4.6354605659241415</v>
      </c>
      <c r="P111" s="1133"/>
    </row>
    <row r="112" spans="1:16" ht="20.100000000000001" customHeight="1">
      <c r="A112" s="1140">
        <v>41623</v>
      </c>
      <c r="B112" s="1141">
        <v>87</v>
      </c>
      <c r="C112" s="1142">
        <v>371.99999999999994</v>
      </c>
      <c r="D112" s="1142">
        <v>176.00000000000003</v>
      </c>
      <c r="E112" s="1142">
        <v>373.33333333333343</v>
      </c>
      <c r="F112" s="1143">
        <v>76.792261486855466</v>
      </c>
      <c r="G112" s="1143">
        <v>4.2742323901264294</v>
      </c>
      <c r="P112" s="1133"/>
    </row>
    <row r="113" spans="1:16" ht="20.100000000000001" customHeight="1">
      <c r="A113" s="1140">
        <v>41624</v>
      </c>
      <c r="B113" s="1141">
        <v>0</v>
      </c>
      <c r="C113" s="1142">
        <v>366.00000000000006</v>
      </c>
      <c r="D113" s="1142">
        <v>240</v>
      </c>
      <c r="E113" s="1142">
        <v>449.99999999999994</v>
      </c>
      <c r="F113" s="1143">
        <v>74.576800062407372</v>
      </c>
      <c r="G113" s="1143">
        <v>4.4413004214328717</v>
      </c>
      <c r="P113" s="1133"/>
    </row>
    <row r="114" spans="1:16" ht="20.100000000000001" customHeight="1">
      <c r="A114" s="1140">
        <v>41625</v>
      </c>
      <c r="B114" s="1141">
        <v>0</v>
      </c>
      <c r="C114" s="1142">
        <v>342</v>
      </c>
      <c r="D114" s="1142">
        <v>156</v>
      </c>
      <c r="E114" s="1142">
        <v>616.6666666666664</v>
      </c>
      <c r="F114" s="1143">
        <v>77.478742491614</v>
      </c>
      <c r="G114" s="1143">
        <v>4.4909692956050575</v>
      </c>
      <c r="P114" s="1133"/>
    </row>
    <row r="115" spans="1:16" ht="20.100000000000001" customHeight="1">
      <c r="A115" s="1140">
        <v>41626</v>
      </c>
      <c r="B115" s="1141">
        <v>252</v>
      </c>
      <c r="C115" s="1142">
        <v>342.00000000000006</v>
      </c>
      <c r="D115" s="1142">
        <v>192</v>
      </c>
      <c r="E115" s="1142">
        <v>666.66666666666686</v>
      </c>
      <c r="F115" s="1143">
        <v>76.792261486855466</v>
      </c>
      <c r="G115" s="1143">
        <v>4.6806140878988556</v>
      </c>
      <c r="P115" s="1133"/>
    </row>
    <row r="116" spans="1:16" ht="20.100000000000001" customHeight="1">
      <c r="A116" s="1140">
        <v>41627</v>
      </c>
      <c r="B116" s="1141">
        <v>383</v>
      </c>
      <c r="C116" s="1142">
        <v>341.99999999999994</v>
      </c>
      <c r="D116" s="1142">
        <v>212</v>
      </c>
      <c r="E116" s="1142">
        <v>476.66666666666646</v>
      </c>
      <c r="F116" s="1143">
        <v>86.153366097199481</v>
      </c>
      <c r="G116" s="1143">
        <v>4.8296207104154121</v>
      </c>
      <c r="P116" s="1133"/>
    </row>
    <row r="117" spans="1:16" ht="20.100000000000001" customHeight="1">
      <c r="A117" s="1140">
        <v>41628</v>
      </c>
      <c r="B117" s="1141">
        <v>352</v>
      </c>
      <c r="C117" s="1142">
        <v>348</v>
      </c>
      <c r="D117" s="1142">
        <v>204</v>
      </c>
      <c r="E117" s="1142">
        <v>496.66666666666657</v>
      </c>
      <c r="F117" s="1143">
        <v>73.703096965441929</v>
      </c>
      <c r="G117" s="1143">
        <v>4.0349187236604456</v>
      </c>
      <c r="P117" s="1133"/>
    </row>
    <row r="118" spans="1:16" ht="20.100000000000001" customHeight="1">
      <c r="A118" s="1140">
        <v>41629</v>
      </c>
      <c r="B118" s="1141">
        <v>334</v>
      </c>
      <c r="C118" s="1142">
        <v>318.00000000000006</v>
      </c>
      <c r="D118" s="1142">
        <v>224</v>
      </c>
      <c r="E118" s="1142">
        <v>383.33333333333326</v>
      </c>
      <c r="F118" s="1143">
        <v>79.382167095717293</v>
      </c>
      <c r="G118" s="1143">
        <v>4.2065021071643596</v>
      </c>
      <c r="P118" s="1133"/>
    </row>
    <row r="119" spans="1:16" ht="20.100000000000001" customHeight="1">
      <c r="A119" s="1140">
        <v>41630</v>
      </c>
      <c r="B119" s="1141">
        <v>327</v>
      </c>
      <c r="C119" s="1142">
        <v>348</v>
      </c>
      <c r="D119" s="1142">
        <v>176.00000000000003</v>
      </c>
      <c r="E119" s="1142">
        <v>673.33333333333371</v>
      </c>
      <c r="F119" s="1143">
        <v>77.697168265855382</v>
      </c>
      <c r="G119" s="1143">
        <v>4.4458157736303425</v>
      </c>
      <c r="P119" s="1133"/>
    </row>
    <row r="120" spans="1:16" ht="20.100000000000001" customHeight="1">
      <c r="A120" s="1140">
        <v>41631</v>
      </c>
      <c r="B120" s="1141">
        <v>324</v>
      </c>
      <c r="C120" s="1142">
        <v>383.99999999999994</v>
      </c>
      <c r="D120" s="1142">
        <v>172</v>
      </c>
      <c r="E120" s="1142">
        <v>556.6666666666664</v>
      </c>
      <c r="F120" s="1143">
        <v>79.912629690303461</v>
      </c>
      <c r="G120" s="1143">
        <v>4.2968091511137869</v>
      </c>
      <c r="P120" s="1133"/>
    </row>
    <row r="121" spans="1:16" ht="20.100000000000001" customHeight="1">
      <c r="A121" s="1140">
        <v>41632</v>
      </c>
      <c r="B121" s="1141">
        <v>315</v>
      </c>
      <c r="C121" s="1142">
        <v>336</v>
      </c>
      <c r="D121" s="1142">
        <v>184</v>
      </c>
      <c r="E121" s="1142">
        <v>639.99999999999989</v>
      </c>
      <c r="F121" s="1143">
        <v>77.322724081441621</v>
      </c>
      <c r="G121" s="1143">
        <v>4.2381095725466587</v>
      </c>
      <c r="P121" s="1133"/>
    </row>
    <row r="122" spans="1:16" ht="20.100000000000001" customHeight="1">
      <c r="A122" s="1140">
        <v>41633</v>
      </c>
      <c r="B122" s="1141">
        <v>320</v>
      </c>
      <c r="C122" s="1142">
        <v>311.99999999999994</v>
      </c>
      <c r="D122" s="1142">
        <v>188</v>
      </c>
      <c r="E122" s="1142">
        <v>516.66666666666674</v>
      </c>
      <c r="F122" s="1143">
        <v>75.793743661752103</v>
      </c>
      <c r="G122" s="1143">
        <v>4.8838049367850678</v>
      </c>
      <c r="P122" s="1133"/>
    </row>
    <row r="123" spans="1:16" ht="20.100000000000001" customHeight="1">
      <c r="A123" s="1140">
        <v>41634</v>
      </c>
      <c r="B123" s="1141">
        <v>318</v>
      </c>
      <c r="C123" s="1142">
        <v>318.00000000000006</v>
      </c>
      <c r="D123" s="1142">
        <v>176.00000000000003</v>
      </c>
      <c r="E123" s="1142">
        <v>490.00000000000023</v>
      </c>
      <c r="F123" s="1143">
        <v>82.128091114751541</v>
      </c>
      <c r="G123" s="1143">
        <v>4.8115593016255263</v>
      </c>
      <c r="P123" s="1133"/>
    </row>
    <row r="124" spans="1:16" ht="20.100000000000001" customHeight="1">
      <c r="A124" s="1140">
        <v>41635</v>
      </c>
      <c r="B124" s="1141">
        <v>316</v>
      </c>
      <c r="C124" s="1142">
        <v>336.00000000000006</v>
      </c>
      <c r="D124" s="1142">
        <v>220</v>
      </c>
      <c r="E124" s="1142">
        <v>466.66666666666669</v>
      </c>
      <c r="F124" s="1143">
        <v>79.5381855058897</v>
      </c>
      <c r="G124" s="1143">
        <v>4.405177603853101</v>
      </c>
      <c r="P124" s="1133"/>
    </row>
    <row r="125" spans="1:16" ht="20.100000000000001" customHeight="1">
      <c r="A125" s="1140">
        <v>41636</v>
      </c>
      <c r="B125" s="1141">
        <v>322</v>
      </c>
      <c r="C125" s="1142">
        <v>360</v>
      </c>
      <c r="D125" s="1142">
        <v>227.99999999999997</v>
      </c>
      <c r="E125" s="1142">
        <v>626.66666666666663</v>
      </c>
      <c r="F125" s="1143">
        <v>74.639207426476332</v>
      </c>
      <c r="G125" s="1143">
        <v>4.486453943407585</v>
      </c>
      <c r="P125" s="1133"/>
    </row>
    <row r="126" spans="1:16" ht="20.100000000000001" customHeight="1">
      <c r="A126" s="1140">
        <v>41637</v>
      </c>
      <c r="B126" s="1141">
        <v>310</v>
      </c>
      <c r="C126" s="1142">
        <v>390</v>
      </c>
      <c r="D126" s="1142">
        <v>196</v>
      </c>
      <c r="E126" s="1142">
        <v>653.33333333333314</v>
      </c>
      <c r="F126" s="1143">
        <v>74.077541149855691</v>
      </c>
      <c r="G126" s="1143">
        <v>4.6354605659241415</v>
      </c>
      <c r="P126" s="1133"/>
    </row>
    <row r="127" spans="1:16" ht="20.100000000000001" customHeight="1">
      <c r="A127" s="1140">
        <v>41638</v>
      </c>
      <c r="B127" s="1141">
        <v>318</v>
      </c>
      <c r="C127" s="1142">
        <v>366.00000000000006</v>
      </c>
      <c r="D127" s="1142">
        <v>204</v>
      </c>
      <c r="E127" s="1142">
        <v>676.66666666666663</v>
      </c>
      <c r="F127" s="1143">
        <v>76.729854122786492</v>
      </c>
      <c r="G127" s="1143">
        <v>4.7077062010836839</v>
      </c>
      <c r="P127" s="1133"/>
    </row>
    <row r="128" spans="1:16" ht="20.100000000000001" customHeight="1">
      <c r="A128" s="1140">
        <v>41639</v>
      </c>
      <c r="B128" s="1141">
        <v>321</v>
      </c>
      <c r="C128" s="1142">
        <v>371.99999999999994</v>
      </c>
      <c r="D128" s="1142">
        <v>220</v>
      </c>
      <c r="E128" s="1142">
        <v>669.99999999999977</v>
      </c>
      <c r="F128" s="1143">
        <v>76.636243076683058</v>
      </c>
      <c r="G128" s="1143">
        <v>4.4458157736303425</v>
      </c>
      <c r="P128" s="1133"/>
    </row>
    <row r="129" spans="1:16" ht="20.100000000000001" customHeight="1">
      <c r="A129" s="1145" t="s">
        <v>1688</v>
      </c>
      <c r="B129" s="1146">
        <f t="shared" ref="B129:G129" si="0">AVERAGE(B7:B128)</f>
        <v>358.59836065573768</v>
      </c>
      <c r="C129" s="1147">
        <f t="shared" si="0"/>
        <v>308.31147540983608</v>
      </c>
      <c r="D129" s="1147">
        <f t="shared" si="0"/>
        <v>193.96721311475409</v>
      </c>
      <c r="E129" s="1147">
        <f t="shared" si="0"/>
        <v>551.5573770491801</v>
      </c>
      <c r="F129" s="1148">
        <f t="shared" si="0"/>
        <v>69.518478590309698</v>
      </c>
      <c r="G129" s="1148">
        <f t="shared" si="0"/>
        <v>4.5982496224869447</v>
      </c>
      <c r="P129" s="1133"/>
    </row>
    <row r="130" spans="1:16">
      <c r="A130" s="1149"/>
      <c r="B130" s="1149"/>
      <c r="C130" s="1149"/>
      <c r="D130" s="1149"/>
      <c r="E130" s="1149"/>
      <c r="F130" s="1149"/>
      <c r="G130" s="1149"/>
      <c r="P130" s="1133"/>
    </row>
    <row r="131" spans="1:16">
      <c r="A131" s="2201" t="s">
        <v>1689</v>
      </c>
      <c r="B131" s="2201"/>
      <c r="C131" s="2201"/>
      <c r="D131" s="2201"/>
      <c r="E131" s="2201"/>
      <c r="F131" s="2201"/>
      <c r="G131" s="2201"/>
      <c r="P131" s="1133"/>
    </row>
    <row r="132" spans="1:16">
      <c r="A132" s="2201"/>
      <c r="B132" s="2201"/>
      <c r="C132" s="2201"/>
      <c r="D132" s="2201"/>
      <c r="E132" s="2201"/>
      <c r="F132" s="2201"/>
      <c r="G132" s="2201"/>
      <c r="P132" s="1133"/>
    </row>
    <row r="133" spans="1:16">
      <c r="A133" s="1150" t="s">
        <v>1690</v>
      </c>
      <c r="B133" s="1151" t="s">
        <v>1691</v>
      </c>
      <c r="C133" s="1152" t="s">
        <v>414</v>
      </c>
      <c r="D133" s="1152" t="s">
        <v>415</v>
      </c>
      <c r="E133" s="1152" t="s">
        <v>416</v>
      </c>
      <c r="F133" s="1153" t="s">
        <v>417</v>
      </c>
      <c r="G133" s="1153" t="s">
        <v>418</v>
      </c>
      <c r="P133" s="1133"/>
    </row>
    <row r="134" spans="1:16" ht="20.100000000000001" customHeight="1">
      <c r="A134" s="1140">
        <v>41640</v>
      </c>
      <c r="B134" s="1141">
        <v>327</v>
      </c>
      <c r="C134" s="1142">
        <v>360</v>
      </c>
      <c r="D134" s="1142">
        <v>200</v>
      </c>
      <c r="E134" s="1142">
        <v>660</v>
      </c>
      <c r="F134" s="1143">
        <v>84.187534129027242</v>
      </c>
      <c r="G134" s="1143">
        <v>5.1050571944611667</v>
      </c>
      <c r="P134" s="1133"/>
    </row>
    <row r="135" spans="1:16" ht="20.100000000000001" customHeight="1">
      <c r="A135" s="1140">
        <v>41641</v>
      </c>
      <c r="B135" s="1141">
        <v>332</v>
      </c>
      <c r="C135" s="1142">
        <v>353.99999999999994</v>
      </c>
      <c r="D135" s="1142">
        <v>184</v>
      </c>
      <c r="E135" s="1142">
        <v>596.66666666666663</v>
      </c>
      <c r="F135" s="1143">
        <v>82.65855370933771</v>
      </c>
      <c r="G135" s="1143">
        <v>4.9831426851294403</v>
      </c>
      <c r="P135" s="1133"/>
    </row>
    <row r="136" spans="1:16" ht="20.100000000000001" customHeight="1">
      <c r="A136" s="1140">
        <v>41642</v>
      </c>
      <c r="B136" s="1141">
        <v>304</v>
      </c>
      <c r="C136" s="1142">
        <v>348.00000000000006</v>
      </c>
      <c r="D136" s="1142">
        <v>228</v>
      </c>
      <c r="E136" s="1142">
        <v>563.33333333333337</v>
      </c>
      <c r="F136" s="1143">
        <v>81.379202745924019</v>
      </c>
      <c r="G136" s="1143">
        <v>5.1050571944611667</v>
      </c>
      <c r="P136" s="1133"/>
    </row>
    <row r="137" spans="1:16" ht="20.100000000000001" customHeight="1">
      <c r="A137" s="1140">
        <v>41643</v>
      </c>
      <c r="B137" s="1141">
        <v>233</v>
      </c>
      <c r="C137" s="1142">
        <v>330.00000000000006</v>
      </c>
      <c r="D137" s="1142">
        <v>180</v>
      </c>
      <c r="E137" s="1142">
        <v>663.33333333333348</v>
      </c>
      <c r="F137" s="1143">
        <v>82.034480068648094</v>
      </c>
      <c r="G137" s="1143">
        <v>4.9199277543648394</v>
      </c>
      <c r="P137" s="1133"/>
    </row>
    <row r="138" spans="1:16" ht="20.100000000000001" customHeight="1">
      <c r="A138" s="1140">
        <v>41644</v>
      </c>
      <c r="B138" s="1141">
        <v>348</v>
      </c>
      <c r="C138" s="1142">
        <v>354</v>
      </c>
      <c r="D138" s="1142">
        <v>220</v>
      </c>
      <c r="E138" s="1142">
        <v>649.99999999999966</v>
      </c>
      <c r="F138" s="1143">
        <v>80.692721741165471</v>
      </c>
      <c r="G138" s="1143">
        <v>4.9379891631547252</v>
      </c>
      <c r="P138" s="1133"/>
    </row>
    <row r="139" spans="1:16" ht="20.100000000000001" customHeight="1">
      <c r="A139" s="1140">
        <v>41645</v>
      </c>
      <c r="B139" s="1141">
        <v>359</v>
      </c>
      <c r="C139" s="1142">
        <v>371.99999999999994</v>
      </c>
      <c r="D139" s="1142">
        <v>200</v>
      </c>
      <c r="E139" s="1142">
        <v>573.33333333333314</v>
      </c>
      <c r="F139" s="1143">
        <v>80.224666510648262</v>
      </c>
      <c r="G139" s="1143">
        <v>4.9650812763395535</v>
      </c>
      <c r="P139" s="1133"/>
    </row>
    <row r="140" spans="1:16" ht="20.100000000000001" customHeight="1">
      <c r="A140" s="1140">
        <v>41646</v>
      </c>
      <c r="B140" s="1141">
        <v>355</v>
      </c>
      <c r="C140" s="1142">
        <v>348</v>
      </c>
      <c r="D140" s="1142">
        <v>180</v>
      </c>
      <c r="E140" s="1142">
        <v>570.00000000000023</v>
      </c>
      <c r="F140" s="1143">
        <v>83.313831032061799</v>
      </c>
      <c r="G140" s="1143">
        <v>4.626429861529199</v>
      </c>
      <c r="P140" s="1133"/>
    </row>
    <row r="141" spans="1:16" ht="20.100000000000001" customHeight="1">
      <c r="A141" s="1140">
        <v>41647</v>
      </c>
      <c r="B141" s="1141">
        <v>350</v>
      </c>
      <c r="C141" s="1142">
        <v>383.99999999999994</v>
      </c>
      <c r="D141" s="1142">
        <v>180</v>
      </c>
      <c r="E141" s="1142">
        <v>580</v>
      </c>
      <c r="F141" s="1143">
        <v>81.472813792027466</v>
      </c>
      <c r="G141" s="1143">
        <v>5.0599036724864535</v>
      </c>
      <c r="P141" s="1133"/>
    </row>
    <row r="142" spans="1:16" ht="20.100000000000001" customHeight="1">
      <c r="A142" s="1140">
        <v>41648</v>
      </c>
      <c r="B142" s="1141">
        <v>349</v>
      </c>
      <c r="C142" s="1142">
        <v>377.99999999999994</v>
      </c>
      <c r="D142" s="1142">
        <v>196.00000000000003</v>
      </c>
      <c r="E142" s="1142">
        <v>603.33333333333303</v>
      </c>
      <c r="F142" s="1143">
        <v>82.252905842889461</v>
      </c>
      <c r="G142" s="1143">
        <v>5.0282962071041535</v>
      </c>
      <c r="P142" s="1133"/>
    </row>
    <row r="143" spans="1:16" ht="20.100000000000001" customHeight="1">
      <c r="A143" s="1140">
        <v>41649</v>
      </c>
      <c r="B143" s="1141">
        <v>350</v>
      </c>
      <c r="C143" s="1142">
        <v>383.99999999999994</v>
      </c>
      <c r="D143" s="1142">
        <v>200</v>
      </c>
      <c r="E143" s="1142">
        <v>626.66666666666708</v>
      </c>
      <c r="F143" s="1143">
        <v>85.12364459006163</v>
      </c>
      <c r="G143" s="1143">
        <v>4.9063816977724262</v>
      </c>
      <c r="P143" s="1133"/>
    </row>
    <row r="144" spans="1:16" ht="20.100000000000001" customHeight="1">
      <c r="A144" s="1140">
        <v>41650</v>
      </c>
      <c r="B144" s="1141">
        <v>341</v>
      </c>
      <c r="C144" s="1142">
        <v>366.00000000000006</v>
      </c>
      <c r="D144" s="1142">
        <v>224</v>
      </c>
      <c r="E144" s="1142">
        <v>613.33333333333337</v>
      </c>
      <c r="F144" s="1143">
        <v>86.964661830095963</v>
      </c>
      <c r="G144" s="1143">
        <v>4.9425045153521978</v>
      </c>
      <c r="P144" s="1133"/>
    </row>
    <row r="145" spans="1:16" ht="20.100000000000001" customHeight="1">
      <c r="A145" s="1140">
        <v>41651</v>
      </c>
      <c r="B145" s="1141">
        <v>325</v>
      </c>
      <c r="C145" s="1142">
        <v>342</v>
      </c>
      <c r="D145" s="1142">
        <v>228</v>
      </c>
      <c r="E145" s="1142">
        <v>586.6666666666664</v>
      </c>
      <c r="F145" s="1143">
        <v>82.408924253061869</v>
      </c>
      <c r="G145" s="1143">
        <v>4.9966887417218535</v>
      </c>
      <c r="P145" s="1133"/>
    </row>
    <row r="146" spans="1:16" ht="20.100000000000001" customHeight="1">
      <c r="A146" s="1140">
        <v>41652</v>
      </c>
      <c r="B146" s="1141">
        <v>326</v>
      </c>
      <c r="C146" s="1142">
        <v>348</v>
      </c>
      <c r="D146" s="1142">
        <v>224</v>
      </c>
      <c r="E146" s="1142">
        <v>569.99999999999977</v>
      </c>
      <c r="F146" s="1143">
        <v>81.535221156096426</v>
      </c>
      <c r="G146" s="1143">
        <v>5.0553883202889818</v>
      </c>
      <c r="P146" s="1133"/>
    </row>
    <row r="147" spans="1:16" ht="20.100000000000001" customHeight="1">
      <c r="A147" s="1140">
        <v>41653</v>
      </c>
      <c r="B147" s="1141">
        <v>340</v>
      </c>
      <c r="C147" s="1142">
        <v>336</v>
      </c>
      <c r="D147" s="1142">
        <v>204</v>
      </c>
      <c r="E147" s="1142">
        <v>610</v>
      </c>
      <c r="F147" s="1143">
        <v>81.035962243544759</v>
      </c>
      <c r="G147" s="1143">
        <v>5.0779650812763393</v>
      </c>
      <c r="P147" s="1133"/>
    </row>
    <row r="148" spans="1:16" ht="20.100000000000001" customHeight="1">
      <c r="A148" s="1140">
        <v>41654</v>
      </c>
      <c r="B148" s="1141">
        <v>339</v>
      </c>
      <c r="C148" s="1142">
        <v>354</v>
      </c>
      <c r="D148" s="1142">
        <v>200</v>
      </c>
      <c r="E148" s="1142">
        <v>600.00000000000011</v>
      </c>
      <c r="F148" s="1143">
        <v>84.499570949372028</v>
      </c>
      <c r="G148" s="1143">
        <v>4.910897049969897</v>
      </c>
      <c r="P148" s="1133"/>
    </row>
    <row r="149" spans="1:16" ht="20.100000000000001" customHeight="1">
      <c r="A149" s="1140">
        <v>41655</v>
      </c>
      <c r="B149" s="1141">
        <v>331</v>
      </c>
      <c r="C149" s="1142">
        <v>366</v>
      </c>
      <c r="D149" s="1142">
        <v>228</v>
      </c>
      <c r="E149" s="1142">
        <v>663.33333333333348</v>
      </c>
      <c r="F149" s="1143">
        <v>83.345034714096272</v>
      </c>
      <c r="G149" s="1143">
        <v>4.9154124021673695</v>
      </c>
      <c r="P149" s="1133"/>
    </row>
    <row r="150" spans="1:16" ht="20.100000000000001" customHeight="1">
      <c r="A150" s="1140">
        <v>41656</v>
      </c>
      <c r="B150" s="1141">
        <v>353</v>
      </c>
      <c r="C150" s="1142">
        <v>372</v>
      </c>
      <c r="D150" s="1142">
        <v>224</v>
      </c>
      <c r="E150" s="1142">
        <v>613.33333333333337</v>
      </c>
      <c r="F150" s="1143">
        <v>78.945315547234571</v>
      </c>
      <c r="G150" s="1143">
        <v>4.9425045153521978</v>
      </c>
      <c r="P150" s="1133"/>
    </row>
    <row r="151" spans="1:16" ht="20.100000000000001" customHeight="1">
      <c r="A151" s="1140">
        <v>41657</v>
      </c>
      <c r="B151" s="1141">
        <v>350</v>
      </c>
      <c r="C151" s="1142">
        <v>336.00000000000006</v>
      </c>
      <c r="D151" s="1142">
        <v>188</v>
      </c>
      <c r="E151" s="1142">
        <v>580</v>
      </c>
      <c r="F151" s="1143">
        <v>79.382167095717293</v>
      </c>
      <c r="G151" s="1143">
        <v>4.8747742323901253</v>
      </c>
      <c r="P151" s="1133"/>
    </row>
    <row r="152" spans="1:16" ht="20.100000000000001" customHeight="1">
      <c r="A152" s="1140">
        <v>41658</v>
      </c>
      <c r="B152" s="1141">
        <v>343</v>
      </c>
      <c r="C152" s="1142">
        <v>330</v>
      </c>
      <c r="D152" s="1142">
        <v>176</v>
      </c>
      <c r="E152" s="1142">
        <v>623.3333333333336</v>
      </c>
      <c r="F152" s="1143">
        <v>79.163741321475953</v>
      </c>
      <c r="G152" s="1143">
        <v>4.9289584587597819</v>
      </c>
      <c r="P152" s="1133"/>
    </row>
    <row r="153" spans="1:16" ht="20.100000000000001" customHeight="1">
      <c r="A153" s="1140">
        <v>41659</v>
      </c>
      <c r="B153" s="1141">
        <v>351</v>
      </c>
      <c r="C153" s="1142">
        <v>348.00000000000006</v>
      </c>
      <c r="D153" s="1142">
        <v>188</v>
      </c>
      <c r="E153" s="1142">
        <v>600.00000000000011</v>
      </c>
      <c r="F153" s="1143">
        <v>82.034480068648094</v>
      </c>
      <c r="G153" s="1143">
        <v>5.3940397350993363</v>
      </c>
      <c r="P153" s="1133"/>
    </row>
    <row r="154" spans="1:16" ht="20.100000000000001" customHeight="1">
      <c r="A154" s="1140">
        <v>41660</v>
      </c>
      <c r="B154" s="1141">
        <v>285</v>
      </c>
      <c r="C154" s="1142">
        <v>336.00000000000006</v>
      </c>
      <c r="D154" s="1142">
        <v>196.00000000000003</v>
      </c>
      <c r="E154" s="1142">
        <v>566.66666666666674</v>
      </c>
      <c r="F154" s="1143">
        <v>81.098369607613705</v>
      </c>
      <c r="G154" s="1143">
        <v>4.7393136664659838</v>
      </c>
      <c r="P154" s="1133"/>
    </row>
    <row r="155" spans="1:16" ht="20.100000000000001" customHeight="1">
      <c r="A155" s="1140">
        <v>41661</v>
      </c>
      <c r="B155" s="1141">
        <v>323</v>
      </c>
      <c r="C155" s="1142">
        <v>348</v>
      </c>
      <c r="D155" s="1142">
        <v>196</v>
      </c>
      <c r="E155" s="1142">
        <v>559.99999999999989</v>
      </c>
      <c r="F155" s="1143">
        <v>81.722443248303307</v>
      </c>
      <c r="G155" s="1143">
        <v>4.861228175797712</v>
      </c>
      <c r="P155" s="1133"/>
    </row>
    <row r="156" spans="1:16" ht="20.100000000000001" customHeight="1">
      <c r="A156" s="1140">
        <v>41662</v>
      </c>
      <c r="B156" s="1141">
        <v>315</v>
      </c>
      <c r="C156" s="1142">
        <v>293.99999999999994</v>
      </c>
      <c r="D156" s="1142">
        <v>204.00000000000003</v>
      </c>
      <c r="E156" s="1142">
        <v>613.33333333333337</v>
      </c>
      <c r="F156" s="1143">
        <v>80.630314377096497</v>
      </c>
      <c r="G156" s="1143">
        <v>4.8928356411800111</v>
      </c>
      <c r="P156" s="1133"/>
    </row>
    <row r="157" spans="1:16" ht="20.100000000000001" customHeight="1">
      <c r="A157" s="1140">
        <v>41663</v>
      </c>
      <c r="B157" s="1141">
        <v>319</v>
      </c>
      <c r="C157" s="1142">
        <v>318.00000000000006</v>
      </c>
      <c r="D157" s="1142">
        <v>208</v>
      </c>
      <c r="E157" s="1142">
        <v>653.33333333333314</v>
      </c>
      <c r="F157" s="1143">
        <v>83.376238396130759</v>
      </c>
      <c r="G157" s="1143">
        <v>4.8747742323901253</v>
      </c>
      <c r="P157" s="1133"/>
    </row>
    <row r="158" spans="1:16" ht="20.100000000000001" customHeight="1">
      <c r="A158" s="1140">
        <v>41664</v>
      </c>
      <c r="B158" s="1141">
        <v>310</v>
      </c>
      <c r="C158" s="1142">
        <v>341.99999999999994</v>
      </c>
      <c r="D158" s="1142">
        <v>220</v>
      </c>
      <c r="E158" s="1142">
        <v>586.6666666666664</v>
      </c>
      <c r="F158" s="1143">
        <v>79.070130275372506</v>
      </c>
      <c r="G158" s="1143">
        <v>4.9289584587597819</v>
      </c>
      <c r="P158" s="1133"/>
    </row>
    <row r="159" spans="1:16" ht="20.100000000000001" customHeight="1">
      <c r="A159" s="1140">
        <v>41665</v>
      </c>
      <c r="B159" s="1141">
        <v>327</v>
      </c>
      <c r="C159" s="1142">
        <v>366.00000000000006</v>
      </c>
      <c r="D159" s="1142">
        <v>227.99999999999997</v>
      </c>
      <c r="E159" s="1142">
        <v>583.33333333333292</v>
      </c>
      <c r="F159" s="1143">
        <v>78.789297137062192</v>
      </c>
      <c r="G159" s="1143">
        <v>4.8296207104154121</v>
      </c>
      <c r="P159" s="1133"/>
    </row>
    <row r="160" spans="1:16" ht="20.100000000000001" customHeight="1">
      <c r="A160" s="1140">
        <v>41666</v>
      </c>
      <c r="B160" s="1141">
        <v>332</v>
      </c>
      <c r="C160" s="1142">
        <v>377.99999999999994</v>
      </c>
      <c r="D160" s="1142">
        <v>228</v>
      </c>
      <c r="E160" s="1142">
        <v>600.00000000000011</v>
      </c>
      <c r="F160" s="1143">
        <v>82.346516888992909</v>
      </c>
      <c r="G160" s="1143">
        <v>5.0012040939193252</v>
      </c>
      <c r="P160" s="1133"/>
    </row>
    <row r="161" spans="1:16" ht="20.100000000000001" customHeight="1">
      <c r="A161" s="1140">
        <v>41667</v>
      </c>
      <c r="B161" s="1141">
        <v>312</v>
      </c>
      <c r="C161" s="1142">
        <v>353.99999999999994</v>
      </c>
      <c r="D161" s="1142">
        <v>220</v>
      </c>
      <c r="E161" s="1142">
        <v>610</v>
      </c>
      <c r="F161" s="1143">
        <v>81.098369607613705</v>
      </c>
      <c r="G161" s="1143">
        <v>4.9199277543648394</v>
      </c>
      <c r="P161" s="1133"/>
    </row>
    <row r="162" spans="1:16" ht="20.100000000000001" customHeight="1">
      <c r="A162" s="1140">
        <v>41668</v>
      </c>
      <c r="B162" s="1141">
        <v>309</v>
      </c>
      <c r="C162" s="1142">
        <v>360.00000000000006</v>
      </c>
      <c r="D162" s="1142">
        <v>200</v>
      </c>
      <c r="E162" s="1142">
        <v>610</v>
      </c>
      <c r="F162" s="1143">
        <v>78.040408768234656</v>
      </c>
      <c r="G162" s="1143">
        <v>4.9876580373269119</v>
      </c>
      <c r="P162" s="1133"/>
    </row>
    <row r="163" spans="1:16" ht="20.100000000000001" customHeight="1">
      <c r="A163" s="1140">
        <v>41669</v>
      </c>
      <c r="B163" s="1141">
        <v>303</v>
      </c>
      <c r="C163" s="1142">
        <v>330.00000000000006</v>
      </c>
      <c r="D163" s="1142">
        <v>192</v>
      </c>
      <c r="E163" s="1142">
        <v>643.33333333333326</v>
      </c>
      <c r="F163" s="1143">
        <v>79.47577814182074</v>
      </c>
      <c r="G163" s="1143">
        <v>5.0644190246839251</v>
      </c>
      <c r="P163" s="1133"/>
    </row>
    <row r="164" spans="1:16" ht="20.100000000000001" customHeight="1">
      <c r="A164" s="1140">
        <v>41670</v>
      </c>
      <c r="B164" s="1141">
        <v>308</v>
      </c>
      <c r="C164" s="1142">
        <v>336</v>
      </c>
      <c r="D164" s="1142">
        <v>180</v>
      </c>
      <c r="E164" s="1142">
        <v>520.00000000000011</v>
      </c>
      <c r="F164" s="1143">
        <v>79.756611280131054</v>
      </c>
      <c r="G164" s="1143">
        <v>4.8521974714027687</v>
      </c>
      <c r="P164" s="1133"/>
    </row>
    <row r="165" spans="1:16" ht="20.100000000000001" customHeight="1">
      <c r="A165" s="1140">
        <v>41671</v>
      </c>
      <c r="B165" s="1141">
        <v>311</v>
      </c>
      <c r="C165" s="1142">
        <v>360</v>
      </c>
      <c r="D165" s="1142">
        <v>188</v>
      </c>
      <c r="E165" s="1142">
        <v>503.33333333333343</v>
      </c>
      <c r="F165" s="1143">
        <v>79.007722911303517</v>
      </c>
      <c r="G165" s="1143">
        <v>4.847682119205297</v>
      </c>
      <c r="P165" s="1133"/>
    </row>
    <row r="166" spans="1:16" ht="20.100000000000001" customHeight="1">
      <c r="A166" s="1140">
        <v>41672</v>
      </c>
      <c r="B166" s="1141">
        <v>343</v>
      </c>
      <c r="C166" s="1142">
        <v>353.99999999999994</v>
      </c>
      <c r="D166" s="1142">
        <v>196</v>
      </c>
      <c r="E166" s="1142">
        <v>703.33333333333314</v>
      </c>
      <c r="F166" s="1143">
        <v>78.539667680786337</v>
      </c>
      <c r="G166" s="1143">
        <v>4.9425045153521978</v>
      </c>
      <c r="P166" s="1133"/>
    </row>
    <row r="167" spans="1:16" ht="20.100000000000001" customHeight="1">
      <c r="A167" s="1140">
        <v>41673</v>
      </c>
      <c r="B167" s="1141">
        <v>339</v>
      </c>
      <c r="C167" s="1142">
        <v>341.99999999999994</v>
      </c>
      <c r="D167" s="1142">
        <v>216</v>
      </c>
      <c r="E167" s="1142">
        <v>656.66666666666708</v>
      </c>
      <c r="F167" s="1143">
        <v>76.792261486855466</v>
      </c>
      <c r="G167" s="1143">
        <v>4.8521974714027687</v>
      </c>
      <c r="P167" s="1133"/>
    </row>
    <row r="168" spans="1:16" ht="20.100000000000001" customHeight="1">
      <c r="A168" s="1140">
        <v>41674</v>
      </c>
      <c r="B168" s="1141">
        <v>342</v>
      </c>
      <c r="C168" s="1142">
        <v>330</v>
      </c>
      <c r="D168" s="1142">
        <v>188</v>
      </c>
      <c r="E168" s="1142">
        <v>546.66666666666663</v>
      </c>
      <c r="F168" s="1143">
        <v>77.665964583820895</v>
      </c>
      <c r="G168" s="1143">
        <v>4.8973509933774837</v>
      </c>
      <c r="P168" s="1133"/>
    </row>
    <row r="169" spans="1:16" ht="20.100000000000001" customHeight="1">
      <c r="A169" s="1140">
        <v>41675</v>
      </c>
      <c r="B169" s="1141">
        <v>358</v>
      </c>
      <c r="C169" s="1142">
        <v>329.99999999999994</v>
      </c>
      <c r="D169" s="1142">
        <v>176.00000000000003</v>
      </c>
      <c r="E169" s="1142">
        <v>599.99999999999966</v>
      </c>
      <c r="F169" s="1143">
        <v>72.98541227864888</v>
      </c>
      <c r="G169" s="1143">
        <v>4.8928356411800111</v>
      </c>
      <c r="P169" s="1133"/>
    </row>
    <row r="170" spans="1:16" ht="20.100000000000001" customHeight="1">
      <c r="A170" s="1140">
        <v>41676</v>
      </c>
      <c r="B170" s="1141">
        <v>350</v>
      </c>
      <c r="C170" s="1142">
        <v>330</v>
      </c>
      <c r="D170" s="1142">
        <v>180</v>
      </c>
      <c r="E170" s="1142">
        <v>516.66666666666674</v>
      </c>
      <c r="F170" s="1143">
        <v>77.853186676027775</v>
      </c>
      <c r="G170" s="1143">
        <v>4.9425045153521978</v>
      </c>
      <c r="P170" s="1133"/>
    </row>
    <row r="171" spans="1:16" ht="20.100000000000001" customHeight="1">
      <c r="A171" s="1140">
        <v>41677</v>
      </c>
      <c r="B171" s="1141">
        <v>344</v>
      </c>
      <c r="C171" s="1142">
        <v>353.99999999999994</v>
      </c>
      <c r="D171" s="1142">
        <v>188</v>
      </c>
      <c r="E171" s="1142">
        <v>573.3333333333336</v>
      </c>
      <c r="F171" s="1143">
        <v>74.483189016303925</v>
      </c>
      <c r="G171" s="1143">
        <v>4.8657435279951828</v>
      </c>
      <c r="P171" s="1133"/>
    </row>
    <row r="172" spans="1:16" ht="20.100000000000001" customHeight="1">
      <c r="A172" s="1140">
        <v>41678</v>
      </c>
      <c r="B172" s="1141">
        <v>347</v>
      </c>
      <c r="C172" s="1142">
        <v>360</v>
      </c>
      <c r="D172" s="1142">
        <v>204</v>
      </c>
      <c r="E172" s="1142">
        <v>533.33333333333348</v>
      </c>
      <c r="F172" s="1143">
        <v>73.235041734924735</v>
      </c>
      <c r="G172" s="1143">
        <v>4.7709211318482838</v>
      </c>
      <c r="P172" s="1133"/>
    </row>
    <row r="173" spans="1:16" ht="20.100000000000001" customHeight="1">
      <c r="A173" s="1140">
        <v>41679</v>
      </c>
      <c r="B173" s="1141">
        <v>347</v>
      </c>
      <c r="C173" s="1142">
        <v>366</v>
      </c>
      <c r="D173" s="1142">
        <v>168</v>
      </c>
      <c r="E173" s="1142">
        <v>573.3333333333336</v>
      </c>
      <c r="F173" s="1143">
        <v>78.63327872688977</v>
      </c>
      <c r="G173" s="1143">
        <v>4.4232390126429859</v>
      </c>
      <c r="P173" s="1133"/>
    </row>
    <row r="174" spans="1:16" ht="20.100000000000001" customHeight="1">
      <c r="A174" s="1140">
        <v>41680</v>
      </c>
      <c r="B174" s="1141">
        <v>340</v>
      </c>
      <c r="C174" s="1142">
        <v>348.00000000000006</v>
      </c>
      <c r="D174" s="1142">
        <v>180</v>
      </c>
      <c r="E174" s="1142">
        <v>613.33333333333337</v>
      </c>
      <c r="F174" s="1143">
        <v>73.796708011545363</v>
      </c>
      <c r="G174" s="1143">
        <v>4.8973509933774837</v>
      </c>
      <c r="P174" s="1133"/>
    </row>
    <row r="175" spans="1:16" ht="20.100000000000001" customHeight="1">
      <c r="A175" s="1140">
        <v>41681</v>
      </c>
      <c r="B175" s="1141">
        <v>340</v>
      </c>
      <c r="C175" s="1142">
        <v>324</v>
      </c>
      <c r="D175" s="1142">
        <v>188</v>
      </c>
      <c r="E175" s="1142">
        <v>616.6666666666664</v>
      </c>
      <c r="F175" s="1143">
        <v>78.38364927061393</v>
      </c>
      <c r="G175" s="1143">
        <v>4.8883202889825403</v>
      </c>
      <c r="P175" s="1133"/>
    </row>
    <row r="176" spans="1:16" ht="20.100000000000001" customHeight="1">
      <c r="A176" s="1140">
        <v>41682</v>
      </c>
      <c r="B176" s="1141">
        <v>348</v>
      </c>
      <c r="C176" s="1142">
        <v>348</v>
      </c>
      <c r="D176" s="1142">
        <v>180</v>
      </c>
      <c r="E176" s="1142">
        <v>599.99999999999966</v>
      </c>
      <c r="F176" s="1143">
        <v>78.882908183165611</v>
      </c>
      <c r="G176" s="1143">
        <v>4.5045153521974717</v>
      </c>
      <c r="P176" s="1133"/>
    </row>
    <row r="177" spans="1:16" ht="20.100000000000001" customHeight="1">
      <c r="A177" s="1140">
        <v>41683</v>
      </c>
      <c r="B177" s="1141">
        <v>335</v>
      </c>
      <c r="C177" s="1142">
        <v>336</v>
      </c>
      <c r="D177" s="1142">
        <v>188</v>
      </c>
      <c r="E177" s="1142">
        <v>500</v>
      </c>
      <c r="F177" s="1143">
        <v>78.477260316717377</v>
      </c>
      <c r="G177" s="1143">
        <v>4.6219145093317264</v>
      </c>
      <c r="P177" s="1133"/>
    </row>
    <row r="178" spans="1:16" ht="20.100000000000001" customHeight="1">
      <c r="A178" s="1140">
        <v>41684</v>
      </c>
      <c r="B178" s="1141">
        <v>327</v>
      </c>
      <c r="C178" s="1142">
        <v>354</v>
      </c>
      <c r="D178" s="1142">
        <v>196.00000000000003</v>
      </c>
      <c r="E178" s="1142">
        <v>550</v>
      </c>
      <c r="F178" s="1143">
        <v>75.762539979717616</v>
      </c>
      <c r="G178" s="1143">
        <v>4.6399759181216131</v>
      </c>
      <c r="P178" s="1133"/>
    </row>
    <row r="179" spans="1:16" ht="20.100000000000001" customHeight="1">
      <c r="A179" s="1140">
        <v>41685</v>
      </c>
      <c r="B179" s="1141">
        <v>332</v>
      </c>
      <c r="C179" s="1142">
        <v>336.00000000000006</v>
      </c>
      <c r="D179" s="1142">
        <v>184</v>
      </c>
      <c r="E179" s="1142">
        <v>536.66666666666686</v>
      </c>
      <c r="F179" s="1143">
        <v>74.327170606131531</v>
      </c>
      <c r="G179" s="1143">
        <v>4.6535219747140273</v>
      </c>
      <c r="P179" s="1133"/>
    </row>
    <row r="180" spans="1:16" ht="20.100000000000001" customHeight="1">
      <c r="A180" s="1140">
        <v>41686</v>
      </c>
      <c r="B180" s="1141">
        <v>330</v>
      </c>
      <c r="C180" s="1142">
        <v>347.99999999999994</v>
      </c>
      <c r="D180" s="1142">
        <v>200</v>
      </c>
      <c r="E180" s="1142">
        <v>533.33333333333292</v>
      </c>
      <c r="F180" s="1143">
        <v>74.171152195959138</v>
      </c>
      <c r="G180" s="1143">
        <v>4.4774232390126434</v>
      </c>
      <c r="P180" s="1133"/>
    </row>
    <row r="181" spans="1:16" ht="20.100000000000001" customHeight="1">
      <c r="A181" s="1140">
        <v>41687</v>
      </c>
      <c r="B181" s="1141">
        <v>325</v>
      </c>
      <c r="C181" s="1142">
        <v>348.00000000000006</v>
      </c>
      <c r="D181" s="1142">
        <v>204.00000000000003</v>
      </c>
      <c r="E181" s="1142">
        <v>523.33333333333314</v>
      </c>
      <c r="F181" s="1143">
        <v>75.668928933614183</v>
      </c>
      <c r="G181" s="1143">
        <v>4.6038531005418415</v>
      </c>
      <c r="P181" s="1133"/>
    </row>
    <row r="182" spans="1:16" ht="20.100000000000001" customHeight="1">
      <c r="A182" s="1140">
        <v>41688</v>
      </c>
      <c r="B182" s="1141">
        <v>331</v>
      </c>
      <c r="C182" s="1142">
        <v>354</v>
      </c>
      <c r="D182" s="1142">
        <v>188</v>
      </c>
      <c r="E182" s="1142">
        <v>529.99999999999989</v>
      </c>
      <c r="F182" s="1143">
        <v>73.235041734924735</v>
      </c>
      <c r="G182" s="1143">
        <v>4.4458157736303425</v>
      </c>
      <c r="P182" s="1133"/>
    </row>
    <row r="183" spans="1:16" ht="20.100000000000001" customHeight="1">
      <c r="A183" s="1140">
        <v>41689</v>
      </c>
      <c r="B183" s="1141">
        <v>345</v>
      </c>
      <c r="C183" s="1142">
        <v>330</v>
      </c>
      <c r="D183" s="1142">
        <v>200</v>
      </c>
      <c r="E183" s="1142">
        <v>603.33333333333348</v>
      </c>
      <c r="F183" s="1143">
        <v>72.330134955924791</v>
      </c>
      <c r="G183" s="1143">
        <v>4.3961468994581576</v>
      </c>
      <c r="P183" s="1133"/>
    </row>
    <row r="184" spans="1:16" ht="20.100000000000001" customHeight="1">
      <c r="A184" s="1140">
        <v>41690</v>
      </c>
      <c r="B184" s="1141">
        <v>327</v>
      </c>
      <c r="C184" s="1142">
        <v>312</v>
      </c>
      <c r="D184" s="1142">
        <v>216</v>
      </c>
      <c r="E184" s="1142">
        <v>523.33333333333348</v>
      </c>
      <c r="F184" s="1143">
        <v>73.141430688821302</v>
      </c>
      <c r="G184" s="1143">
        <v>4.5812763395544849</v>
      </c>
      <c r="P184" s="1133"/>
    </row>
    <row r="185" spans="1:16" ht="20.100000000000001" customHeight="1">
      <c r="A185" s="1140">
        <v>41691</v>
      </c>
      <c r="B185" s="1141">
        <v>336</v>
      </c>
      <c r="C185" s="1142">
        <v>330</v>
      </c>
      <c r="D185" s="1142">
        <v>212</v>
      </c>
      <c r="E185" s="1142">
        <v>630</v>
      </c>
      <c r="F185" s="1143">
        <v>73.703096965441929</v>
      </c>
      <c r="G185" s="1143">
        <v>4.6580373269114981</v>
      </c>
      <c r="P185" s="1133"/>
    </row>
    <row r="186" spans="1:16" ht="20.100000000000001" customHeight="1">
      <c r="A186" s="1140">
        <v>41692</v>
      </c>
      <c r="B186" s="1141">
        <v>341</v>
      </c>
      <c r="C186" s="1142">
        <v>348</v>
      </c>
      <c r="D186" s="1142">
        <v>180</v>
      </c>
      <c r="E186" s="1142">
        <v>600.00000000000011</v>
      </c>
      <c r="F186" s="1143">
        <v>72.205320227786885</v>
      </c>
      <c r="G186" s="1143">
        <v>4.4006622516556293</v>
      </c>
      <c r="P186" s="1133"/>
    </row>
    <row r="187" spans="1:16" ht="20.100000000000001" customHeight="1">
      <c r="A187" s="1140">
        <v>41693</v>
      </c>
      <c r="B187" s="1141">
        <v>327</v>
      </c>
      <c r="C187" s="1142">
        <v>306</v>
      </c>
      <c r="D187" s="1142">
        <v>212</v>
      </c>
      <c r="E187" s="1142">
        <v>543.33333333333326</v>
      </c>
      <c r="F187" s="1143">
        <v>76.386613620407232</v>
      </c>
      <c r="G187" s="1143">
        <v>4.0394340758579164</v>
      </c>
      <c r="P187" s="1133"/>
    </row>
    <row r="188" spans="1:16" ht="20.100000000000001" customHeight="1">
      <c r="A188" s="1140">
        <v>41694</v>
      </c>
      <c r="B188" s="1141">
        <v>344</v>
      </c>
      <c r="C188" s="1142">
        <v>348</v>
      </c>
      <c r="D188" s="1142">
        <v>212</v>
      </c>
      <c r="E188" s="1142">
        <v>530.00000000000045</v>
      </c>
      <c r="F188" s="1143">
        <v>74.951244246821119</v>
      </c>
      <c r="G188" s="1143">
        <v>4.2606863335340153</v>
      </c>
      <c r="P188" s="1133"/>
    </row>
    <row r="189" spans="1:16" ht="20.100000000000001" customHeight="1">
      <c r="A189" s="1140">
        <v>41695</v>
      </c>
      <c r="B189" s="1141">
        <v>45</v>
      </c>
      <c r="C189" s="1142">
        <v>312.00000000000006</v>
      </c>
      <c r="D189" s="1142">
        <v>200</v>
      </c>
      <c r="E189" s="1142">
        <v>606.66666666666652</v>
      </c>
      <c r="F189" s="1143">
        <v>76.261798892269297</v>
      </c>
      <c r="G189" s="1143">
        <v>4.6399759181216131</v>
      </c>
      <c r="P189" s="1133"/>
    </row>
    <row r="190" spans="1:16" ht="20.100000000000001" customHeight="1">
      <c r="A190" s="1140">
        <v>41696</v>
      </c>
      <c r="B190" s="1141">
        <v>207</v>
      </c>
      <c r="C190" s="1142">
        <v>336</v>
      </c>
      <c r="D190" s="1142">
        <v>188</v>
      </c>
      <c r="E190" s="1142">
        <v>586.66666666666686</v>
      </c>
      <c r="F190" s="1143">
        <v>75.107262656993527</v>
      </c>
      <c r="G190" s="1143">
        <v>4.5903070439494282</v>
      </c>
      <c r="P190" s="1133"/>
    </row>
    <row r="191" spans="1:16" ht="20.100000000000001" customHeight="1">
      <c r="A191" s="1140">
        <v>41697</v>
      </c>
      <c r="B191" s="1141">
        <v>356</v>
      </c>
      <c r="C191" s="1142">
        <v>317.99999999999994</v>
      </c>
      <c r="D191" s="1142">
        <v>188</v>
      </c>
      <c r="E191" s="1142">
        <v>580</v>
      </c>
      <c r="F191" s="1143">
        <v>72.423746002028238</v>
      </c>
      <c r="G191" s="1143">
        <v>4.6535219747140273</v>
      </c>
      <c r="P191" s="1133"/>
    </row>
    <row r="192" spans="1:16" ht="20.100000000000001" customHeight="1">
      <c r="A192" s="1140">
        <v>41698</v>
      </c>
      <c r="B192" s="1141">
        <v>381</v>
      </c>
      <c r="C192" s="1142">
        <v>372</v>
      </c>
      <c r="D192" s="1142">
        <v>172</v>
      </c>
      <c r="E192" s="1142">
        <v>600.00000000000011</v>
      </c>
      <c r="F192" s="1143">
        <v>73.141430688821302</v>
      </c>
      <c r="G192" s="1143">
        <v>4.4909692956050575</v>
      </c>
      <c r="P192" s="1133"/>
    </row>
    <row r="193" spans="1:16" ht="20.100000000000001" customHeight="1">
      <c r="A193" s="1140">
        <v>41699</v>
      </c>
      <c r="B193" s="1141">
        <v>377</v>
      </c>
      <c r="C193" s="1142">
        <v>348</v>
      </c>
      <c r="D193" s="1142">
        <v>180</v>
      </c>
      <c r="E193" s="1142">
        <v>533.33333333333348</v>
      </c>
      <c r="F193" s="1143">
        <v>75.793743661752103</v>
      </c>
      <c r="G193" s="1143">
        <v>4.4774232390126434</v>
      </c>
      <c r="P193" s="1133"/>
    </row>
    <row r="194" spans="1:16" ht="20.100000000000001" customHeight="1">
      <c r="A194" s="1140">
        <v>41700</v>
      </c>
      <c r="B194" s="1141">
        <v>343</v>
      </c>
      <c r="C194" s="1142">
        <v>342</v>
      </c>
      <c r="D194" s="1142">
        <v>180</v>
      </c>
      <c r="E194" s="1142">
        <v>546.66666666666663</v>
      </c>
      <c r="F194" s="1143">
        <v>73.141430688821302</v>
      </c>
      <c r="G194" s="1143">
        <v>4.626429861529199</v>
      </c>
      <c r="P194" s="1133"/>
    </row>
    <row r="195" spans="1:16" ht="20.100000000000001" customHeight="1">
      <c r="A195" s="1140">
        <v>41701</v>
      </c>
      <c r="B195" s="1141">
        <v>379</v>
      </c>
      <c r="C195" s="1142">
        <v>347.99999999999994</v>
      </c>
      <c r="D195" s="1142">
        <v>188</v>
      </c>
      <c r="E195" s="1142">
        <v>553.33333333333348</v>
      </c>
      <c r="F195" s="1143">
        <v>77.665964583820895</v>
      </c>
      <c r="G195" s="1143">
        <v>4.4006622516556293</v>
      </c>
      <c r="P195" s="1133"/>
    </row>
    <row r="196" spans="1:16" ht="20.100000000000001" customHeight="1">
      <c r="A196" s="1140">
        <v>41702</v>
      </c>
      <c r="B196" s="1141">
        <v>357</v>
      </c>
      <c r="C196" s="1142">
        <v>354</v>
      </c>
      <c r="D196" s="1142">
        <v>176.00000000000003</v>
      </c>
      <c r="E196" s="1142">
        <v>483.33333333333331</v>
      </c>
      <c r="F196" s="1143">
        <v>75.481706841407288</v>
      </c>
      <c r="G196" s="1143">
        <v>4.4774232390126434</v>
      </c>
      <c r="P196" s="1133"/>
    </row>
    <row r="197" spans="1:16" ht="20.100000000000001" customHeight="1">
      <c r="A197" s="1140">
        <v>41703</v>
      </c>
      <c r="B197" s="1141">
        <v>395</v>
      </c>
      <c r="C197" s="1142">
        <v>342</v>
      </c>
      <c r="D197" s="1142">
        <v>180</v>
      </c>
      <c r="E197" s="1142">
        <v>503.33333333333343</v>
      </c>
      <c r="F197" s="1143">
        <v>68.679304157890627</v>
      </c>
      <c r="G197" s="1143">
        <v>4.4413004214328717</v>
      </c>
      <c r="P197" s="1133"/>
    </row>
    <row r="198" spans="1:16" ht="20.100000000000001" customHeight="1">
      <c r="A198" s="1140">
        <v>41704</v>
      </c>
      <c r="B198" s="1141">
        <v>331</v>
      </c>
      <c r="C198" s="1142">
        <v>311.99999999999994</v>
      </c>
      <c r="D198" s="1142">
        <v>168</v>
      </c>
      <c r="E198" s="1142">
        <v>580</v>
      </c>
      <c r="F198" s="1143">
        <v>74.545596380372885</v>
      </c>
      <c r="G198" s="1143">
        <v>4.3374473208910294</v>
      </c>
      <c r="P198" s="1133"/>
    </row>
    <row r="199" spans="1:16" ht="20.100000000000001" customHeight="1">
      <c r="A199" s="1140">
        <v>41705</v>
      </c>
      <c r="B199" s="1141">
        <v>346</v>
      </c>
      <c r="C199" s="1142">
        <v>317.99999999999994</v>
      </c>
      <c r="D199" s="1142">
        <v>168</v>
      </c>
      <c r="E199" s="1142">
        <v>520.00000000000011</v>
      </c>
      <c r="F199" s="1143">
        <v>67.150323738201109</v>
      </c>
      <c r="G199" s="1143">
        <v>4.5361228175797708</v>
      </c>
      <c r="P199" s="1133"/>
    </row>
    <row r="200" spans="1:16" ht="20.100000000000001" customHeight="1">
      <c r="A200" s="1140">
        <v>41706</v>
      </c>
      <c r="B200" s="1141">
        <v>346</v>
      </c>
      <c r="C200" s="1142">
        <v>353.99999999999994</v>
      </c>
      <c r="D200" s="1142">
        <v>184</v>
      </c>
      <c r="E200" s="1142">
        <v>560.00000000000034</v>
      </c>
      <c r="F200" s="1143">
        <v>72.205320227786885</v>
      </c>
      <c r="G200" s="1143">
        <v>4.3690547862733293</v>
      </c>
      <c r="P200" s="1133"/>
    </row>
    <row r="201" spans="1:16" ht="20.100000000000001" customHeight="1">
      <c r="A201" s="1140">
        <v>41707</v>
      </c>
      <c r="B201" s="1141">
        <v>351</v>
      </c>
      <c r="C201" s="1142">
        <v>330</v>
      </c>
      <c r="D201" s="1142">
        <v>188</v>
      </c>
      <c r="E201" s="1142">
        <v>553.33333333333348</v>
      </c>
      <c r="F201" s="1143">
        <v>66.339028005304641</v>
      </c>
      <c r="G201" s="1143">
        <v>4.3464780252859718</v>
      </c>
      <c r="P201" s="1133"/>
    </row>
    <row r="202" spans="1:16" ht="20.100000000000001" customHeight="1">
      <c r="A202" s="1140">
        <v>41708</v>
      </c>
      <c r="B202" s="1141">
        <v>346</v>
      </c>
      <c r="C202" s="1142">
        <v>330</v>
      </c>
      <c r="D202" s="1142">
        <v>184.00000000000003</v>
      </c>
      <c r="E202" s="1142">
        <v>529.99999999999989</v>
      </c>
      <c r="F202" s="1143">
        <v>68.398471019580313</v>
      </c>
      <c r="G202" s="1143">
        <v>4.3103552077062002</v>
      </c>
      <c r="P202" s="1133"/>
    </row>
    <row r="203" spans="1:16" ht="20.100000000000001" customHeight="1">
      <c r="A203" s="1140">
        <v>41709</v>
      </c>
      <c r="B203" s="1141">
        <v>340</v>
      </c>
      <c r="C203" s="1142">
        <v>353.99999999999994</v>
      </c>
      <c r="D203" s="1142">
        <v>168</v>
      </c>
      <c r="E203" s="1142">
        <v>616.6666666666664</v>
      </c>
      <c r="F203" s="1143">
        <v>67.836804742959686</v>
      </c>
      <c r="G203" s="1143">
        <v>4.4458157736303425</v>
      </c>
      <c r="P203" s="1133"/>
    </row>
    <row r="204" spans="1:16" ht="20.100000000000001" customHeight="1">
      <c r="A204" s="1140">
        <v>41710</v>
      </c>
      <c r="B204" s="1141">
        <v>327</v>
      </c>
      <c r="C204" s="1142">
        <v>324</v>
      </c>
      <c r="D204" s="1142">
        <v>172</v>
      </c>
      <c r="E204" s="1142">
        <v>566.66666666666629</v>
      </c>
      <c r="F204" s="1143">
        <v>66.120602231063273</v>
      </c>
      <c r="G204" s="1143">
        <v>4.2516556291390728</v>
      </c>
      <c r="P204" s="1133"/>
    </row>
    <row r="205" spans="1:16" ht="20.100000000000001" customHeight="1">
      <c r="A205" s="1140">
        <v>41711</v>
      </c>
      <c r="B205" s="1141">
        <v>340</v>
      </c>
      <c r="C205" s="1142">
        <v>311.99999999999994</v>
      </c>
      <c r="D205" s="1142">
        <v>172</v>
      </c>
      <c r="E205" s="1142">
        <v>576.66666666666652</v>
      </c>
      <c r="F205" s="1143">
        <v>71.830876043373124</v>
      </c>
      <c r="G205" s="1143">
        <v>4.1974714027694162</v>
      </c>
      <c r="P205" s="1133"/>
    </row>
    <row r="206" spans="1:16" ht="20.100000000000001" customHeight="1">
      <c r="A206" s="1140">
        <v>41712</v>
      </c>
      <c r="B206" s="1141">
        <v>324</v>
      </c>
      <c r="C206" s="1142">
        <v>330</v>
      </c>
      <c r="D206" s="1142">
        <v>176</v>
      </c>
      <c r="E206" s="1142">
        <v>586.6666666666664</v>
      </c>
      <c r="F206" s="1143">
        <v>72.517357048131686</v>
      </c>
      <c r="G206" s="1143">
        <v>4.4096929560505727</v>
      </c>
      <c r="P206" s="1133"/>
    </row>
    <row r="207" spans="1:16" ht="20.100000000000001" customHeight="1">
      <c r="A207" s="1140">
        <v>41713</v>
      </c>
      <c r="B207" s="1141">
        <v>330</v>
      </c>
      <c r="C207" s="1142">
        <v>360</v>
      </c>
      <c r="D207" s="1142">
        <v>184</v>
      </c>
      <c r="E207" s="1142">
        <v>613.33333333333337</v>
      </c>
      <c r="F207" s="1143">
        <v>68.086434199235526</v>
      </c>
      <c r="G207" s="1143">
        <v>4.4458157736303425</v>
      </c>
      <c r="P207" s="1133"/>
    </row>
    <row r="208" spans="1:16" ht="20.100000000000001" customHeight="1">
      <c r="A208" s="1140">
        <v>41714</v>
      </c>
      <c r="B208" s="1141">
        <v>318</v>
      </c>
      <c r="C208" s="1142">
        <v>342.00000000000006</v>
      </c>
      <c r="D208" s="1142">
        <v>168</v>
      </c>
      <c r="E208" s="1142">
        <v>533.33333333333348</v>
      </c>
      <c r="F208" s="1143">
        <v>68.398471019580313</v>
      </c>
      <c r="G208" s="1143">
        <v>4.1478025285972304</v>
      </c>
      <c r="P208" s="1133"/>
    </row>
    <row r="209" spans="1:16" ht="20.100000000000001" customHeight="1">
      <c r="A209" s="1140">
        <v>41715</v>
      </c>
      <c r="B209" s="1141">
        <v>318</v>
      </c>
      <c r="C209" s="1142">
        <v>330.00000000000006</v>
      </c>
      <c r="D209" s="1142">
        <v>168</v>
      </c>
      <c r="E209" s="1142">
        <v>563.33333333333383</v>
      </c>
      <c r="F209" s="1143">
        <v>68.492082065683775</v>
      </c>
      <c r="G209" s="1143">
        <v>4.5090307043949434</v>
      </c>
      <c r="P209" s="1133"/>
    </row>
    <row r="210" spans="1:16" ht="20.100000000000001" customHeight="1">
      <c r="A210" s="1140">
        <v>41716</v>
      </c>
      <c r="B210" s="1141">
        <v>318</v>
      </c>
      <c r="C210" s="1142">
        <v>294</v>
      </c>
      <c r="D210" s="1142">
        <v>188</v>
      </c>
      <c r="E210" s="1142">
        <v>586.66666666666686</v>
      </c>
      <c r="F210" s="1143">
        <v>67.836804742959686</v>
      </c>
      <c r="G210" s="1143">
        <v>4.7347983142685122</v>
      </c>
      <c r="P210" s="1133"/>
    </row>
    <row r="211" spans="1:16" ht="20.100000000000001" customHeight="1">
      <c r="A211" s="1140">
        <v>41717</v>
      </c>
      <c r="B211" s="1141">
        <v>343</v>
      </c>
      <c r="C211" s="1142">
        <v>317.99999999999994</v>
      </c>
      <c r="D211" s="1142">
        <v>176.00000000000003</v>
      </c>
      <c r="E211" s="1142">
        <v>463.3333333333332</v>
      </c>
      <c r="F211" s="1143">
        <v>69.802636711131925</v>
      </c>
      <c r="G211" s="1143">
        <v>4.4458157736303425</v>
      </c>
      <c r="P211" s="1133"/>
    </row>
    <row r="212" spans="1:16" ht="20.100000000000001" customHeight="1">
      <c r="A212" s="1140">
        <v>41718</v>
      </c>
      <c r="B212" s="1141">
        <v>343</v>
      </c>
      <c r="C212" s="1142">
        <v>354</v>
      </c>
      <c r="D212" s="1142">
        <v>156</v>
      </c>
      <c r="E212" s="1142">
        <v>573.33333333333314</v>
      </c>
      <c r="F212" s="1143">
        <v>68.741711521959601</v>
      </c>
      <c r="G212" s="1143">
        <v>4.4909692956050575</v>
      </c>
      <c r="P212" s="1133"/>
    </row>
    <row r="213" spans="1:16" ht="20.100000000000001" customHeight="1">
      <c r="A213" s="1140">
        <v>41719</v>
      </c>
      <c r="B213" s="1141">
        <v>319</v>
      </c>
      <c r="C213" s="1142">
        <v>318</v>
      </c>
      <c r="D213" s="1142">
        <v>176.00000000000003</v>
      </c>
      <c r="E213" s="1142">
        <v>440.00000000000017</v>
      </c>
      <c r="F213" s="1143">
        <v>68.835322568063035</v>
      </c>
      <c r="G213" s="1143">
        <v>4.6399759181216131</v>
      </c>
      <c r="P213" s="1133"/>
    </row>
    <row r="214" spans="1:16" ht="20.100000000000001" customHeight="1">
      <c r="A214" s="1140">
        <v>41720</v>
      </c>
      <c r="B214" s="1141">
        <v>186</v>
      </c>
      <c r="C214" s="1142">
        <v>323.99999999999994</v>
      </c>
      <c r="D214" s="1142">
        <v>164</v>
      </c>
      <c r="E214" s="1142">
        <v>496.66666666666657</v>
      </c>
      <c r="F214" s="1143">
        <v>68.148841563304472</v>
      </c>
      <c r="G214" s="1143">
        <v>4.3961468994581576</v>
      </c>
      <c r="P214" s="1133"/>
    </row>
    <row r="215" spans="1:16" ht="20.100000000000001" customHeight="1">
      <c r="A215" s="1140">
        <v>41721</v>
      </c>
      <c r="B215" s="1141">
        <v>334</v>
      </c>
      <c r="C215" s="1142">
        <v>354</v>
      </c>
      <c r="D215" s="1142">
        <v>180</v>
      </c>
      <c r="E215" s="1142">
        <v>569.99999999999977</v>
      </c>
      <c r="F215" s="1143">
        <v>66.526250097511507</v>
      </c>
      <c r="G215" s="1143">
        <v>4.2200481637567737</v>
      </c>
      <c r="P215" s="1133"/>
    </row>
    <row r="216" spans="1:16" ht="20.100000000000001" customHeight="1">
      <c r="A216" s="1140">
        <v>41722</v>
      </c>
      <c r="B216" s="1141">
        <v>358</v>
      </c>
      <c r="C216" s="1142">
        <v>347.99999999999994</v>
      </c>
      <c r="D216" s="1142">
        <v>184.00000000000003</v>
      </c>
      <c r="E216" s="1142">
        <v>536.66666666666686</v>
      </c>
      <c r="F216" s="1143">
        <v>67.150323738201109</v>
      </c>
      <c r="G216" s="1143">
        <v>4.2652016857314869</v>
      </c>
      <c r="P216" s="1133"/>
    </row>
    <row r="217" spans="1:16" ht="20.100000000000001" customHeight="1">
      <c r="A217" s="1140">
        <v>41723</v>
      </c>
      <c r="B217" s="1141">
        <v>342</v>
      </c>
      <c r="C217" s="1142">
        <v>336</v>
      </c>
      <c r="D217" s="1142">
        <v>176.00000000000003</v>
      </c>
      <c r="E217" s="1142">
        <v>496.66666666666657</v>
      </c>
      <c r="F217" s="1143">
        <v>66.619861143614955</v>
      </c>
      <c r="G217" s="1143">
        <v>4.373570138470801</v>
      </c>
      <c r="P217" s="1133"/>
    </row>
    <row r="218" spans="1:16" ht="20.100000000000001" customHeight="1">
      <c r="A218" s="1140">
        <v>41724</v>
      </c>
      <c r="B218" s="1141">
        <v>364</v>
      </c>
      <c r="C218" s="1142">
        <v>318.00000000000006</v>
      </c>
      <c r="D218" s="1142">
        <v>176</v>
      </c>
      <c r="E218" s="1142">
        <v>556.66666666666697</v>
      </c>
      <c r="F218" s="1143">
        <v>67.618378968718304</v>
      </c>
      <c r="G218" s="1143">
        <v>4.1523178807947021</v>
      </c>
      <c r="P218" s="1133"/>
    </row>
    <row r="219" spans="1:16" ht="20.100000000000001" customHeight="1">
      <c r="A219" s="1140">
        <v>41725</v>
      </c>
      <c r="B219" s="1141">
        <v>345</v>
      </c>
      <c r="C219" s="1142">
        <v>312</v>
      </c>
      <c r="D219" s="1142">
        <v>168</v>
      </c>
      <c r="E219" s="1142">
        <v>529.99999999999989</v>
      </c>
      <c r="F219" s="1143">
        <v>70.114673531476726</v>
      </c>
      <c r="G219" s="1143">
        <v>4.3961468994581576</v>
      </c>
      <c r="P219" s="1133"/>
    </row>
    <row r="220" spans="1:16" ht="20.100000000000001" customHeight="1">
      <c r="A220" s="1140">
        <v>41726</v>
      </c>
      <c r="B220" s="1141">
        <v>333</v>
      </c>
      <c r="C220" s="1142">
        <v>336</v>
      </c>
      <c r="D220" s="1142">
        <v>168</v>
      </c>
      <c r="E220" s="1142">
        <v>569.99999999999977</v>
      </c>
      <c r="F220" s="1143">
        <v>69.521803572821597</v>
      </c>
      <c r="G220" s="1143">
        <v>4.1839253461770021</v>
      </c>
      <c r="P220" s="1133"/>
    </row>
    <row r="221" spans="1:16" ht="20.100000000000001" customHeight="1">
      <c r="A221" s="1140">
        <v>41727</v>
      </c>
      <c r="B221" s="1141">
        <v>352</v>
      </c>
      <c r="C221" s="1142">
        <v>354</v>
      </c>
      <c r="D221" s="1142">
        <v>160</v>
      </c>
      <c r="E221" s="1142">
        <v>496.66666666666657</v>
      </c>
      <c r="F221" s="1143">
        <v>67.587175286683845</v>
      </c>
      <c r="G221" s="1143">
        <v>4.2561709813365445</v>
      </c>
      <c r="P221" s="1133"/>
    </row>
    <row r="222" spans="1:16" ht="20.100000000000001" customHeight="1">
      <c r="A222" s="1140">
        <v>41728</v>
      </c>
      <c r="B222" s="1141">
        <v>345</v>
      </c>
      <c r="C222" s="1142">
        <v>336.00000000000006</v>
      </c>
      <c r="D222" s="1142">
        <v>180</v>
      </c>
      <c r="E222" s="1142">
        <v>513.33333333333371</v>
      </c>
      <c r="F222" s="1143">
        <v>67.150323738201109</v>
      </c>
      <c r="G222" s="1143">
        <v>4.1884406983744729</v>
      </c>
      <c r="P222" s="1133"/>
    </row>
    <row r="223" spans="1:16" ht="20.100000000000001" customHeight="1">
      <c r="A223" s="1140">
        <v>41730</v>
      </c>
      <c r="B223" s="1141">
        <v>319</v>
      </c>
      <c r="C223" s="1142">
        <v>294</v>
      </c>
      <c r="D223" s="1142">
        <v>168</v>
      </c>
      <c r="E223" s="1142">
        <v>529.99999999999989</v>
      </c>
      <c r="F223" s="1143">
        <v>68.679304157890627</v>
      </c>
      <c r="G223" s="1143">
        <v>4.2200481637567737</v>
      </c>
      <c r="P223" s="1133"/>
    </row>
    <row r="224" spans="1:16" ht="20.100000000000001" customHeight="1">
      <c r="A224" s="1140">
        <v>41731</v>
      </c>
      <c r="B224" s="1141">
        <v>347</v>
      </c>
      <c r="C224" s="1142">
        <v>312</v>
      </c>
      <c r="D224" s="1142">
        <v>164.00000000000003</v>
      </c>
      <c r="E224" s="1142">
        <v>520.00000000000011</v>
      </c>
      <c r="F224" s="1143">
        <v>67.524767922614885</v>
      </c>
      <c r="G224" s="1143">
        <v>4.0710415412402172</v>
      </c>
      <c r="P224" s="1133"/>
    </row>
    <row r="225" spans="1:16" ht="20.100000000000001" customHeight="1">
      <c r="A225" s="1140">
        <v>41732</v>
      </c>
      <c r="B225" s="1141">
        <v>372</v>
      </c>
      <c r="C225" s="1142">
        <v>318</v>
      </c>
      <c r="D225" s="1142">
        <v>148</v>
      </c>
      <c r="E225" s="1142">
        <v>543.33333333333326</v>
      </c>
      <c r="F225" s="1143">
        <v>67.836804742959686</v>
      </c>
      <c r="G225" s="1143">
        <v>4.1161950632149304</v>
      </c>
      <c r="P225" s="1133"/>
    </row>
    <row r="226" spans="1:16" ht="20.100000000000001" customHeight="1">
      <c r="A226" s="1140">
        <v>41733</v>
      </c>
      <c r="B226" s="1141">
        <v>360</v>
      </c>
      <c r="C226" s="1142">
        <v>288</v>
      </c>
      <c r="D226" s="1142">
        <v>176</v>
      </c>
      <c r="E226" s="1142">
        <v>556.6666666666664</v>
      </c>
      <c r="F226" s="1143">
        <v>67.587175286683845</v>
      </c>
      <c r="G226" s="1143">
        <v>4.1748946417820587</v>
      </c>
      <c r="P226" s="1133"/>
    </row>
    <row r="227" spans="1:16" ht="20.100000000000001" customHeight="1">
      <c r="A227" s="1140">
        <v>41734</v>
      </c>
      <c r="B227" s="1141">
        <v>362</v>
      </c>
      <c r="C227" s="1142">
        <v>317.99999999999994</v>
      </c>
      <c r="D227" s="1142">
        <v>168</v>
      </c>
      <c r="E227" s="1142">
        <v>479.99999999999994</v>
      </c>
      <c r="F227" s="1143">
        <v>67.087916374132163</v>
      </c>
      <c r="G227" s="1143">
        <v>4.1929560505719454</v>
      </c>
      <c r="P227" s="1133"/>
    </row>
    <row r="228" spans="1:16" ht="20.100000000000001" customHeight="1">
      <c r="A228" s="1140">
        <v>41735</v>
      </c>
      <c r="B228" s="1141">
        <v>370</v>
      </c>
      <c r="C228" s="1142">
        <v>330</v>
      </c>
      <c r="D228" s="1142">
        <v>156</v>
      </c>
      <c r="E228" s="1142">
        <v>500</v>
      </c>
      <c r="F228" s="1143">
        <v>67.025509010063203</v>
      </c>
      <c r="G228" s="1143">
        <v>4.1252257676098738</v>
      </c>
      <c r="P228" s="1133"/>
    </row>
    <row r="229" spans="1:16" ht="20.100000000000001" customHeight="1">
      <c r="A229" s="1140">
        <v>41736</v>
      </c>
      <c r="B229" s="1141">
        <v>360</v>
      </c>
      <c r="C229" s="1142">
        <v>324</v>
      </c>
      <c r="D229" s="1142">
        <v>172</v>
      </c>
      <c r="E229" s="1142">
        <v>576.66666666666652</v>
      </c>
      <c r="F229" s="1143">
        <v>66.089398549028786</v>
      </c>
      <c r="G229" s="1143">
        <v>4.075556893437688</v>
      </c>
      <c r="P229" s="1133"/>
    </row>
    <row r="230" spans="1:16" ht="20.100000000000001" customHeight="1">
      <c r="A230" s="1140">
        <v>41737</v>
      </c>
      <c r="B230" s="1141">
        <v>312</v>
      </c>
      <c r="C230" s="1142">
        <v>306.00000000000006</v>
      </c>
      <c r="D230" s="1142">
        <v>184.00000000000003</v>
      </c>
      <c r="E230" s="1142">
        <v>449.99999999999994</v>
      </c>
      <c r="F230" s="1143">
        <v>65.590139636477105</v>
      </c>
      <c r="G230" s="1143">
        <v>4.0981336544250455</v>
      </c>
      <c r="P230" s="1133"/>
    </row>
    <row r="231" spans="1:16" ht="20.100000000000001" customHeight="1">
      <c r="A231" s="1140">
        <v>41738</v>
      </c>
      <c r="B231" s="1141">
        <v>308</v>
      </c>
      <c r="C231" s="1142">
        <v>341.99999999999994</v>
      </c>
      <c r="D231" s="1142">
        <v>144</v>
      </c>
      <c r="E231" s="1142">
        <v>536.66666666666686</v>
      </c>
      <c r="F231" s="1143">
        <v>65.652547000546065</v>
      </c>
      <c r="G231" s="1143">
        <v>4.0529801324503314</v>
      </c>
      <c r="P231" s="1133"/>
    </row>
    <row r="232" spans="1:16" ht="20.100000000000001" customHeight="1">
      <c r="A232" s="1140">
        <v>41739</v>
      </c>
      <c r="B232" s="1141">
        <v>339</v>
      </c>
      <c r="C232" s="1142">
        <v>311.99999999999994</v>
      </c>
      <c r="D232" s="1142">
        <v>156.00000000000003</v>
      </c>
      <c r="E232" s="1142">
        <v>483.33333333333377</v>
      </c>
      <c r="F232" s="1143">
        <v>66.026991184959826</v>
      </c>
      <c r="G232" s="1143">
        <v>4.075556893437688</v>
      </c>
      <c r="P232" s="1133"/>
    </row>
    <row r="233" spans="1:16" ht="20.100000000000001" customHeight="1">
      <c r="A233" s="1140">
        <v>41740</v>
      </c>
      <c r="B233" s="1141">
        <v>361</v>
      </c>
      <c r="C233" s="1142">
        <v>287.99999999999994</v>
      </c>
      <c r="D233" s="1142">
        <v>164</v>
      </c>
      <c r="E233" s="1142">
        <v>529.99999999999989</v>
      </c>
      <c r="F233" s="1143">
        <v>65.028473359856463</v>
      </c>
      <c r="G233" s="1143">
        <v>4.1116797110174597</v>
      </c>
      <c r="P233" s="1133"/>
    </row>
    <row r="234" spans="1:16" ht="20.100000000000001" customHeight="1">
      <c r="A234" s="1140">
        <v>41741</v>
      </c>
      <c r="B234" s="1141">
        <v>357</v>
      </c>
      <c r="C234" s="1142">
        <v>354</v>
      </c>
      <c r="D234" s="1142">
        <v>172</v>
      </c>
      <c r="E234" s="1142">
        <v>556.66666666666697</v>
      </c>
      <c r="F234" s="1143">
        <v>66.089398549028786</v>
      </c>
      <c r="G234" s="1143">
        <v>4.0800722456351597</v>
      </c>
      <c r="P234" s="1133"/>
    </row>
    <row r="235" spans="1:16" ht="20.100000000000001" customHeight="1">
      <c r="A235" s="1140">
        <v>41742</v>
      </c>
      <c r="B235" s="1141">
        <v>358</v>
      </c>
      <c r="C235" s="1142">
        <v>336</v>
      </c>
      <c r="D235" s="1142">
        <v>180</v>
      </c>
      <c r="E235" s="1142">
        <v>546.66666666666708</v>
      </c>
      <c r="F235" s="1143">
        <v>62.438567750994622</v>
      </c>
      <c r="G235" s="1143">
        <v>4.0304033714629739</v>
      </c>
      <c r="P235" s="1133"/>
    </row>
    <row r="236" spans="1:16" ht="20.100000000000001" customHeight="1">
      <c r="A236" s="1140">
        <v>41743</v>
      </c>
      <c r="B236" s="1141">
        <v>366</v>
      </c>
      <c r="C236" s="1142">
        <v>347.99999999999994</v>
      </c>
      <c r="D236" s="1142">
        <v>168</v>
      </c>
      <c r="E236" s="1142">
        <v>516.66666666666674</v>
      </c>
      <c r="F236" s="1143">
        <v>64.810047585615109</v>
      </c>
      <c r="G236" s="1143">
        <v>4.0529801324503314</v>
      </c>
      <c r="P236" s="1133"/>
    </row>
    <row r="237" spans="1:16" ht="20.100000000000001" customHeight="1">
      <c r="A237" s="1140">
        <v>41744</v>
      </c>
      <c r="B237" s="1141">
        <v>317</v>
      </c>
      <c r="C237" s="1142">
        <v>360</v>
      </c>
      <c r="D237" s="1142">
        <v>160</v>
      </c>
      <c r="E237" s="1142">
        <v>453.33333333333343</v>
      </c>
      <c r="F237" s="1143">
        <v>61.720883064201573</v>
      </c>
      <c r="G237" s="1143">
        <v>4.0033112582781447</v>
      </c>
      <c r="P237" s="1133"/>
    </row>
    <row r="238" spans="1:16" ht="20.100000000000001" customHeight="1">
      <c r="A238" s="1140">
        <v>41745</v>
      </c>
      <c r="B238" s="1141">
        <v>347</v>
      </c>
      <c r="C238" s="1142">
        <v>306.00000000000006</v>
      </c>
      <c r="D238" s="1142">
        <v>164.00000000000003</v>
      </c>
      <c r="E238" s="1142">
        <v>526.66666666666652</v>
      </c>
      <c r="F238" s="1143">
        <v>63.405881894063498</v>
      </c>
      <c r="G238" s="1143">
        <v>3.9446116797110173</v>
      </c>
      <c r="P238" s="1133"/>
    </row>
    <row r="239" spans="1:16" ht="20.100000000000001" customHeight="1">
      <c r="A239" s="1140">
        <v>41746</v>
      </c>
      <c r="B239" s="1141">
        <v>351</v>
      </c>
      <c r="C239" s="1142">
        <v>282</v>
      </c>
      <c r="D239" s="1142">
        <v>156</v>
      </c>
      <c r="E239" s="1142">
        <v>476.66666666666646</v>
      </c>
      <c r="F239" s="1143">
        <v>62.68819720727047</v>
      </c>
      <c r="G239" s="1143">
        <v>4.0213726670680314</v>
      </c>
      <c r="P239" s="1133"/>
    </row>
    <row r="240" spans="1:16" ht="20.100000000000001" customHeight="1">
      <c r="A240" s="1140">
        <v>41747</v>
      </c>
      <c r="B240" s="1141">
        <v>352</v>
      </c>
      <c r="C240" s="1142">
        <v>366.00000000000006</v>
      </c>
      <c r="D240" s="1142">
        <v>172</v>
      </c>
      <c r="E240" s="1142">
        <v>463.3333333333332</v>
      </c>
      <c r="F240" s="1143">
        <v>61.93930883844294</v>
      </c>
      <c r="G240" s="1143">
        <v>4.0620108368452739</v>
      </c>
      <c r="P240" s="1133"/>
    </row>
    <row r="241" spans="1:16" ht="20.100000000000001" customHeight="1">
      <c r="A241" s="1140">
        <v>41748</v>
      </c>
      <c r="B241" s="1141">
        <v>376</v>
      </c>
      <c r="C241" s="1142">
        <v>348</v>
      </c>
      <c r="D241" s="1142">
        <v>180</v>
      </c>
      <c r="E241" s="1142">
        <v>466.66666666666714</v>
      </c>
      <c r="F241" s="1143">
        <v>62.126530930649828</v>
      </c>
      <c r="G241" s="1143">
        <v>4.0033112582781447</v>
      </c>
      <c r="P241" s="1133"/>
    </row>
    <row r="242" spans="1:16" ht="20.100000000000001" customHeight="1">
      <c r="A242" s="1140">
        <v>41749</v>
      </c>
      <c r="B242" s="1141">
        <v>368</v>
      </c>
      <c r="C242" s="1142">
        <v>329.99999999999994</v>
      </c>
      <c r="D242" s="1142">
        <v>168</v>
      </c>
      <c r="E242" s="1142">
        <v>569.99999999999977</v>
      </c>
      <c r="F242" s="1143">
        <v>62.469771433029109</v>
      </c>
      <c r="G242" s="1143">
        <v>3.935580975316074</v>
      </c>
      <c r="P242" s="1133"/>
    </row>
    <row r="243" spans="1:16" ht="20.100000000000001" customHeight="1">
      <c r="A243" s="1140">
        <v>41750</v>
      </c>
      <c r="B243" s="1141">
        <v>367</v>
      </c>
      <c r="C243" s="1142">
        <v>317.99999999999994</v>
      </c>
      <c r="D243" s="1142">
        <v>160</v>
      </c>
      <c r="E243" s="1142">
        <v>549.99999999999955</v>
      </c>
      <c r="F243" s="1143">
        <v>61.720883064201573</v>
      </c>
      <c r="G243" s="1143">
        <v>4.0574954846478031</v>
      </c>
      <c r="P243" s="1133"/>
    </row>
    <row r="244" spans="1:16" ht="20.100000000000001" customHeight="1">
      <c r="A244" s="1140">
        <v>41751</v>
      </c>
      <c r="B244" s="1141">
        <v>372</v>
      </c>
      <c r="C244" s="1142">
        <v>312</v>
      </c>
      <c r="D244" s="1142">
        <v>156.00000000000003</v>
      </c>
      <c r="E244" s="1142">
        <v>559.99999999999989</v>
      </c>
      <c r="F244" s="1143">
        <v>61.689679382167107</v>
      </c>
      <c r="G244" s="1143">
        <v>3.9581577363034319</v>
      </c>
      <c r="P244" s="1133"/>
    </row>
    <row r="245" spans="1:16" ht="20.100000000000001" customHeight="1">
      <c r="A245" s="1140">
        <v>41752</v>
      </c>
      <c r="B245" s="1141">
        <v>374</v>
      </c>
      <c r="C245" s="1142">
        <v>311.99999999999994</v>
      </c>
      <c r="D245" s="1142">
        <v>172</v>
      </c>
      <c r="E245" s="1142">
        <v>556.6666666666664</v>
      </c>
      <c r="F245" s="1143">
        <v>62.656993525235968</v>
      </c>
      <c r="G245" s="1143">
        <v>3.9987959060806744</v>
      </c>
      <c r="P245" s="1133"/>
    </row>
    <row r="246" spans="1:16" ht="20.100000000000001" customHeight="1">
      <c r="A246" s="1140">
        <v>41753</v>
      </c>
      <c r="B246" s="1141">
        <v>378</v>
      </c>
      <c r="C246" s="1142">
        <v>372</v>
      </c>
      <c r="D246" s="1142">
        <v>148</v>
      </c>
      <c r="E246" s="1142">
        <v>543.33333333333326</v>
      </c>
      <c r="F246" s="1143">
        <v>61.75208674623606</v>
      </c>
      <c r="G246" s="1143">
        <v>3.9400963275135461</v>
      </c>
      <c r="P246" s="1133"/>
    </row>
    <row r="247" spans="1:16" ht="20.100000000000001" customHeight="1">
      <c r="A247" s="1140">
        <v>41754</v>
      </c>
      <c r="B247" s="1141">
        <v>378</v>
      </c>
      <c r="C247" s="1142">
        <v>300</v>
      </c>
      <c r="D247" s="1142">
        <v>180</v>
      </c>
      <c r="E247" s="1142">
        <v>486.66666666666674</v>
      </c>
      <c r="F247" s="1143">
        <v>62.032919884546381</v>
      </c>
      <c r="G247" s="1143">
        <v>4.0349187236604456</v>
      </c>
      <c r="P247" s="1133"/>
    </row>
    <row r="248" spans="1:16" ht="20.100000000000001" customHeight="1">
      <c r="A248" s="1140">
        <v>41755</v>
      </c>
      <c r="B248" s="1141">
        <v>352</v>
      </c>
      <c r="C248" s="1142">
        <v>336</v>
      </c>
      <c r="D248" s="1142">
        <v>164</v>
      </c>
      <c r="E248" s="1142">
        <v>560.00000000000034</v>
      </c>
      <c r="F248" s="1143">
        <v>61.502457289960219</v>
      </c>
      <c r="G248" s="1143">
        <v>4.0078266104756173</v>
      </c>
      <c r="P248" s="1133"/>
    </row>
    <row r="249" spans="1:16" ht="20.100000000000001" customHeight="1">
      <c r="A249" s="1140">
        <v>41756</v>
      </c>
      <c r="B249" s="1141">
        <v>331</v>
      </c>
      <c r="C249" s="1142">
        <v>306</v>
      </c>
      <c r="D249" s="1142">
        <v>164.00000000000003</v>
      </c>
      <c r="E249" s="1142">
        <v>513.33333333333371</v>
      </c>
      <c r="F249" s="1143">
        <v>61.720883064201573</v>
      </c>
      <c r="G249" s="1143">
        <v>4.0213726670680314</v>
      </c>
      <c r="P249" s="1133"/>
    </row>
    <row r="250" spans="1:16" ht="20.100000000000001" customHeight="1">
      <c r="A250" s="1140">
        <v>41757</v>
      </c>
      <c r="B250" s="1141">
        <v>340</v>
      </c>
      <c r="C250" s="1142">
        <v>299.99999999999994</v>
      </c>
      <c r="D250" s="1142">
        <v>156</v>
      </c>
      <c r="E250" s="1142">
        <v>480.0000000000004</v>
      </c>
      <c r="F250" s="1143">
        <v>61.627272018098132</v>
      </c>
      <c r="G250" s="1143">
        <v>3.9897652016857315</v>
      </c>
      <c r="P250" s="1133"/>
    </row>
    <row r="251" spans="1:16" ht="20.100000000000001" customHeight="1">
      <c r="A251" s="1140">
        <v>41758</v>
      </c>
      <c r="B251" s="1141">
        <v>410</v>
      </c>
      <c r="C251" s="1142">
        <v>282</v>
      </c>
      <c r="D251" s="1142">
        <v>148</v>
      </c>
      <c r="E251" s="1142">
        <v>550</v>
      </c>
      <c r="F251" s="1143">
        <v>62.064123566580854</v>
      </c>
      <c r="G251" s="1143">
        <v>3.9762191450933169</v>
      </c>
      <c r="P251" s="1133"/>
    </row>
    <row r="252" spans="1:16" ht="20.100000000000001" customHeight="1">
      <c r="A252" s="1140">
        <v>41759</v>
      </c>
      <c r="B252" s="1141">
        <v>352</v>
      </c>
      <c r="C252" s="1142">
        <v>312</v>
      </c>
      <c r="D252" s="1142">
        <v>160</v>
      </c>
      <c r="E252" s="1142">
        <v>459.99999999999977</v>
      </c>
      <c r="F252" s="1143">
        <v>62.157734612684287</v>
      </c>
      <c r="G252" s="1143">
        <v>3.9626730885009032</v>
      </c>
      <c r="P252" s="1133"/>
    </row>
    <row r="253" spans="1:16" ht="20.100000000000001" customHeight="1">
      <c r="A253" s="1140">
        <v>41760</v>
      </c>
      <c r="B253" s="1141">
        <v>361</v>
      </c>
      <c r="C253" s="1142">
        <v>318.00000000000006</v>
      </c>
      <c r="D253" s="1142">
        <v>168</v>
      </c>
      <c r="E253" s="1142">
        <v>510.00000000000034</v>
      </c>
      <c r="F253" s="1143">
        <v>61.564864654029172</v>
      </c>
      <c r="G253" s="1143">
        <v>3.6285370258880199</v>
      </c>
      <c r="P253" s="1133"/>
    </row>
    <row r="254" spans="1:16" ht="20.100000000000001" customHeight="1">
      <c r="A254" s="1140">
        <v>41761</v>
      </c>
      <c r="B254" s="1141">
        <v>370</v>
      </c>
      <c r="C254" s="1142">
        <v>306.00000000000006</v>
      </c>
      <c r="D254" s="1142">
        <v>164.00000000000003</v>
      </c>
      <c r="E254" s="1142">
        <v>553.33333333333348</v>
      </c>
      <c r="F254" s="1143">
        <v>62.563382479132542</v>
      </c>
      <c r="G254" s="1143">
        <v>3.7098133654425047</v>
      </c>
      <c r="P254" s="1133"/>
    </row>
    <row r="255" spans="1:16" ht="20.100000000000001" customHeight="1">
      <c r="A255" s="1140">
        <v>41762</v>
      </c>
      <c r="B255" s="1141">
        <v>331</v>
      </c>
      <c r="C255" s="1142">
        <v>299.99999999999994</v>
      </c>
      <c r="D255" s="1142">
        <v>148</v>
      </c>
      <c r="E255" s="1142">
        <v>479.99999999999994</v>
      </c>
      <c r="F255" s="1143">
        <v>61.128013105546451</v>
      </c>
      <c r="G255" s="1143">
        <v>3.7007826610475614</v>
      </c>
      <c r="P255" s="1133"/>
    </row>
    <row r="256" spans="1:16" ht="20.100000000000001" customHeight="1">
      <c r="A256" s="1140">
        <v>41763</v>
      </c>
      <c r="B256" s="1141">
        <v>329</v>
      </c>
      <c r="C256" s="1142">
        <v>294</v>
      </c>
      <c r="D256" s="1142">
        <v>140</v>
      </c>
      <c r="E256" s="1142">
        <v>493.3333333333336</v>
      </c>
      <c r="F256" s="1143">
        <v>62.656993525235968</v>
      </c>
      <c r="G256" s="1143">
        <v>3.5382299819385912</v>
      </c>
      <c r="P256" s="1133"/>
    </row>
    <row r="257" spans="1:16" ht="20.100000000000001" customHeight="1">
      <c r="A257" s="1140">
        <v>41764</v>
      </c>
      <c r="B257" s="1141">
        <v>332</v>
      </c>
      <c r="C257" s="1142">
        <v>318</v>
      </c>
      <c r="D257" s="1142">
        <v>144</v>
      </c>
      <c r="E257" s="1142">
        <v>520.00000000000011</v>
      </c>
      <c r="F257" s="1143">
        <v>61.720883064201573</v>
      </c>
      <c r="G257" s="1143">
        <v>3.6420830824804336</v>
      </c>
      <c r="P257" s="1133"/>
    </row>
    <row r="258" spans="1:16" ht="20.100000000000001" customHeight="1">
      <c r="A258" s="1140">
        <v>41765</v>
      </c>
      <c r="B258" s="1141">
        <v>339</v>
      </c>
      <c r="C258" s="1142">
        <v>318</v>
      </c>
      <c r="D258" s="1142">
        <v>143.99999999999997</v>
      </c>
      <c r="E258" s="1142">
        <v>449.99999999999994</v>
      </c>
      <c r="F258" s="1143">
        <v>61.689679382167107</v>
      </c>
      <c r="G258" s="1143">
        <v>3.6195063214930769</v>
      </c>
      <c r="P258" s="1133"/>
    </row>
    <row r="259" spans="1:16" ht="20.100000000000001" customHeight="1">
      <c r="A259" s="1140">
        <v>41766</v>
      </c>
      <c r="B259" s="1141">
        <v>338</v>
      </c>
      <c r="C259" s="1142">
        <v>282</v>
      </c>
      <c r="D259" s="1142">
        <v>156</v>
      </c>
      <c r="E259" s="1142">
        <v>456.66666666666686</v>
      </c>
      <c r="F259" s="1143">
        <v>61.720883064201573</v>
      </c>
      <c r="G259" s="1143">
        <v>3.2357013847080069</v>
      </c>
      <c r="P259" s="1133"/>
    </row>
    <row r="260" spans="1:16" ht="20.100000000000001" customHeight="1">
      <c r="A260" s="1140">
        <v>41767</v>
      </c>
      <c r="B260" s="1141">
        <v>338</v>
      </c>
      <c r="C260" s="1142">
        <v>293.99999999999994</v>
      </c>
      <c r="D260" s="1142">
        <v>164.00000000000003</v>
      </c>
      <c r="E260" s="1142">
        <v>523.33333333333314</v>
      </c>
      <c r="F260" s="1143">
        <v>60.067087916374142</v>
      </c>
      <c r="G260" s="1143">
        <v>3.5246839253461775</v>
      </c>
      <c r="P260" s="1133"/>
    </row>
    <row r="261" spans="1:16" ht="20.100000000000001" customHeight="1">
      <c r="A261" s="1140">
        <v>41768</v>
      </c>
      <c r="B261" s="1141">
        <v>304</v>
      </c>
      <c r="C261" s="1142">
        <v>312.00000000000006</v>
      </c>
      <c r="D261" s="1142">
        <v>164</v>
      </c>
      <c r="E261" s="1142">
        <v>489.99999999999972</v>
      </c>
      <c r="F261" s="1143">
        <v>60.379124736718929</v>
      </c>
      <c r="G261" s="1143">
        <v>3.4298615291992776</v>
      </c>
      <c r="P261" s="1133"/>
    </row>
    <row r="262" spans="1:16" ht="20.100000000000001" customHeight="1">
      <c r="A262" s="1140">
        <v>41769</v>
      </c>
      <c r="B262" s="1141">
        <v>340</v>
      </c>
      <c r="C262" s="1142">
        <v>311.99999999999994</v>
      </c>
      <c r="D262" s="1142">
        <v>152</v>
      </c>
      <c r="E262" s="1142">
        <v>516.66666666666674</v>
      </c>
      <c r="F262" s="1143">
        <v>60.78477260316717</v>
      </c>
      <c r="G262" s="1143">
        <v>3.6285370258880199</v>
      </c>
      <c r="P262" s="1133"/>
    </row>
    <row r="263" spans="1:16" ht="20.100000000000001" customHeight="1">
      <c r="A263" s="1140">
        <v>41770</v>
      </c>
      <c r="B263" s="1141">
        <v>332</v>
      </c>
      <c r="C263" s="1142">
        <v>323.99999999999994</v>
      </c>
      <c r="D263" s="1142">
        <v>152</v>
      </c>
      <c r="E263" s="1142">
        <v>479.99999999999994</v>
      </c>
      <c r="F263" s="1143">
        <v>61.096809423511978</v>
      </c>
      <c r="G263" s="1143">
        <v>3.3260084286574352</v>
      </c>
      <c r="P263" s="1133"/>
    </row>
    <row r="264" spans="1:16" ht="20.100000000000001" customHeight="1">
      <c r="A264" s="1140">
        <v>41771</v>
      </c>
      <c r="B264" s="1141">
        <v>322</v>
      </c>
      <c r="C264" s="1142">
        <v>324</v>
      </c>
      <c r="D264" s="1142">
        <v>148</v>
      </c>
      <c r="E264" s="1142">
        <v>573.3333333333336</v>
      </c>
      <c r="F264" s="1143">
        <v>61.252827833684385</v>
      </c>
      <c r="G264" s="1143">
        <v>3.5878988561107765</v>
      </c>
      <c r="P264" s="1133"/>
    </row>
    <row r="265" spans="1:16" ht="20.100000000000001" customHeight="1">
      <c r="A265" s="1140">
        <v>41772</v>
      </c>
      <c r="B265" s="1141">
        <v>340</v>
      </c>
      <c r="C265" s="1142">
        <v>312</v>
      </c>
      <c r="D265" s="1142">
        <v>152</v>
      </c>
      <c r="E265" s="1142">
        <v>529.99999999999989</v>
      </c>
      <c r="F265" s="1143">
        <v>60.503939464856856</v>
      </c>
      <c r="G265" s="1143">
        <v>3.3711619506321497</v>
      </c>
      <c r="P265" s="1133"/>
    </row>
    <row r="266" spans="1:16" ht="20.100000000000001" customHeight="1">
      <c r="A266" s="1140">
        <v>41773</v>
      </c>
      <c r="B266" s="1141">
        <v>340</v>
      </c>
      <c r="C266" s="1142">
        <v>306.00000000000006</v>
      </c>
      <c r="D266" s="1142">
        <v>164</v>
      </c>
      <c r="E266" s="1142">
        <v>523.33333333333348</v>
      </c>
      <c r="F266" s="1143">
        <v>59.942273188236207</v>
      </c>
      <c r="G266" s="1143">
        <v>3.6556291390728481</v>
      </c>
      <c r="P266" s="1133"/>
    </row>
    <row r="267" spans="1:16" ht="20.100000000000001" customHeight="1">
      <c r="A267" s="1140">
        <v>41774</v>
      </c>
      <c r="B267" s="1141">
        <v>289</v>
      </c>
      <c r="C267" s="1142">
        <v>306</v>
      </c>
      <c r="D267" s="1142">
        <v>164</v>
      </c>
      <c r="E267" s="1142">
        <v>510.00000000000034</v>
      </c>
      <c r="F267" s="1143">
        <v>60.285513690615488</v>
      </c>
      <c r="G267" s="1143">
        <v>3.6059602649006623</v>
      </c>
      <c r="P267" s="1133"/>
    </row>
    <row r="268" spans="1:16" ht="20.100000000000001" customHeight="1">
      <c r="A268" s="1140">
        <v>41775</v>
      </c>
      <c r="B268" s="1141">
        <v>363</v>
      </c>
      <c r="C268" s="1142">
        <v>311.99999999999994</v>
      </c>
      <c r="D268" s="1142">
        <v>152</v>
      </c>
      <c r="E268" s="1142">
        <v>500</v>
      </c>
      <c r="F268" s="1143">
        <v>60.78477260316717</v>
      </c>
      <c r="G268" s="1143">
        <v>3.556291390728477</v>
      </c>
      <c r="P268" s="1133"/>
    </row>
    <row r="269" spans="1:16" ht="20.100000000000001" customHeight="1">
      <c r="A269" s="1140">
        <v>41776</v>
      </c>
      <c r="B269" s="1141">
        <v>357</v>
      </c>
      <c r="C269" s="1142">
        <v>311.99999999999994</v>
      </c>
      <c r="D269" s="1142">
        <v>148</v>
      </c>
      <c r="E269" s="1142">
        <v>503.33333333333343</v>
      </c>
      <c r="F269" s="1143">
        <v>60.535143146891322</v>
      </c>
      <c r="G269" s="1143">
        <v>3.4388922335942205</v>
      </c>
      <c r="P269" s="1133"/>
    </row>
    <row r="270" spans="1:16" ht="20.100000000000001" customHeight="1">
      <c r="A270" s="1140">
        <v>41777</v>
      </c>
      <c r="B270" s="1141">
        <v>349</v>
      </c>
      <c r="C270" s="1142">
        <v>300</v>
      </c>
      <c r="D270" s="1142">
        <v>164</v>
      </c>
      <c r="E270" s="1142">
        <v>513.33333333333326</v>
      </c>
      <c r="F270" s="1143">
        <v>58.070052266167401</v>
      </c>
      <c r="G270" s="1143">
        <v>3.3576158940397351</v>
      </c>
      <c r="P270" s="1133"/>
    </row>
    <row r="271" spans="1:16" ht="20.100000000000001" customHeight="1">
      <c r="A271" s="1140">
        <v>41778</v>
      </c>
      <c r="B271" s="1141">
        <v>371</v>
      </c>
      <c r="C271" s="1142">
        <v>318</v>
      </c>
      <c r="D271" s="1142">
        <v>160</v>
      </c>
      <c r="E271" s="1142">
        <v>489.99999999999972</v>
      </c>
      <c r="F271" s="1143">
        <v>58.53810749668461</v>
      </c>
      <c r="G271" s="1143">
        <v>3.682721252257676</v>
      </c>
      <c r="P271" s="1133"/>
    </row>
    <row r="272" spans="1:16" ht="20.100000000000001" customHeight="1">
      <c r="A272" s="1140">
        <v>41779</v>
      </c>
      <c r="B272" s="1141">
        <v>374</v>
      </c>
      <c r="C272" s="1142">
        <v>258.00000000000006</v>
      </c>
      <c r="D272" s="1142">
        <v>156</v>
      </c>
      <c r="E272" s="1142">
        <v>473.33333333333303</v>
      </c>
      <c r="F272" s="1143">
        <v>59.380606911615573</v>
      </c>
      <c r="G272" s="1143">
        <v>3.6240216736905482</v>
      </c>
      <c r="P272" s="1133"/>
    </row>
    <row r="273" spans="1:16" ht="20.100000000000001" customHeight="1">
      <c r="A273" s="1140">
        <v>41780</v>
      </c>
      <c r="B273" s="1141">
        <v>344</v>
      </c>
      <c r="C273" s="1142">
        <v>282</v>
      </c>
      <c r="D273" s="1142">
        <v>144</v>
      </c>
      <c r="E273" s="1142">
        <v>463.3333333333332</v>
      </c>
      <c r="F273" s="1143">
        <v>60.160698962477568</v>
      </c>
      <c r="G273" s="1143">
        <v>3.1905478627332928</v>
      </c>
      <c r="P273" s="1133"/>
    </row>
    <row r="274" spans="1:16" ht="20.100000000000001" customHeight="1">
      <c r="A274" s="1140">
        <v>41781</v>
      </c>
      <c r="B274" s="1141">
        <v>324</v>
      </c>
      <c r="C274" s="1142">
        <v>282</v>
      </c>
      <c r="D274" s="1142">
        <v>144</v>
      </c>
      <c r="E274" s="1142">
        <v>446.66666666666657</v>
      </c>
      <c r="F274" s="1143">
        <v>59.224588501443165</v>
      </c>
      <c r="G274" s="1143">
        <v>3.1544250451535216</v>
      </c>
      <c r="P274" s="1133"/>
    </row>
    <row r="275" spans="1:16" ht="20.100000000000001" customHeight="1">
      <c r="A275" s="1140">
        <v>41782</v>
      </c>
      <c r="B275" s="1141">
        <v>349</v>
      </c>
      <c r="C275" s="1142">
        <v>323.99999999999994</v>
      </c>
      <c r="D275" s="1142">
        <v>152</v>
      </c>
      <c r="E275" s="1142">
        <v>466.66666666666669</v>
      </c>
      <c r="F275" s="1143">
        <v>58.850144317029404</v>
      </c>
      <c r="G275" s="1143">
        <v>3.2808549066827211</v>
      </c>
      <c r="P275" s="1133"/>
    </row>
    <row r="276" spans="1:16" ht="20.100000000000001" customHeight="1">
      <c r="A276" s="1140">
        <v>41783</v>
      </c>
      <c r="B276" s="1141">
        <v>342</v>
      </c>
      <c r="C276" s="1142">
        <v>276</v>
      </c>
      <c r="D276" s="1142">
        <v>128</v>
      </c>
      <c r="E276" s="1142">
        <v>486.66666666666674</v>
      </c>
      <c r="F276" s="1143">
        <v>58.38208908651221</v>
      </c>
      <c r="G276" s="1143">
        <v>3.4479229379891634</v>
      </c>
      <c r="P276" s="1133"/>
    </row>
    <row r="277" spans="1:16" ht="20.100000000000001" customHeight="1">
      <c r="A277" s="1140">
        <v>41784</v>
      </c>
      <c r="B277" s="1141">
        <v>320</v>
      </c>
      <c r="C277" s="1142">
        <v>306</v>
      </c>
      <c r="D277" s="1142">
        <v>132</v>
      </c>
      <c r="E277" s="1142">
        <v>506.6666666666668</v>
      </c>
      <c r="F277" s="1143">
        <v>59.848662142132767</v>
      </c>
      <c r="G277" s="1143">
        <v>3.0505719446116801</v>
      </c>
      <c r="P277" s="1133"/>
    </row>
    <row r="278" spans="1:16" ht="20.100000000000001" customHeight="1">
      <c r="A278" s="1140">
        <v>41785</v>
      </c>
      <c r="B278" s="1141">
        <v>319</v>
      </c>
      <c r="C278" s="1142">
        <v>276.00000000000006</v>
      </c>
      <c r="D278" s="1142">
        <v>136</v>
      </c>
      <c r="E278" s="1142">
        <v>476.66666666666646</v>
      </c>
      <c r="F278" s="1143">
        <v>57.976441220063968</v>
      </c>
      <c r="G278" s="1143">
        <v>3.1408789885611075</v>
      </c>
      <c r="P278" s="1133"/>
    </row>
    <row r="279" spans="1:16" ht="20.100000000000001" customHeight="1">
      <c r="A279" s="1140">
        <v>41786</v>
      </c>
      <c r="B279" s="1141">
        <v>352</v>
      </c>
      <c r="C279" s="1142">
        <v>276</v>
      </c>
      <c r="D279" s="1142">
        <v>144</v>
      </c>
      <c r="E279" s="1142">
        <v>446.66666666666697</v>
      </c>
      <c r="F279" s="1143">
        <v>58.475700132615636</v>
      </c>
      <c r="G279" s="1143">
        <v>3.1815171583383504</v>
      </c>
      <c r="P279" s="1133"/>
    </row>
    <row r="280" spans="1:16" ht="20.100000000000001" customHeight="1">
      <c r="A280" s="1140">
        <v>41787</v>
      </c>
      <c r="B280" s="1141">
        <v>323</v>
      </c>
      <c r="C280" s="1142">
        <v>288.00000000000006</v>
      </c>
      <c r="D280" s="1142">
        <v>180</v>
      </c>
      <c r="E280" s="1142">
        <v>803.33333333333383</v>
      </c>
      <c r="F280" s="1143">
        <v>70.925969264373208</v>
      </c>
      <c r="G280" s="1143">
        <v>6.7937989163154713</v>
      </c>
      <c r="P280" s="1133"/>
    </row>
    <row r="281" spans="1:16" ht="20.100000000000001" customHeight="1">
      <c r="A281" s="1140">
        <v>41788</v>
      </c>
      <c r="B281" s="1141">
        <v>358</v>
      </c>
      <c r="C281" s="1142">
        <v>245.99999999999997</v>
      </c>
      <c r="D281" s="1142">
        <v>196</v>
      </c>
      <c r="E281" s="1142">
        <v>1123.3333333333337</v>
      </c>
      <c r="F281" s="1143">
        <v>78.321241906544984</v>
      </c>
      <c r="G281" s="1143">
        <v>7.444009632751353</v>
      </c>
      <c r="P281" s="1133"/>
    </row>
    <row r="282" spans="1:16" ht="20.100000000000001" customHeight="1">
      <c r="A282" s="1140">
        <v>41789</v>
      </c>
      <c r="B282" s="1141">
        <v>370</v>
      </c>
      <c r="C282" s="1142">
        <v>258.00000000000006</v>
      </c>
      <c r="D282" s="1142">
        <v>180</v>
      </c>
      <c r="E282" s="1142">
        <v>1066.666666666667</v>
      </c>
      <c r="F282" s="1143">
        <v>75.793743661752103</v>
      </c>
      <c r="G282" s="1143">
        <v>7.2001806140878992</v>
      </c>
      <c r="P282" s="1133"/>
    </row>
    <row r="283" spans="1:16" ht="20.100000000000001" customHeight="1">
      <c r="A283" s="1140">
        <v>41790</v>
      </c>
      <c r="B283" s="1141">
        <v>363</v>
      </c>
      <c r="C283" s="1142">
        <v>258</v>
      </c>
      <c r="D283" s="1142">
        <v>200</v>
      </c>
      <c r="E283" s="1142">
        <v>1003.3333333333329</v>
      </c>
      <c r="F283" s="1143">
        <v>74.639207426476332</v>
      </c>
      <c r="G283" s="1143">
        <v>6.8299217338952429</v>
      </c>
      <c r="P283" s="1133"/>
    </row>
    <row r="284" spans="1:16" ht="20.100000000000001" customHeight="1">
      <c r="A284" s="1140">
        <v>41791</v>
      </c>
      <c r="B284" s="1141">
        <v>351</v>
      </c>
      <c r="C284" s="1142">
        <v>269.99999999999994</v>
      </c>
      <c r="D284" s="1142">
        <v>188</v>
      </c>
      <c r="E284" s="1142">
        <v>853.33333333333383</v>
      </c>
      <c r="F284" s="1143">
        <v>75.419299477338342</v>
      </c>
      <c r="G284" s="1143">
        <v>7.1866345574954833</v>
      </c>
      <c r="P284" s="1133"/>
    </row>
    <row r="285" spans="1:16" ht="20.100000000000001" customHeight="1">
      <c r="A285" s="1140">
        <v>41792</v>
      </c>
      <c r="B285" s="1141">
        <v>362</v>
      </c>
      <c r="C285" s="1142">
        <v>240</v>
      </c>
      <c r="D285" s="1142">
        <v>192</v>
      </c>
      <c r="E285" s="1142">
        <v>1060.0000000000002</v>
      </c>
      <c r="F285" s="1143">
        <v>67.462360558545925</v>
      </c>
      <c r="G285" s="1143">
        <v>6.7305839855508722</v>
      </c>
      <c r="P285" s="1133"/>
    </row>
    <row r="286" spans="1:16" ht="20.100000000000001" customHeight="1">
      <c r="A286" s="1140">
        <v>41793</v>
      </c>
      <c r="B286" s="1141">
        <v>292</v>
      </c>
      <c r="C286" s="1142">
        <v>288.00000000000006</v>
      </c>
      <c r="D286" s="1142">
        <v>220</v>
      </c>
      <c r="E286" s="1142">
        <v>753.3333333333336</v>
      </c>
      <c r="F286" s="1143">
        <v>74.327170606131531</v>
      </c>
      <c r="G286" s="1143">
        <v>6.7847682119205288</v>
      </c>
      <c r="P286" s="1133"/>
    </row>
    <row r="287" spans="1:16" ht="20.100000000000001" customHeight="1">
      <c r="A287" s="1140">
        <v>41794</v>
      </c>
      <c r="B287" s="1141">
        <v>344</v>
      </c>
      <c r="C287" s="1142">
        <v>246.00000000000003</v>
      </c>
      <c r="D287" s="1142">
        <v>204.00000000000003</v>
      </c>
      <c r="E287" s="1142">
        <v>1136.666666666667</v>
      </c>
      <c r="F287" s="1143">
        <v>75.481706841407288</v>
      </c>
      <c r="G287" s="1143">
        <v>6.7260686333534023</v>
      </c>
      <c r="P287" s="1133"/>
    </row>
    <row r="288" spans="1:16" ht="20.100000000000001" customHeight="1">
      <c r="A288" s="1140">
        <v>41795</v>
      </c>
      <c r="B288" s="1141">
        <v>353</v>
      </c>
      <c r="C288" s="1142">
        <v>215.99999999999997</v>
      </c>
      <c r="D288" s="1142">
        <v>200</v>
      </c>
      <c r="E288" s="1142">
        <v>830.00000000000034</v>
      </c>
      <c r="F288" s="1143">
        <v>75.138466339028014</v>
      </c>
      <c r="G288" s="1143">
        <v>6.4145093317278743</v>
      </c>
      <c r="P288" s="1133"/>
    </row>
    <row r="289" spans="1:16" ht="20.100000000000001" customHeight="1">
      <c r="A289" s="1140">
        <v>41796</v>
      </c>
      <c r="B289" s="1141">
        <v>342</v>
      </c>
      <c r="C289" s="1142">
        <v>252</v>
      </c>
      <c r="D289" s="1142">
        <v>204</v>
      </c>
      <c r="E289" s="1142">
        <v>929.99999999999977</v>
      </c>
      <c r="F289" s="1143">
        <v>73.141430688821302</v>
      </c>
      <c r="G289" s="1143">
        <v>5.7642986152919917</v>
      </c>
      <c r="P289" s="1133"/>
    </row>
    <row r="290" spans="1:16" ht="20.100000000000001" customHeight="1">
      <c r="A290" s="1140">
        <v>41797</v>
      </c>
      <c r="B290" s="1141">
        <v>330</v>
      </c>
      <c r="C290" s="1142">
        <v>251.99999999999994</v>
      </c>
      <c r="D290" s="1142">
        <v>196.00000000000003</v>
      </c>
      <c r="E290" s="1142">
        <v>1013.3333333333336</v>
      </c>
      <c r="F290" s="1143">
        <v>68.398471019580313</v>
      </c>
      <c r="G290" s="1143">
        <v>6.0758579169175189</v>
      </c>
      <c r="P290" s="1133"/>
    </row>
    <row r="291" spans="1:16" ht="20.100000000000001" customHeight="1">
      <c r="A291" s="1140">
        <v>41798</v>
      </c>
      <c r="B291" s="1141">
        <v>313</v>
      </c>
      <c r="C291" s="1142">
        <v>228</v>
      </c>
      <c r="D291" s="1142">
        <v>196</v>
      </c>
      <c r="E291" s="1142">
        <v>956.66666666666686</v>
      </c>
      <c r="F291" s="1143">
        <v>66.588657461580482</v>
      </c>
      <c r="G291" s="1143">
        <v>6.3648404575556885</v>
      </c>
      <c r="P291" s="1133"/>
    </row>
    <row r="292" spans="1:16" ht="20.100000000000001" customHeight="1">
      <c r="A292" s="1140">
        <v>41799</v>
      </c>
      <c r="B292" s="1141">
        <v>311</v>
      </c>
      <c r="C292" s="1142">
        <v>234.00000000000003</v>
      </c>
      <c r="D292" s="1142">
        <v>200</v>
      </c>
      <c r="E292" s="1142">
        <v>983.33333333333383</v>
      </c>
      <c r="F292" s="1143">
        <v>75.481706841407288</v>
      </c>
      <c r="G292" s="1143">
        <v>6.9653822998193853</v>
      </c>
      <c r="P292" s="1133"/>
    </row>
    <row r="293" spans="1:16" ht="20.100000000000001" customHeight="1">
      <c r="A293" s="1140">
        <v>41800</v>
      </c>
      <c r="B293" s="1141">
        <v>322</v>
      </c>
      <c r="C293" s="1142">
        <v>258</v>
      </c>
      <c r="D293" s="1142">
        <v>220</v>
      </c>
      <c r="E293" s="1142">
        <v>836.66666666666663</v>
      </c>
      <c r="F293" s="1143">
        <v>78.38364927061393</v>
      </c>
      <c r="G293" s="1143">
        <v>6.4686935580975309</v>
      </c>
      <c r="P293" s="1133"/>
    </row>
    <row r="294" spans="1:16" ht="20.100000000000001" customHeight="1">
      <c r="A294" s="1140">
        <v>41801</v>
      </c>
      <c r="B294" s="1141">
        <v>336</v>
      </c>
      <c r="C294" s="1142">
        <v>258</v>
      </c>
      <c r="D294" s="1142">
        <v>216</v>
      </c>
      <c r="E294" s="1142">
        <v>906.66666666666686</v>
      </c>
      <c r="F294" s="1143">
        <v>83.282627350027312</v>
      </c>
      <c r="G294" s="1143">
        <v>7.412402167369053</v>
      </c>
      <c r="P294" s="1133"/>
    </row>
    <row r="295" spans="1:16" ht="20.100000000000001" customHeight="1">
      <c r="A295" s="1140">
        <v>41802</v>
      </c>
      <c r="B295" s="1141">
        <v>332</v>
      </c>
      <c r="C295" s="1142">
        <v>210.00000000000006</v>
      </c>
      <c r="D295" s="1142">
        <v>224</v>
      </c>
      <c r="E295" s="1142">
        <v>1176.6666666666667</v>
      </c>
      <c r="F295" s="1143">
        <v>73.016615960683367</v>
      </c>
      <c r="G295" s="1143">
        <v>6.9653822998193853</v>
      </c>
      <c r="P295" s="1133"/>
    </row>
    <row r="296" spans="1:16" ht="20.100000000000001" customHeight="1">
      <c r="A296" s="1140">
        <v>41803</v>
      </c>
      <c r="B296" s="1141">
        <v>353</v>
      </c>
      <c r="C296" s="1142">
        <v>245.99999999999997</v>
      </c>
      <c r="D296" s="1142">
        <v>208</v>
      </c>
      <c r="E296" s="1142">
        <v>816.66666666666652</v>
      </c>
      <c r="F296" s="1143">
        <v>87.682346516888998</v>
      </c>
      <c r="G296" s="1143">
        <v>7.2724262492474407</v>
      </c>
      <c r="P296" s="1133"/>
    </row>
    <row r="297" spans="1:16" ht="20.100000000000001" customHeight="1">
      <c r="A297" s="1140">
        <v>41804</v>
      </c>
      <c r="B297" s="1141">
        <v>347</v>
      </c>
      <c r="C297" s="1142">
        <v>270</v>
      </c>
      <c r="D297" s="1142">
        <v>224</v>
      </c>
      <c r="E297" s="1142">
        <v>713.33333333333348</v>
      </c>
      <c r="F297" s="1143">
        <v>77.260316717372675</v>
      </c>
      <c r="G297" s="1143">
        <v>7.1550270921131851</v>
      </c>
      <c r="P297" s="1133"/>
    </row>
    <row r="298" spans="1:16" ht="20.100000000000001" customHeight="1">
      <c r="A298" s="1140">
        <v>41805</v>
      </c>
      <c r="B298" s="1141">
        <v>333</v>
      </c>
      <c r="C298" s="1142">
        <v>234.00000000000003</v>
      </c>
      <c r="D298" s="1142">
        <v>228</v>
      </c>
      <c r="E298" s="1142">
        <v>1196.6666666666663</v>
      </c>
      <c r="F298" s="1143">
        <v>81.379202745924019</v>
      </c>
      <c r="G298" s="1143">
        <v>7.191149909692955</v>
      </c>
      <c r="P298" s="1133"/>
    </row>
    <row r="299" spans="1:16" ht="20.100000000000001" customHeight="1">
      <c r="A299" s="1140">
        <v>41806</v>
      </c>
      <c r="B299" s="1141">
        <v>319</v>
      </c>
      <c r="C299" s="1142">
        <v>216.00000000000003</v>
      </c>
      <c r="D299" s="1142">
        <v>232</v>
      </c>
      <c r="E299" s="1142">
        <v>943.33333333333314</v>
      </c>
      <c r="F299" s="1143">
        <v>85.778921912785705</v>
      </c>
      <c r="G299" s="1143">
        <v>7.0827814569536418</v>
      </c>
      <c r="P299" s="1133"/>
    </row>
    <row r="300" spans="1:16" ht="20.100000000000001" customHeight="1">
      <c r="A300" s="1140">
        <v>41807</v>
      </c>
      <c r="B300" s="1141">
        <v>355</v>
      </c>
      <c r="C300" s="1142">
        <v>234.00000000000003</v>
      </c>
      <c r="D300" s="1142">
        <v>212</v>
      </c>
      <c r="E300" s="1142">
        <v>1256.666666666667</v>
      </c>
      <c r="F300" s="1143">
        <v>91.738825181371411</v>
      </c>
      <c r="G300" s="1143">
        <v>7.2724262492474407</v>
      </c>
      <c r="P300" s="1133"/>
    </row>
    <row r="301" spans="1:16" ht="20.100000000000001" customHeight="1">
      <c r="A301" s="1140">
        <v>41808</v>
      </c>
      <c r="B301" s="1141">
        <v>372</v>
      </c>
      <c r="C301" s="1142">
        <v>234.00000000000003</v>
      </c>
      <c r="D301" s="1142">
        <v>244</v>
      </c>
      <c r="E301" s="1142">
        <v>1010.0000000000002</v>
      </c>
      <c r="F301" s="1143">
        <v>90.397066853888774</v>
      </c>
      <c r="G301" s="1143">
        <v>7.412402167369053</v>
      </c>
      <c r="P301" s="1133"/>
    </row>
    <row r="302" spans="1:16" ht="20.100000000000001" customHeight="1">
      <c r="A302" s="1140">
        <v>41809</v>
      </c>
      <c r="B302" s="1141">
        <v>344</v>
      </c>
      <c r="C302" s="1142">
        <v>204.00000000000003</v>
      </c>
      <c r="D302" s="1142">
        <v>212</v>
      </c>
      <c r="E302" s="1142">
        <v>856.66666666666674</v>
      </c>
      <c r="F302" s="1143">
        <v>80.162259146579302</v>
      </c>
      <c r="G302" s="1143">
        <v>6.4280553883202876</v>
      </c>
      <c r="P302" s="1133"/>
    </row>
    <row r="303" spans="1:16" ht="20.100000000000001" customHeight="1">
      <c r="A303" s="1140">
        <v>41810</v>
      </c>
      <c r="B303" s="1141">
        <v>349</v>
      </c>
      <c r="C303" s="1142">
        <v>252</v>
      </c>
      <c r="D303" s="1142">
        <v>200</v>
      </c>
      <c r="E303" s="1142">
        <v>756.6666666666672</v>
      </c>
      <c r="F303" s="1143">
        <v>68.086434199235526</v>
      </c>
      <c r="G303" s="1143">
        <v>5.6107766405779644</v>
      </c>
      <c r="P303" s="1133"/>
    </row>
    <row r="304" spans="1:16" ht="20.100000000000001" customHeight="1">
      <c r="A304" s="1140">
        <v>41811</v>
      </c>
      <c r="B304" s="1141">
        <v>349</v>
      </c>
      <c r="C304" s="1142">
        <v>197.99999999999994</v>
      </c>
      <c r="D304" s="1142">
        <v>188</v>
      </c>
      <c r="E304" s="1142">
        <v>803.33333333333326</v>
      </c>
      <c r="F304" s="1143">
        <v>69.989858803338805</v>
      </c>
      <c r="G304" s="1143">
        <v>6.0532811559301622</v>
      </c>
      <c r="P304" s="1133"/>
    </row>
    <row r="305" spans="1:16" ht="20.100000000000001" customHeight="1">
      <c r="A305" s="1140">
        <v>41812</v>
      </c>
      <c r="B305" s="1141">
        <v>355</v>
      </c>
      <c r="C305" s="1142">
        <v>192</v>
      </c>
      <c r="D305" s="1142">
        <v>184</v>
      </c>
      <c r="E305" s="1142">
        <v>563.33333333333337</v>
      </c>
      <c r="F305" s="1143">
        <v>73.203838052890248</v>
      </c>
      <c r="G305" s="1143">
        <v>5.6378687537627927</v>
      </c>
      <c r="P305" s="1133"/>
    </row>
    <row r="306" spans="1:16" ht="20.100000000000001" customHeight="1">
      <c r="A306" s="1140">
        <v>41813</v>
      </c>
      <c r="B306" s="1141">
        <v>325</v>
      </c>
      <c r="C306" s="1142">
        <v>204.00000000000003</v>
      </c>
      <c r="D306" s="1142">
        <v>180</v>
      </c>
      <c r="E306" s="1142">
        <v>420.00000000000006</v>
      </c>
      <c r="F306" s="1143">
        <v>78.321241906544984</v>
      </c>
      <c r="G306" s="1143">
        <v>6.875075255869957</v>
      </c>
      <c r="P306" s="1133"/>
    </row>
    <row r="307" spans="1:16" ht="20.100000000000001" customHeight="1">
      <c r="A307" s="1140">
        <v>41814</v>
      </c>
      <c r="B307" s="1141">
        <v>345</v>
      </c>
      <c r="C307" s="1142">
        <v>228</v>
      </c>
      <c r="D307" s="1142">
        <v>184</v>
      </c>
      <c r="E307" s="1142">
        <v>556.66666666666697</v>
      </c>
      <c r="F307" s="1143">
        <v>75.544114205476248</v>
      </c>
      <c r="G307" s="1143">
        <v>6.4551475015051167</v>
      </c>
      <c r="P307" s="1133"/>
    </row>
    <row r="308" spans="1:16" ht="20.100000000000001" customHeight="1">
      <c r="A308" s="1140">
        <v>41815</v>
      </c>
      <c r="B308" s="1141">
        <v>355</v>
      </c>
      <c r="C308" s="1142">
        <v>192</v>
      </c>
      <c r="D308" s="1142">
        <v>176</v>
      </c>
      <c r="E308" s="1142">
        <v>360.00000000000017</v>
      </c>
      <c r="F308" s="1143">
        <v>68.180045245338945</v>
      </c>
      <c r="G308" s="1143">
        <v>5.8229981938591209</v>
      </c>
      <c r="P308" s="1133"/>
    </row>
    <row r="309" spans="1:16" ht="20.100000000000001" customHeight="1">
      <c r="A309" s="1140">
        <v>41816</v>
      </c>
      <c r="B309" s="1141">
        <v>347</v>
      </c>
      <c r="C309" s="1142">
        <v>197.99999999999994</v>
      </c>
      <c r="D309" s="1142">
        <v>168</v>
      </c>
      <c r="E309" s="1142">
        <v>363.33333333333354</v>
      </c>
      <c r="F309" s="1143">
        <v>60.722365239098217</v>
      </c>
      <c r="G309" s="1143">
        <v>4.7799518362432272</v>
      </c>
      <c r="P309" s="1133"/>
    </row>
    <row r="310" spans="1:16" ht="20.100000000000001" customHeight="1">
      <c r="A310" s="1140">
        <v>41817</v>
      </c>
      <c r="B310" s="1141">
        <v>346</v>
      </c>
      <c r="C310" s="1142">
        <v>204.00000000000003</v>
      </c>
      <c r="D310" s="1142">
        <v>144</v>
      </c>
      <c r="E310" s="1142">
        <v>299.99999999999983</v>
      </c>
      <c r="F310" s="1143">
        <v>61.034402059443003</v>
      </c>
      <c r="G310" s="1143">
        <v>4.6173991571342565</v>
      </c>
      <c r="P310" s="1133"/>
    </row>
    <row r="311" spans="1:16" ht="20.100000000000001" customHeight="1">
      <c r="A311" s="1140">
        <v>41818</v>
      </c>
      <c r="B311" s="1141">
        <v>321</v>
      </c>
      <c r="C311" s="1142">
        <v>222.00000000000006</v>
      </c>
      <c r="D311" s="1142">
        <v>148</v>
      </c>
      <c r="E311" s="1142">
        <v>343.33333333333348</v>
      </c>
      <c r="F311" s="1143">
        <v>63.655511350339346</v>
      </c>
      <c r="G311" s="1143">
        <v>4.6941601444912697</v>
      </c>
      <c r="P311" s="1133"/>
    </row>
    <row r="312" spans="1:16" ht="20.100000000000001" customHeight="1">
      <c r="A312" s="1140">
        <v>41819</v>
      </c>
      <c r="B312" s="1141">
        <v>321</v>
      </c>
      <c r="C312" s="1142">
        <v>209.99999999999994</v>
      </c>
      <c r="D312" s="1142">
        <v>160</v>
      </c>
      <c r="E312" s="1142">
        <v>533.33333333333348</v>
      </c>
      <c r="F312" s="1143">
        <v>59.630236367891406</v>
      </c>
      <c r="G312" s="1143">
        <v>5.082480433473811</v>
      </c>
      <c r="P312" s="1133"/>
    </row>
    <row r="313" spans="1:16" ht="20.100000000000001" customHeight="1">
      <c r="A313" s="1140">
        <v>41820</v>
      </c>
      <c r="B313" s="1141">
        <v>306</v>
      </c>
      <c r="C313" s="1142">
        <v>222</v>
      </c>
      <c r="D313" s="1142">
        <v>148</v>
      </c>
      <c r="E313" s="1142">
        <v>503.33333333333343</v>
      </c>
      <c r="F313" s="1143">
        <v>54.793665652546999</v>
      </c>
      <c r="G313" s="1143">
        <v>4.6219145093317264</v>
      </c>
      <c r="P313" s="1133"/>
    </row>
    <row r="314" spans="1:16" ht="20.100000000000001" customHeight="1">
      <c r="A314" s="1144">
        <v>41821</v>
      </c>
      <c r="B314" s="1141">
        <v>335</v>
      </c>
      <c r="C314" s="1142">
        <v>270</v>
      </c>
      <c r="D314" s="1142">
        <v>156</v>
      </c>
      <c r="E314" s="1142">
        <v>510.00000000000034</v>
      </c>
      <c r="F314" s="1143">
        <v>59.786254778063807</v>
      </c>
      <c r="G314" s="1143">
        <v>4.9921733895243818</v>
      </c>
      <c r="P314" s="1133"/>
    </row>
    <row r="315" spans="1:16" ht="20.100000000000001" customHeight="1">
      <c r="A315" s="1144">
        <v>41822</v>
      </c>
      <c r="B315" s="1141">
        <v>329</v>
      </c>
      <c r="C315" s="1142">
        <v>258</v>
      </c>
      <c r="D315" s="1142">
        <v>132</v>
      </c>
      <c r="E315" s="1142">
        <v>463.3333333333332</v>
      </c>
      <c r="F315" s="1143">
        <v>57.414774943443327</v>
      </c>
      <c r="G315" s="1143">
        <v>4.9199277543648394</v>
      </c>
      <c r="P315" s="1133"/>
    </row>
    <row r="316" spans="1:16" ht="20.100000000000001" customHeight="1">
      <c r="A316" s="1144">
        <v>41823</v>
      </c>
      <c r="B316" s="1141">
        <v>361</v>
      </c>
      <c r="C316" s="1142">
        <v>204.00000000000003</v>
      </c>
      <c r="D316" s="1142">
        <v>104</v>
      </c>
      <c r="E316" s="1142">
        <v>150.00000000000014</v>
      </c>
      <c r="F316" s="1143">
        <v>48.209688743271705</v>
      </c>
      <c r="G316" s="1143">
        <v>4.6219145093317264</v>
      </c>
      <c r="P316" s="1133"/>
    </row>
    <row r="317" spans="1:16" ht="20.100000000000001" customHeight="1">
      <c r="A317" s="1144">
        <v>41824</v>
      </c>
      <c r="B317" s="1141">
        <v>348</v>
      </c>
      <c r="C317" s="1142">
        <v>216.00000000000003</v>
      </c>
      <c r="D317" s="1142">
        <v>116</v>
      </c>
      <c r="E317" s="1142">
        <v>180.00000000000009</v>
      </c>
      <c r="F317" s="1143">
        <v>47.928855604961385</v>
      </c>
      <c r="G317" s="1143">
        <v>4.784467188440698</v>
      </c>
      <c r="P317" s="1133"/>
    </row>
    <row r="318" spans="1:16" ht="20.100000000000001" customHeight="1">
      <c r="A318" s="1144">
        <v>41825</v>
      </c>
      <c r="B318" s="1141">
        <v>359</v>
      </c>
      <c r="C318" s="1142">
        <v>210</v>
      </c>
      <c r="D318" s="1142">
        <v>112</v>
      </c>
      <c r="E318" s="1142">
        <v>176.66666666666663</v>
      </c>
      <c r="F318" s="1143">
        <v>47.710429830720024</v>
      </c>
      <c r="G318" s="1143">
        <v>4.7347983142685122</v>
      </c>
      <c r="P318" s="1133"/>
    </row>
    <row r="319" spans="1:16" ht="20.100000000000001" customHeight="1">
      <c r="A319" s="1144">
        <v>41826</v>
      </c>
      <c r="B319" s="1141">
        <v>354</v>
      </c>
      <c r="C319" s="1142">
        <v>233.99999999999997</v>
      </c>
      <c r="D319" s="1142">
        <v>108</v>
      </c>
      <c r="E319" s="1142">
        <v>150.00000000000014</v>
      </c>
      <c r="F319" s="1143">
        <v>47.585615102582103</v>
      </c>
      <c r="G319" s="1143">
        <v>4.676098735701383</v>
      </c>
      <c r="P319" s="1133"/>
    </row>
    <row r="320" spans="1:16" ht="20.100000000000001" customHeight="1">
      <c r="A320" s="1144">
        <v>41827</v>
      </c>
      <c r="B320" s="1141">
        <v>370</v>
      </c>
      <c r="C320" s="1142">
        <v>222</v>
      </c>
      <c r="D320" s="1142">
        <v>104</v>
      </c>
      <c r="E320" s="1142">
        <v>153.33333333333357</v>
      </c>
      <c r="F320" s="1143">
        <v>46.399875185271867</v>
      </c>
      <c r="G320" s="1143">
        <v>4.6219145093317264</v>
      </c>
      <c r="P320" s="1133"/>
    </row>
    <row r="321" spans="1:16" ht="20.100000000000001" customHeight="1">
      <c r="A321" s="1144">
        <v>41828</v>
      </c>
      <c r="B321" s="1141">
        <v>351</v>
      </c>
      <c r="C321" s="1142">
        <v>221.99999999999994</v>
      </c>
      <c r="D321" s="1142">
        <v>112</v>
      </c>
      <c r="E321" s="1142">
        <v>146.66666666666671</v>
      </c>
      <c r="F321" s="1143">
        <v>39.815898275996567</v>
      </c>
      <c r="G321" s="1143">
        <v>4.8205900060204687</v>
      </c>
      <c r="P321" s="1133"/>
    </row>
    <row r="322" spans="1:16" ht="20.100000000000001" customHeight="1">
      <c r="A322" s="1144">
        <v>41829</v>
      </c>
      <c r="B322" s="1141">
        <v>27</v>
      </c>
      <c r="C322" s="1142">
        <v>204.00000000000003</v>
      </c>
      <c r="D322" s="1142">
        <v>108</v>
      </c>
      <c r="E322" s="1142">
        <v>150.00000000000014</v>
      </c>
      <c r="F322" s="1143">
        <v>40.408768234651689</v>
      </c>
      <c r="G322" s="1143">
        <v>4.7799518362432272</v>
      </c>
      <c r="P322" s="1133"/>
    </row>
    <row r="323" spans="1:16" ht="20.100000000000001" customHeight="1">
      <c r="A323" s="1144">
        <v>41830</v>
      </c>
      <c r="B323" s="1141">
        <v>225</v>
      </c>
      <c r="C323" s="1142">
        <v>258</v>
      </c>
      <c r="D323" s="1142">
        <v>104</v>
      </c>
      <c r="E323" s="1142">
        <v>266.66666666666646</v>
      </c>
      <c r="F323" s="1143">
        <v>32.951088228410953</v>
      </c>
      <c r="G323" s="1143">
        <v>0.24653822998193858</v>
      </c>
      <c r="P323" s="1133"/>
    </row>
    <row r="324" spans="1:16" ht="20.100000000000001" customHeight="1">
      <c r="A324" s="1144">
        <v>41831</v>
      </c>
      <c r="B324" s="1141">
        <v>349</v>
      </c>
      <c r="C324" s="1142">
        <v>240</v>
      </c>
      <c r="D324" s="1142">
        <v>104</v>
      </c>
      <c r="E324" s="1142">
        <v>190.00000000000037</v>
      </c>
      <c r="F324" s="1143">
        <v>36.040252749824482</v>
      </c>
      <c r="G324" s="1143">
        <v>2.707405177603853</v>
      </c>
      <c r="P324" s="1133"/>
    </row>
    <row r="325" spans="1:16" ht="20.100000000000001" customHeight="1">
      <c r="A325" s="1144">
        <v>41832</v>
      </c>
      <c r="B325" s="1141">
        <v>352</v>
      </c>
      <c r="C325" s="1142">
        <v>233.99999999999997</v>
      </c>
      <c r="D325" s="1142">
        <v>120</v>
      </c>
      <c r="E325" s="1142">
        <v>113.33333333333336</v>
      </c>
      <c r="F325" s="1143">
        <v>33.918402371479836</v>
      </c>
      <c r="G325" s="1143">
        <v>4.2697170379289586</v>
      </c>
      <c r="P325" s="1133"/>
    </row>
    <row r="326" spans="1:16" ht="20.100000000000001" customHeight="1">
      <c r="A326" s="1144">
        <v>41833</v>
      </c>
      <c r="B326" s="1141">
        <v>345</v>
      </c>
      <c r="C326" s="1142">
        <v>215.99999999999997</v>
      </c>
      <c r="D326" s="1142">
        <v>112</v>
      </c>
      <c r="E326" s="1142">
        <v>153.33333333333309</v>
      </c>
      <c r="F326" s="1143">
        <v>34.948123878617679</v>
      </c>
      <c r="G326" s="1143">
        <v>3.0912101143889226</v>
      </c>
      <c r="P326" s="1133"/>
    </row>
    <row r="327" spans="1:16" ht="20.100000000000001" customHeight="1">
      <c r="A327" s="1144">
        <v>41834</v>
      </c>
      <c r="B327" s="1141">
        <v>387</v>
      </c>
      <c r="C327" s="1142">
        <v>215.99999999999997</v>
      </c>
      <c r="D327" s="1142">
        <v>100</v>
      </c>
      <c r="E327" s="1142">
        <v>196.66666666666677</v>
      </c>
      <c r="F327" s="1143">
        <v>33.855995007410868</v>
      </c>
      <c r="G327" s="1143">
        <v>2.7028898254063818</v>
      </c>
      <c r="P327" s="1133"/>
    </row>
    <row r="328" spans="1:16" ht="20.100000000000001" customHeight="1">
      <c r="A328" s="1144">
        <v>41835</v>
      </c>
      <c r="B328" s="1141">
        <v>396</v>
      </c>
      <c r="C328" s="1142">
        <v>233.99999999999997</v>
      </c>
      <c r="D328" s="1142">
        <v>112</v>
      </c>
      <c r="E328" s="1142">
        <v>189.99999999999989</v>
      </c>
      <c r="F328" s="1143">
        <v>33.294328730790227</v>
      </c>
      <c r="G328" s="1143">
        <v>3.0912101143889226</v>
      </c>
      <c r="P328" s="1133"/>
    </row>
    <row r="329" spans="1:16" ht="20.100000000000001" customHeight="1">
      <c r="A329" s="1144">
        <v>41836</v>
      </c>
      <c r="B329" s="1141">
        <v>359</v>
      </c>
      <c r="C329" s="1142">
        <v>245.99999999999997</v>
      </c>
      <c r="D329" s="1142">
        <v>103.99999999999999</v>
      </c>
      <c r="E329" s="1142">
        <v>196.66666666666629</v>
      </c>
      <c r="F329" s="1143">
        <v>34.511272330134958</v>
      </c>
      <c r="G329" s="1143">
        <v>3.2221553281155924</v>
      </c>
      <c r="P329" s="1133"/>
    </row>
    <row r="330" spans="1:16" ht="20.100000000000001" customHeight="1">
      <c r="A330" s="1144">
        <v>41837</v>
      </c>
      <c r="B330" s="1141">
        <v>337</v>
      </c>
      <c r="C330" s="1142">
        <v>240</v>
      </c>
      <c r="D330" s="1142">
        <v>112</v>
      </c>
      <c r="E330" s="1142">
        <v>183.33333333333351</v>
      </c>
      <c r="F330" s="1143">
        <v>32.014977767376543</v>
      </c>
      <c r="G330" s="1143">
        <v>2.3055388320288981</v>
      </c>
      <c r="P330" s="1133"/>
    </row>
    <row r="331" spans="1:16" ht="20.100000000000001" customHeight="1">
      <c r="A331" s="1144">
        <v>41838</v>
      </c>
      <c r="B331" s="1141">
        <v>363</v>
      </c>
      <c r="C331" s="1142">
        <v>234.00000000000003</v>
      </c>
      <c r="D331" s="1142">
        <v>116</v>
      </c>
      <c r="E331" s="1142">
        <v>163.33333333333294</v>
      </c>
      <c r="F331" s="1143">
        <v>33.512754505031602</v>
      </c>
      <c r="G331" s="1143">
        <v>2.5358217940999404</v>
      </c>
      <c r="P331" s="1133"/>
    </row>
    <row r="332" spans="1:16" ht="20.100000000000001" customHeight="1">
      <c r="A332" s="1144">
        <v>41839</v>
      </c>
      <c r="B332" s="1141">
        <v>338</v>
      </c>
      <c r="C332" s="1142">
        <v>203.99999999999997</v>
      </c>
      <c r="D332" s="1142">
        <v>116</v>
      </c>
      <c r="E332" s="1142">
        <v>169.9999999999998</v>
      </c>
      <c r="F332" s="1143">
        <v>34.074420781652236</v>
      </c>
      <c r="G332" s="1143">
        <v>2.6351595424443106</v>
      </c>
      <c r="P332" s="1133"/>
    </row>
    <row r="333" spans="1:16" ht="20.100000000000001" customHeight="1">
      <c r="A333" s="1144">
        <v>41840</v>
      </c>
      <c r="B333" s="1141">
        <v>366</v>
      </c>
      <c r="C333" s="1142">
        <v>204.00000000000003</v>
      </c>
      <c r="D333" s="1142">
        <v>124</v>
      </c>
      <c r="E333" s="1142">
        <v>150.00000000000014</v>
      </c>
      <c r="F333" s="1143">
        <v>34.448864966065997</v>
      </c>
      <c r="G333" s="1143">
        <v>2.3777844671884409</v>
      </c>
      <c r="P333" s="1133"/>
    </row>
    <row r="334" spans="1:16" ht="20.100000000000001" customHeight="1">
      <c r="A334" s="1144">
        <v>41841</v>
      </c>
      <c r="B334" s="1141">
        <v>356</v>
      </c>
      <c r="C334" s="1142">
        <v>227.99999999999994</v>
      </c>
      <c r="D334" s="1142">
        <v>104</v>
      </c>
      <c r="E334" s="1142">
        <v>156.666666666667</v>
      </c>
      <c r="F334" s="1143">
        <v>31.92136672127311</v>
      </c>
      <c r="G334" s="1143">
        <v>3.0776640577965084</v>
      </c>
      <c r="P334" s="1133"/>
    </row>
    <row r="335" spans="1:16" ht="20.100000000000001" customHeight="1">
      <c r="A335" s="1144">
        <v>41842</v>
      </c>
      <c r="B335" s="1141">
        <v>361</v>
      </c>
      <c r="C335" s="1142">
        <v>228.00000000000006</v>
      </c>
      <c r="D335" s="1142">
        <v>92</v>
      </c>
      <c r="E335" s="1142">
        <v>186.66666666666649</v>
      </c>
      <c r="F335" s="1143">
        <v>34.823309150479759</v>
      </c>
      <c r="G335" s="1143">
        <v>3.3666465984346776</v>
      </c>
      <c r="P335" s="1133"/>
    </row>
    <row r="336" spans="1:16" ht="20.100000000000001" customHeight="1">
      <c r="A336" s="1144">
        <v>41843</v>
      </c>
      <c r="B336" s="1141">
        <v>351</v>
      </c>
      <c r="C336" s="1142">
        <v>264</v>
      </c>
      <c r="D336" s="1142">
        <v>108</v>
      </c>
      <c r="E336" s="1142">
        <v>196.66666666666677</v>
      </c>
      <c r="F336" s="1143">
        <v>37.7252515796864</v>
      </c>
      <c r="G336" s="1143">
        <v>3.6285370258880199</v>
      </c>
      <c r="P336" s="1133"/>
    </row>
    <row r="337" spans="1:16" ht="20.100000000000001" customHeight="1">
      <c r="A337" s="1144">
        <v>41844</v>
      </c>
      <c r="B337" s="1141">
        <v>354</v>
      </c>
      <c r="C337" s="1142">
        <v>233.99999999999997</v>
      </c>
      <c r="D337" s="1142">
        <v>120</v>
      </c>
      <c r="E337" s="1142">
        <v>186.66666666666691</v>
      </c>
      <c r="F337" s="1143">
        <v>38.630158358686323</v>
      </c>
      <c r="G337" s="1143">
        <v>3.6691751956652618</v>
      </c>
      <c r="P337" s="1133"/>
    </row>
    <row r="338" spans="1:16" ht="20.100000000000001" customHeight="1">
      <c r="A338" s="1144">
        <v>41845</v>
      </c>
      <c r="B338" s="1141">
        <v>352</v>
      </c>
      <c r="C338" s="1142">
        <v>240.00000000000006</v>
      </c>
      <c r="D338" s="1142">
        <v>116.00000000000003</v>
      </c>
      <c r="E338" s="1142">
        <v>156.666666666667</v>
      </c>
      <c r="F338" s="1143">
        <v>31.546922536859345</v>
      </c>
      <c r="G338" s="1143">
        <v>3.8046357615894033</v>
      </c>
      <c r="P338" s="1133"/>
    </row>
    <row r="339" spans="1:16" ht="20.100000000000001" customHeight="1">
      <c r="A339" s="1144">
        <v>41846</v>
      </c>
      <c r="B339" s="1141">
        <v>382</v>
      </c>
      <c r="C339" s="1142">
        <v>228</v>
      </c>
      <c r="D339" s="1142">
        <v>132</v>
      </c>
      <c r="E339" s="1142">
        <v>190.00000000000037</v>
      </c>
      <c r="F339" s="1143">
        <v>38.44293626647945</v>
      </c>
      <c r="G339" s="1143">
        <v>4.0304033714629739</v>
      </c>
      <c r="P339" s="1133"/>
    </row>
    <row r="340" spans="1:16" ht="20.100000000000001" customHeight="1">
      <c r="A340" s="1144">
        <v>41847</v>
      </c>
      <c r="B340" s="1141">
        <v>354</v>
      </c>
      <c r="C340" s="1142">
        <v>210</v>
      </c>
      <c r="D340" s="1142">
        <v>103.99999999999999</v>
      </c>
      <c r="E340" s="1142">
        <v>143.33333333333377</v>
      </c>
      <c r="F340" s="1143">
        <v>34.636087058272878</v>
      </c>
      <c r="G340" s="1143">
        <v>4.2606863335340153</v>
      </c>
      <c r="P340" s="1133"/>
    </row>
    <row r="341" spans="1:16" ht="20.100000000000001" customHeight="1">
      <c r="A341" s="1144">
        <v>41848</v>
      </c>
      <c r="B341" s="1141">
        <v>352</v>
      </c>
      <c r="C341" s="1142">
        <v>185.99999999999997</v>
      </c>
      <c r="D341" s="1142">
        <v>128</v>
      </c>
      <c r="E341" s="1142">
        <v>173.33333333333368</v>
      </c>
      <c r="F341" s="1143">
        <v>40.533582962789602</v>
      </c>
      <c r="G341" s="1143">
        <v>3.8226971703792896</v>
      </c>
      <c r="P341" s="1133"/>
    </row>
    <row r="342" spans="1:16" ht="20.100000000000001" customHeight="1">
      <c r="A342" s="1144">
        <v>41849</v>
      </c>
      <c r="B342" s="1141">
        <v>351</v>
      </c>
      <c r="C342" s="1142">
        <v>228</v>
      </c>
      <c r="D342" s="1142">
        <v>116.00000000000003</v>
      </c>
      <c r="E342" s="1142">
        <v>159.99999999999997</v>
      </c>
      <c r="F342" s="1143">
        <v>35.322568063031433</v>
      </c>
      <c r="G342" s="1143">
        <v>2.1836243226971699</v>
      </c>
      <c r="P342" s="1133"/>
    </row>
    <row r="343" spans="1:16" ht="20.100000000000001" customHeight="1">
      <c r="A343" s="1144">
        <v>41850</v>
      </c>
      <c r="B343" s="1141">
        <v>343</v>
      </c>
      <c r="C343" s="1142">
        <v>215.99999999999997</v>
      </c>
      <c r="D343" s="1142">
        <v>96</v>
      </c>
      <c r="E343" s="1142">
        <v>153.33333333333309</v>
      </c>
      <c r="F343" s="1143">
        <v>38.879787814962171</v>
      </c>
      <c r="G343" s="1143">
        <v>3.8046357615894033</v>
      </c>
      <c r="P343" s="1133"/>
    </row>
    <row r="344" spans="1:16" ht="20.100000000000001" customHeight="1">
      <c r="A344" s="1144">
        <v>41851</v>
      </c>
      <c r="B344" s="1141">
        <v>341</v>
      </c>
      <c r="C344" s="1142">
        <v>240</v>
      </c>
      <c r="D344" s="1142">
        <v>108</v>
      </c>
      <c r="E344" s="1142">
        <v>160.00000000000043</v>
      </c>
      <c r="F344" s="1143">
        <v>38.630158358686323</v>
      </c>
      <c r="G344" s="1143">
        <v>4.2832630945213719</v>
      </c>
      <c r="P344" s="1133"/>
    </row>
    <row r="345" spans="1:16" ht="20.100000000000001" customHeight="1">
      <c r="A345" s="1144">
        <v>41852</v>
      </c>
      <c r="B345" s="1141">
        <v>341</v>
      </c>
      <c r="C345" s="1142">
        <v>252</v>
      </c>
      <c r="D345" s="1142">
        <v>156</v>
      </c>
      <c r="E345" s="1142">
        <v>510.00000000000034</v>
      </c>
      <c r="F345" s="1143">
        <v>59.786254778063807</v>
      </c>
      <c r="G345" s="1143">
        <v>4.9921733895243818</v>
      </c>
      <c r="P345" s="1133"/>
    </row>
    <row r="346" spans="1:16" ht="20.100000000000001" customHeight="1">
      <c r="A346" s="1144">
        <v>41853</v>
      </c>
      <c r="B346" s="1141">
        <v>339</v>
      </c>
      <c r="C346" s="1142">
        <v>258</v>
      </c>
      <c r="D346" s="1142">
        <v>132</v>
      </c>
      <c r="E346" s="1142">
        <v>463.3333333333332</v>
      </c>
      <c r="F346" s="1143">
        <v>57.414774943443327</v>
      </c>
      <c r="G346" s="1143">
        <v>4.9199277543648394</v>
      </c>
      <c r="P346" s="1133"/>
    </row>
    <row r="347" spans="1:16" ht="20.100000000000001" customHeight="1">
      <c r="A347" s="1144">
        <v>41854</v>
      </c>
      <c r="B347" s="1141">
        <v>342</v>
      </c>
      <c r="C347" s="1142">
        <v>246.00000000000003</v>
      </c>
      <c r="D347" s="1142">
        <v>104</v>
      </c>
      <c r="E347" s="1142">
        <v>150.00000000000014</v>
      </c>
      <c r="F347" s="1143">
        <v>48.209688743271705</v>
      </c>
      <c r="G347" s="1143">
        <v>4.6219145093317264</v>
      </c>
      <c r="P347" s="1133"/>
    </row>
    <row r="348" spans="1:16" ht="20.100000000000001" customHeight="1">
      <c r="A348" s="1144">
        <v>41855</v>
      </c>
      <c r="B348" s="1141">
        <v>340</v>
      </c>
      <c r="C348" s="1142">
        <v>234.00000000000003</v>
      </c>
      <c r="D348" s="1142">
        <v>108</v>
      </c>
      <c r="E348" s="1142">
        <v>169.9999999999998</v>
      </c>
      <c r="F348" s="1143">
        <v>47.492004056478663</v>
      </c>
      <c r="G348" s="1143">
        <v>4.7077062010836839</v>
      </c>
      <c r="P348" s="1133"/>
    </row>
    <row r="349" spans="1:16" ht="20.100000000000001" customHeight="1">
      <c r="A349" s="1144">
        <v>41856</v>
      </c>
      <c r="B349" s="1141">
        <v>340</v>
      </c>
      <c r="C349" s="1142">
        <v>234.00000000000003</v>
      </c>
      <c r="D349" s="1142">
        <v>104</v>
      </c>
      <c r="E349" s="1142">
        <v>150.00000000000014</v>
      </c>
      <c r="F349" s="1143">
        <v>47.242374600202822</v>
      </c>
      <c r="G349" s="1143">
        <v>4.612883804936784</v>
      </c>
      <c r="P349" s="1133"/>
    </row>
    <row r="350" spans="1:16" ht="20.100000000000001" customHeight="1">
      <c r="A350" s="1144">
        <v>41857</v>
      </c>
      <c r="B350" s="1141">
        <v>339</v>
      </c>
      <c r="C350" s="1142">
        <v>222</v>
      </c>
      <c r="D350" s="1142">
        <v>112</v>
      </c>
      <c r="E350" s="1142">
        <v>140.00000000000031</v>
      </c>
      <c r="F350" s="1143">
        <v>46.930337779858021</v>
      </c>
      <c r="G350" s="1143">
        <v>4.6309452137266698</v>
      </c>
      <c r="P350" s="1133"/>
    </row>
    <row r="351" spans="1:16" ht="20.100000000000001" customHeight="1">
      <c r="A351" s="1144">
        <v>41858</v>
      </c>
      <c r="B351" s="1141">
        <v>337</v>
      </c>
      <c r="C351" s="1142">
        <v>239.99999999999994</v>
      </c>
      <c r="D351" s="1142">
        <v>100</v>
      </c>
      <c r="E351" s="1142">
        <v>146.66666666666671</v>
      </c>
      <c r="F351" s="1143">
        <v>49.239410250409549</v>
      </c>
      <c r="G351" s="1143">
        <v>5.0960264900662233</v>
      </c>
      <c r="P351" s="1133"/>
    </row>
    <row r="352" spans="1:16" ht="20.100000000000001" customHeight="1">
      <c r="A352" s="1144">
        <v>41859</v>
      </c>
      <c r="B352" s="1141">
        <v>350</v>
      </c>
      <c r="C352" s="1142">
        <v>245.99999999999997</v>
      </c>
      <c r="D352" s="1142">
        <v>128</v>
      </c>
      <c r="E352" s="1142">
        <v>170.00000000000026</v>
      </c>
      <c r="F352" s="1143">
        <v>48.864966065995787</v>
      </c>
      <c r="G352" s="1143">
        <v>5.2134256472004807</v>
      </c>
      <c r="P352" s="1133"/>
    </row>
    <row r="353" spans="1:16" ht="20.100000000000001" customHeight="1">
      <c r="A353" s="1144">
        <v>41860</v>
      </c>
      <c r="B353" s="1141">
        <v>354</v>
      </c>
      <c r="C353" s="1142">
        <v>210</v>
      </c>
      <c r="D353" s="1142">
        <v>104</v>
      </c>
      <c r="E353" s="1142">
        <v>139.99999999999986</v>
      </c>
      <c r="F353" s="1143">
        <v>51.954130587409317</v>
      </c>
      <c r="G353" s="1143">
        <v>5.601745936183022</v>
      </c>
      <c r="P353" s="1133"/>
    </row>
    <row r="354" spans="1:16" ht="20.100000000000001" customHeight="1">
      <c r="A354" s="1144">
        <v>41861</v>
      </c>
      <c r="B354" s="1141">
        <v>350</v>
      </c>
      <c r="C354" s="1142">
        <v>240.00000000000006</v>
      </c>
      <c r="D354" s="1142">
        <v>112</v>
      </c>
      <c r="E354" s="1142">
        <v>196.66666666666677</v>
      </c>
      <c r="F354" s="1143">
        <v>49.676261798892277</v>
      </c>
      <c r="G354" s="1143">
        <v>4.6806140878988556</v>
      </c>
      <c r="P354" s="1133"/>
    </row>
    <row r="355" spans="1:16" ht="20.100000000000001" customHeight="1">
      <c r="A355" s="1144">
        <v>41862</v>
      </c>
      <c r="B355" s="1141">
        <v>344</v>
      </c>
      <c r="C355" s="1142">
        <v>234.00000000000003</v>
      </c>
      <c r="D355" s="1142">
        <v>116.00000000000003</v>
      </c>
      <c r="E355" s="1142">
        <v>166.66666666666683</v>
      </c>
      <c r="F355" s="1143">
        <v>60.535143146891322</v>
      </c>
      <c r="G355" s="1143">
        <v>5.6198073449729078</v>
      </c>
      <c r="P355" s="1133"/>
    </row>
    <row r="356" spans="1:16" ht="20.100000000000001" customHeight="1">
      <c r="A356" s="1144">
        <v>41863</v>
      </c>
      <c r="B356" s="1141">
        <v>348</v>
      </c>
      <c r="C356" s="1142">
        <v>222</v>
      </c>
      <c r="D356" s="1142">
        <v>104</v>
      </c>
      <c r="E356" s="1142">
        <v>139.99999999999986</v>
      </c>
      <c r="F356" s="1143">
        <v>46.337467821202907</v>
      </c>
      <c r="G356" s="1143">
        <v>5.11408789885611</v>
      </c>
      <c r="P356" s="1133"/>
    </row>
    <row r="357" spans="1:16" ht="20.100000000000001" customHeight="1">
      <c r="A357" s="1144">
        <v>41864</v>
      </c>
      <c r="B357" s="1141">
        <v>336</v>
      </c>
      <c r="C357" s="1142">
        <v>228</v>
      </c>
      <c r="D357" s="1142">
        <v>112</v>
      </c>
      <c r="E357" s="1142">
        <v>150.00000000000014</v>
      </c>
      <c r="F357" s="1143">
        <v>39.191824635306965</v>
      </c>
      <c r="G357" s="1143">
        <v>4.8973509933774837</v>
      </c>
      <c r="P357" s="1133"/>
    </row>
    <row r="358" spans="1:16" ht="20.100000000000001" customHeight="1">
      <c r="A358" s="1144">
        <v>41865</v>
      </c>
      <c r="B358" s="1141">
        <v>285</v>
      </c>
      <c r="C358" s="1142">
        <v>215.99999999999997</v>
      </c>
      <c r="D358" s="1142">
        <v>112</v>
      </c>
      <c r="E358" s="1142">
        <v>160.00000000000043</v>
      </c>
      <c r="F358" s="1143">
        <v>41.812933926203293</v>
      </c>
      <c r="G358" s="1143">
        <v>5.0779650812763393</v>
      </c>
      <c r="P358" s="1133"/>
    </row>
    <row r="359" spans="1:16" ht="20.100000000000001" customHeight="1">
      <c r="A359" s="1144">
        <v>41866</v>
      </c>
      <c r="B359" s="1141">
        <v>350</v>
      </c>
      <c r="C359" s="1142">
        <v>233.99999999999997</v>
      </c>
      <c r="D359" s="1142">
        <v>108</v>
      </c>
      <c r="E359" s="1142">
        <v>183.33333333333303</v>
      </c>
      <c r="F359" s="1143">
        <v>38.879787814962171</v>
      </c>
      <c r="G359" s="1143">
        <v>6.0623118603251047</v>
      </c>
      <c r="P359" s="1133"/>
    </row>
    <row r="360" spans="1:16" ht="20.100000000000001" customHeight="1">
      <c r="A360" s="1144">
        <v>41867</v>
      </c>
      <c r="B360" s="1141">
        <v>343</v>
      </c>
      <c r="C360" s="1142">
        <v>198.00000000000006</v>
      </c>
      <c r="D360" s="1142">
        <v>128</v>
      </c>
      <c r="E360" s="1142">
        <v>180.00000000000009</v>
      </c>
      <c r="F360" s="1143">
        <v>57.352367579374366</v>
      </c>
      <c r="G360" s="1143">
        <v>6.9789283564117994</v>
      </c>
      <c r="P360" s="1133"/>
    </row>
    <row r="361" spans="1:16" ht="20.100000000000001" customHeight="1">
      <c r="A361" s="1144">
        <v>41868</v>
      </c>
      <c r="B361" s="1141">
        <v>333</v>
      </c>
      <c r="C361" s="1142">
        <v>222</v>
      </c>
      <c r="D361" s="1142">
        <v>116</v>
      </c>
      <c r="E361" s="1142">
        <v>163.3333333333334</v>
      </c>
      <c r="F361" s="1143">
        <v>37.943677353927761</v>
      </c>
      <c r="G361" s="1143">
        <v>4.9425045153521978</v>
      </c>
      <c r="P361" s="1133"/>
    </row>
    <row r="362" spans="1:16" ht="20.100000000000001" customHeight="1">
      <c r="A362" s="1144">
        <v>41869</v>
      </c>
      <c r="B362" s="1141">
        <v>339</v>
      </c>
      <c r="C362" s="1142">
        <v>222</v>
      </c>
      <c r="D362" s="1142">
        <v>100</v>
      </c>
      <c r="E362" s="1142">
        <v>166.66666666666683</v>
      </c>
      <c r="F362" s="1143">
        <v>42.218581792651534</v>
      </c>
      <c r="G362" s="1143">
        <v>5.9674894641782048</v>
      </c>
      <c r="P362" s="1133"/>
    </row>
    <row r="363" spans="1:16" ht="20.100000000000001" customHeight="1">
      <c r="A363" s="1144">
        <v>41870</v>
      </c>
      <c r="B363" s="1141">
        <v>351</v>
      </c>
      <c r="C363" s="1142">
        <v>240</v>
      </c>
      <c r="D363" s="1142">
        <v>112</v>
      </c>
      <c r="E363" s="1142">
        <v>200.0000000000002</v>
      </c>
      <c r="F363" s="1143">
        <v>38.66136204072081</v>
      </c>
      <c r="G363" s="1143">
        <v>5.6378687537627927</v>
      </c>
      <c r="P363" s="1133"/>
    </row>
    <row r="364" spans="1:16" ht="20.100000000000001" customHeight="1">
      <c r="A364" s="1144">
        <v>41871</v>
      </c>
      <c r="B364" s="1141">
        <v>349</v>
      </c>
      <c r="C364" s="1142">
        <v>234.00000000000003</v>
      </c>
      <c r="D364" s="1142">
        <v>100</v>
      </c>
      <c r="E364" s="1142">
        <v>156.666666666667</v>
      </c>
      <c r="F364" s="1143">
        <v>33.575161869100555</v>
      </c>
      <c r="G364" s="1143">
        <v>6.1932570740517754</v>
      </c>
      <c r="P364" s="1133"/>
    </row>
    <row r="365" spans="1:16" ht="20.100000000000001" customHeight="1">
      <c r="A365" s="1144">
        <v>41872</v>
      </c>
      <c r="B365" s="1141">
        <v>348</v>
      </c>
      <c r="C365" s="1142">
        <v>216.00000000000003</v>
      </c>
      <c r="D365" s="1142">
        <v>92.000000000000014</v>
      </c>
      <c r="E365" s="1142">
        <v>133.33333333333346</v>
      </c>
      <c r="F365" s="1143">
        <v>32.014977767376543</v>
      </c>
      <c r="G365" s="1143">
        <v>5.7778446718844059</v>
      </c>
      <c r="P365" s="1133"/>
    </row>
    <row r="366" spans="1:16" ht="20.100000000000001" customHeight="1">
      <c r="A366" s="1144">
        <v>41873</v>
      </c>
      <c r="B366" s="1141">
        <v>340</v>
      </c>
      <c r="C366" s="1142">
        <v>246.00000000000003</v>
      </c>
      <c r="D366" s="1142">
        <v>112</v>
      </c>
      <c r="E366" s="1142">
        <v>166.66666666666683</v>
      </c>
      <c r="F366" s="1143">
        <v>34.916920196583199</v>
      </c>
      <c r="G366" s="1143">
        <v>5.6107766405779644</v>
      </c>
      <c r="P366" s="1133"/>
    </row>
    <row r="367" spans="1:16" ht="20.100000000000001" customHeight="1">
      <c r="A367" s="1144">
        <v>41874</v>
      </c>
      <c r="B367" s="1141">
        <v>361</v>
      </c>
      <c r="C367" s="1142">
        <v>240</v>
      </c>
      <c r="D367" s="1142">
        <v>76</v>
      </c>
      <c r="E367" s="1142">
        <v>130.00000000000003</v>
      </c>
      <c r="F367" s="1143">
        <v>32.545440361962704</v>
      </c>
      <c r="G367" s="1143">
        <v>5.0689343768813968</v>
      </c>
      <c r="P367" s="1133"/>
    </row>
    <row r="368" spans="1:16" ht="20.100000000000001" customHeight="1">
      <c r="A368" s="1144">
        <v>41875</v>
      </c>
      <c r="B368" s="1141">
        <v>345</v>
      </c>
      <c r="C368" s="1142">
        <v>246.00000000000003</v>
      </c>
      <c r="D368" s="1142">
        <v>80</v>
      </c>
      <c r="E368" s="1142">
        <v>139.99999999999986</v>
      </c>
      <c r="F368" s="1143">
        <v>31.203682034480067</v>
      </c>
      <c r="G368" s="1143">
        <v>4.9127031908488856</v>
      </c>
      <c r="P368" s="1133"/>
    </row>
    <row r="369" spans="1:23" ht="20.100000000000001" customHeight="1">
      <c r="A369" s="1144">
        <v>41876</v>
      </c>
      <c r="B369" s="1141">
        <v>341</v>
      </c>
      <c r="C369" s="1142">
        <v>251.99999999999994</v>
      </c>
      <c r="D369" s="1142">
        <v>100</v>
      </c>
      <c r="E369" s="1142">
        <v>156.666666666667</v>
      </c>
      <c r="F369" s="1143">
        <v>33.013495592479913</v>
      </c>
      <c r="G369" s="1143">
        <v>4.7709211318482838</v>
      </c>
      <c r="P369" s="1133"/>
    </row>
    <row r="370" spans="1:23" ht="20.100000000000001" customHeight="1">
      <c r="A370" s="1144">
        <v>41877</v>
      </c>
      <c r="B370" s="1141">
        <v>340</v>
      </c>
      <c r="C370" s="1142">
        <v>216.00000000000003</v>
      </c>
      <c r="D370" s="1142">
        <v>100</v>
      </c>
      <c r="E370" s="1142">
        <v>133.33333333333346</v>
      </c>
      <c r="F370" s="1143">
        <v>32.951088228410953</v>
      </c>
      <c r="G370" s="1143">
        <v>4.8251053582179404</v>
      </c>
      <c r="J370" s="1154"/>
      <c r="P370" s="1133" t="s">
        <v>1692</v>
      </c>
    </row>
    <row r="371" spans="1:23" ht="20.100000000000001" customHeight="1">
      <c r="A371" s="1144">
        <v>41878</v>
      </c>
      <c r="B371" s="1141">
        <v>340</v>
      </c>
      <c r="C371" s="1142">
        <v>252</v>
      </c>
      <c r="D371" s="1142">
        <v>128</v>
      </c>
      <c r="E371" s="1142">
        <v>179.9999999999996</v>
      </c>
      <c r="F371" s="1143">
        <v>35.135345970824552</v>
      </c>
      <c r="G371" s="1143">
        <v>4.8070439494280555</v>
      </c>
      <c r="P371" s="1133"/>
      <c r="R371" s="1134"/>
      <c r="S371" s="1135"/>
      <c r="T371" s="1136"/>
      <c r="U371" s="1136"/>
      <c r="V371" s="1136"/>
      <c r="W371" s="1137"/>
    </row>
    <row r="372" spans="1:23" ht="20.100000000000001" customHeight="1">
      <c r="A372" s="1144">
        <v>41879</v>
      </c>
      <c r="B372" s="1141">
        <v>338</v>
      </c>
      <c r="C372" s="1142">
        <v>221.99999999999994</v>
      </c>
      <c r="D372" s="1142">
        <v>144</v>
      </c>
      <c r="E372" s="1142">
        <v>150.00000000000014</v>
      </c>
      <c r="F372" s="1143">
        <v>38.692565722755283</v>
      </c>
      <c r="G372" s="1143">
        <v>4.9425045153521978</v>
      </c>
    </row>
    <row r="373" spans="1:23" ht="20.100000000000001" customHeight="1">
      <c r="A373" s="1144">
        <v>41880</v>
      </c>
      <c r="B373" s="1141">
        <v>319</v>
      </c>
      <c r="C373" s="1142">
        <v>251.99999999999994</v>
      </c>
      <c r="D373" s="1142">
        <v>128</v>
      </c>
      <c r="E373" s="1142">
        <v>159.99999999999997</v>
      </c>
      <c r="F373" s="1143">
        <v>35.946641703721042</v>
      </c>
      <c r="G373" s="1143">
        <v>4.9199277543648394</v>
      </c>
    </row>
    <row r="374" spans="1:23" ht="20.100000000000001" customHeight="1">
      <c r="A374" s="1144">
        <v>41881</v>
      </c>
      <c r="B374" s="1141">
        <v>326</v>
      </c>
      <c r="C374" s="1142">
        <v>252</v>
      </c>
      <c r="D374" s="1142">
        <v>136</v>
      </c>
      <c r="E374" s="1142">
        <v>180.00000000000009</v>
      </c>
      <c r="F374" s="1143">
        <v>40.283953506513761</v>
      </c>
      <c r="G374" s="1143">
        <v>4.9515352197471403</v>
      </c>
    </row>
    <row r="375" spans="1:23" ht="20.100000000000001" customHeight="1">
      <c r="A375" s="1144">
        <v>41882</v>
      </c>
      <c r="B375" s="1141">
        <v>333</v>
      </c>
      <c r="C375" s="1142">
        <v>234.00000000000003</v>
      </c>
      <c r="D375" s="1142">
        <v>104</v>
      </c>
      <c r="E375" s="1142">
        <v>143.33333333333329</v>
      </c>
      <c r="F375" s="1143">
        <v>36.695530072548557</v>
      </c>
      <c r="G375" s="1143">
        <v>5.2134256472004807</v>
      </c>
    </row>
    <row r="376" spans="1:23" ht="20.100000000000001" customHeight="1">
      <c r="A376" s="1155">
        <v>41883</v>
      </c>
      <c r="B376" s="1156">
        <v>332</v>
      </c>
      <c r="C376" s="1157">
        <v>210</v>
      </c>
      <c r="D376" s="1157">
        <v>136</v>
      </c>
      <c r="E376" s="1157">
        <v>163.3333333333334</v>
      </c>
      <c r="F376" s="1158">
        <v>39.472657773617279</v>
      </c>
      <c r="G376" s="1158">
        <v>4.8296207104154121</v>
      </c>
    </row>
    <row r="377" spans="1:23" ht="20.100000000000001" customHeight="1">
      <c r="A377" s="1155">
        <v>41884</v>
      </c>
      <c r="B377" s="1156">
        <v>331</v>
      </c>
      <c r="C377" s="1157">
        <v>210</v>
      </c>
      <c r="D377" s="1157">
        <v>140</v>
      </c>
      <c r="E377" s="1157">
        <v>186.66666666666649</v>
      </c>
      <c r="F377" s="1158">
        <v>41.781730244168806</v>
      </c>
      <c r="G377" s="1158">
        <v>5.7101143889223351</v>
      </c>
    </row>
    <row r="378" spans="1:23" ht="20.100000000000001" customHeight="1">
      <c r="A378" s="1155">
        <v>41885</v>
      </c>
      <c r="B378" s="1156">
        <v>342</v>
      </c>
      <c r="C378" s="1157">
        <v>191.99999999999994</v>
      </c>
      <c r="D378" s="1157">
        <v>116</v>
      </c>
      <c r="E378" s="1157">
        <v>159.99999999999997</v>
      </c>
      <c r="F378" s="1158">
        <v>46.55589359544426</v>
      </c>
      <c r="G378" s="1158">
        <v>4.9425045153521978</v>
      </c>
    </row>
    <row r="379" spans="1:23" ht="20.100000000000001" customHeight="1">
      <c r="A379" s="1155">
        <v>41886</v>
      </c>
      <c r="B379" s="1156">
        <v>344</v>
      </c>
      <c r="C379" s="1157">
        <v>234.00000000000003</v>
      </c>
      <c r="D379" s="1157">
        <v>128</v>
      </c>
      <c r="E379" s="1157">
        <v>173.33333333333323</v>
      </c>
      <c r="F379" s="1158">
        <v>39.566268819720726</v>
      </c>
      <c r="G379" s="1158">
        <v>5.6378687537627927</v>
      </c>
    </row>
    <row r="380" spans="1:23" ht="20.100000000000001" customHeight="1">
      <c r="A380" s="1155">
        <v>41887</v>
      </c>
      <c r="B380" s="1156">
        <v>346</v>
      </c>
      <c r="C380" s="1157">
        <v>210</v>
      </c>
      <c r="D380" s="1157">
        <v>124</v>
      </c>
      <c r="E380" s="1157">
        <v>170.00000000000026</v>
      </c>
      <c r="F380" s="1158">
        <v>32.888680864341993</v>
      </c>
      <c r="G380" s="1158">
        <v>5.0779650812763393</v>
      </c>
    </row>
    <row r="381" spans="1:23" ht="20.100000000000001" customHeight="1">
      <c r="A381" s="1155">
        <v>41888</v>
      </c>
      <c r="B381" s="1156">
        <v>340</v>
      </c>
      <c r="C381" s="1157">
        <v>180</v>
      </c>
      <c r="D381" s="1157">
        <v>136</v>
      </c>
      <c r="E381" s="1157">
        <v>176.66666666666663</v>
      </c>
      <c r="F381" s="1158">
        <v>48.022466651064818</v>
      </c>
      <c r="G381" s="1158">
        <v>5.5927152317880795</v>
      </c>
    </row>
    <row r="382" spans="1:23" ht="20.100000000000001" customHeight="1">
      <c r="A382" s="1155">
        <v>41889</v>
      </c>
      <c r="B382" s="1156">
        <v>333</v>
      </c>
      <c r="C382" s="1157">
        <v>221.99999999999994</v>
      </c>
      <c r="D382" s="1157">
        <v>108</v>
      </c>
      <c r="E382" s="1157">
        <v>200.0000000000002</v>
      </c>
      <c r="F382" s="1158">
        <v>38.754973086824243</v>
      </c>
      <c r="G382" s="1158">
        <v>4.9470198675496686</v>
      </c>
    </row>
    <row r="383" spans="1:23" ht="20.100000000000001" customHeight="1">
      <c r="A383" s="1155">
        <v>41890</v>
      </c>
      <c r="B383" s="1156">
        <v>352</v>
      </c>
      <c r="C383" s="1157">
        <v>215.99999999999997</v>
      </c>
      <c r="D383" s="1157">
        <v>136</v>
      </c>
      <c r="E383" s="1157">
        <v>166.66666666666683</v>
      </c>
      <c r="F383" s="1158">
        <v>34.542476012169431</v>
      </c>
      <c r="G383" s="1158">
        <v>5.0689343768813968</v>
      </c>
    </row>
    <row r="384" spans="1:23" ht="20.100000000000001" customHeight="1">
      <c r="A384" s="1155">
        <v>41891</v>
      </c>
      <c r="B384" s="1156">
        <v>354</v>
      </c>
      <c r="C384" s="1157">
        <v>185.99999999999997</v>
      </c>
      <c r="D384" s="1157">
        <v>116</v>
      </c>
      <c r="E384" s="1157">
        <v>126.6666666666666</v>
      </c>
      <c r="F384" s="1158">
        <v>38.692565722755283</v>
      </c>
      <c r="G384" s="1158">
        <v>4.7618904274533405</v>
      </c>
    </row>
    <row r="385" spans="1:7" ht="20.100000000000001" customHeight="1">
      <c r="A385" s="1155">
        <v>41892</v>
      </c>
      <c r="B385" s="1156">
        <v>359</v>
      </c>
      <c r="C385" s="1157">
        <v>204.00000000000003</v>
      </c>
      <c r="D385" s="1157">
        <v>120</v>
      </c>
      <c r="E385" s="1157">
        <v>203.33333333333317</v>
      </c>
      <c r="F385" s="1158">
        <v>42.000156018410173</v>
      </c>
      <c r="G385" s="1158">
        <v>6.9608669476219127</v>
      </c>
    </row>
    <row r="386" spans="1:7" ht="20.100000000000001" customHeight="1">
      <c r="A386" s="1155">
        <v>41893</v>
      </c>
      <c r="B386" s="1156">
        <v>352</v>
      </c>
      <c r="C386" s="1157">
        <v>210</v>
      </c>
      <c r="D386" s="1157">
        <v>112</v>
      </c>
      <c r="E386" s="1157">
        <v>153.33333333333357</v>
      </c>
      <c r="F386" s="1158">
        <v>37.63164053358296</v>
      </c>
      <c r="G386" s="1158">
        <v>5.6378687537627927</v>
      </c>
    </row>
    <row r="387" spans="1:7" ht="20.100000000000001" customHeight="1">
      <c r="A387" s="1155">
        <v>41894</v>
      </c>
      <c r="B387" s="1156">
        <v>332</v>
      </c>
      <c r="C387" s="1157">
        <v>198</v>
      </c>
      <c r="D387" s="1157">
        <v>116</v>
      </c>
      <c r="E387" s="1157">
        <v>176.66666666666663</v>
      </c>
      <c r="F387" s="1158">
        <v>38.910991496996651</v>
      </c>
      <c r="G387" s="1158">
        <v>4.5677302829620698</v>
      </c>
    </row>
    <row r="388" spans="1:7" ht="20.100000000000001" customHeight="1">
      <c r="A388" s="1155">
        <v>41895</v>
      </c>
      <c r="B388" s="1156">
        <v>332</v>
      </c>
      <c r="C388" s="1157">
        <v>185.99999999999997</v>
      </c>
      <c r="D388" s="1157">
        <v>120</v>
      </c>
      <c r="E388" s="1157">
        <v>143.33333333333377</v>
      </c>
      <c r="F388" s="1158">
        <v>41.781730244168806</v>
      </c>
      <c r="G388" s="1158">
        <v>5.1863335340156516</v>
      </c>
    </row>
    <row r="389" spans="1:7" ht="20.100000000000001" customHeight="1">
      <c r="A389" s="1155">
        <v>41896</v>
      </c>
      <c r="B389" s="1156">
        <v>334</v>
      </c>
      <c r="C389" s="1157">
        <v>192</v>
      </c>
      <c r="D389" s="1157">
        <v>116</v>
      </c>
      <c r="E389" s="1157">
        <v>170.00000000000026</v>
      </c>
      <c r="F389" s="1158">
        <v>37.506825805445047</v>
      </c>
      <c r="G389" s="1158">
        <v>5.6107766405779644</v>
      </c>
    </row>
    <row r="390" spans="1:7" ht="20.100000000000001" customHeight="1">
      <c r="A390" s="1155">
        <v>41897</v>
      </c>
      <c r="B390" s="1156">
        <v>312</v>
      </c>
      <c r="C390" s="1157">
        <v>198.00000000000006</v>
      </c>
      <c r="D390" s="1157">
        <v>124</v>
      </c>
      <c r="E390" s="1157">
        <v>153.33333333333357</v>
      </c>
      <c r="F390" s="1158">
        <v>34.230439191824637</v>
      </c>
      <c r="G390" s="1158">
        <v>6.9653822998193853</v>
      </c>
    </row>
    <row r="391" spans="1:7" ht="20.100000000000001" customHeight="1">
      <c r="A391" s="1155">
        <v>41898</v>
      </c>
      <c r="B391" s="1156">
        <v>351</v>
      </c>
      <c r="C391" s="1157">
        <v>222.00000000000006</v>
      </c>
      <c r="D391" s="1157">
        <v>112</v>
      </c>
      <c r="E391" s="1157">
        <v>196.66666666666677</v>
      </c>
      <c r="F391" s="1158">
        <v>51.111631172478347</v>
      </c>
      <c r="G391" s="1158">
        <v>5.6152919927754361</v>
      </c>
    </row>
    <row r="392" spans="1:7" ht="20.100000000000001" customHeight="1">
      <c r="A392" s="1155">
        <v>41899</v>
      </c>
      <c r="B392" s="1156">
        <v>329</v>
      </c>
      <c r="C392" s="1157">
        <v>209.99999999999994</v>
      </c>
      <c r="D392" s="1157">
        <v>136</v>
      </c>
      <c r="E392" s="1157">
        <v>156.666666666667</v>
      </c>
      <c r="F392" s="1158">
        <v>34.168031827755676</v>
      </c>
      <c r="G392" s="1158">
        <v>7.2724262492474407</v>
      </c>
    </row>
    <row r="393" spans="1:7" ht="20.100000000000001" customHeight="1">
      <c r="A393" s="1155">
        <v>41900</v>
      </c>
      <c r="B393" s="1156">
        <v>328</v>
      </c>
      <c r="C393" s="1157">
        <v>150</v>
      </c>
      <c r="D393" s="1157">
        <v>132</v>
      </c>
      <c r="E393" s="1157">
        <v>150.00000000000014</v>
      </c>
      <c r="F393" s="1158">
        <v>37.818862625789848</v>
      </c>
      <c r="G393" s="1158">
        <v>6.9608669476219127</v>
      </c>
    </row>
    <row r="394" spans="1:7" ht="20.100000000000001" customHeight="1">
      <c r="A394" s="1155">
        <v>41901</v>
      </c>
      <c r="B394" s="1156">
        <v>331</v>
      </c>
      <c r="C394" s="1157">
        <v>209.99999999999994</v>
      </c>
      <c r="D394" s="1157">
        <v>136</v>
      </c>
      <c r="E394" s="1157">
        <v>136.66666666666643</v>
      </c>
      <c r="F394" s="1158">
        <v>51.174038536547307</v>
      </c>
      <c r="G394" s="1158">
        <v>7.444009632751353</v>
      </c>
    </row>
    <row r="395" spans="1:7" ht="20.100000000000001" customHeight="1">
      <c r="A395" s="1155">
        <v>41902</v>
      </c>
      <c r="B395" s="1156">
        <v>332</v>
      </c>
      <c r="C395" s="1157">
        <v>215.99999999999997</v>
      </c>
      <c r="D395" s="1157">
        <v>112</v>
      </c>
      <c r="E395" s="1157">
        <v>160.00000000000043</v>
      </c>
      <c r="F395" s="1158">
        <v>37.943677353927761</v>
      </c>
      <c r="G395" s="1158">
        <v>4.5677302829620698</v>
      </c>
    </row>
    <row r="396" spans="1:7" ht="20.100000000000001" customHeight="1">
      <c r="A396" s="1155">
        <v>41903</v>
      </c>
      <c r="B396" s="1156">
        <v>344</v>
      </c>
      <c r="C396" s="1157">
        <v>210</v>
      </c>
      <c r="D396" s="1157">
        <v>148</v>
      </c>
      <c r="E396" s="1157">
        <v>173.33333333333323</v>
      </c>
      <c r="F396" s="1158">
        <v>34.168031827755676</v>
      </c>
      <c r="G396" s="1158">
        <v>7.5478627332931962</v>
      </c>
    </row>
    <row r="397" spans="1:7" ht="20.100000000000001" customHeight="1">
      <c r="A397" s="1155">
        <v>41904</v>
      </c>
      <c r="B397" s="1156">
        <v>350</v>
      </c>
      <c r="C397" s="1157">
        <v>203.99999999999997</v>
      </c>
      <c r="D397" s="1157">
        <v>143.99999999999997</v>
      </c>
      <c r="E397" s="1157">
        <v>166.66666666666683</v>
      </c>
      <c r="F397" s="1158">
        <v>44.402839535065134</v>
      </c>
      <c r="G397" s="1158">
        <v>6.9608669476219127</v>
      </c>
    </row>
    <row r="398" spans="1:7" ht="20.100000000000001" customHeight="1">
      <c r="A398" s="1155">
        <v>41905</v>
      </c>
      <c r="B398" s="1156">
        <v>349</v>
      </c>
      <c r="C398" s="1157">
        <v>191.99999999999994</v>
      </c>
      <c r="D398" s="1157">
        <v>164</v>
      </c>
      <c r="E398" s="1157">
        <v>173.33333333333323</v>
      </c>
      <c r="F398" s="1158">
        <v>38.879787814962171</v>
      </c>
      <c r="G398" s="1158">
        <v>5.6378687537627927</v>
      </c>
    </row>
    <row r="399" spans="1:7" ht="20.100000000000001" customHeight="1">
      <c r="A399" s="1155">
        <v>41906</v>
      </c>
      <c r="B399" s="1156">
        <v>348</v>
      </c>
      <c r="C399" s="1157">
        <v>197.99999999999994</v>
      </c>
      <c r="D399" s="1157">
        <v>96</v>
      </c>
      <c r="E399" s="1157">
        <v>136.66666666666643</v>
      </c>
      <c r="F399" s="1158">
        <v>32.888680864341993</v>
      </c>
      <c r="G399" s="1158">
        <v>7.2724262492474407</v>
      </c>
    </row>
    <row r="400" spans="1:7" ht="20.100000000000001" customHeight="1">
      <c r="A400" s="1155">
        <v>41907</v>
      </c>
      <c r="B400" s="1156">
        <v>348</v>
      </c>
      <c r="C400" s="1157">
        <v>203.99999999999997</v>
      </c>
      <c r="D400" s="1157">
        <v>108</v>
      </c>
      <c r="E400" s="1157">
        <v>130.00000000000003</v>
      </c>
      <c r="F400" s="1158">
        <v>32.327014587721351</v>
      </c>
      <c r="G400" s="1158">
        <v>5.8952438290186624</v>
      </c>
    </row>
    <row r="401" spans="1:7" ht="20.100000000000001" customHeight="1">
      <c r="A401" s="1155">
        <v>41908</v>
      </c>
      <c r="B401" s="1156">
        <v>347</v>
      </c>
      <c r="C401" s="1157">
        <v>156.00000000000003</v>
      </c>
      <c r="D401" s="1157">
        <v>112</v>
      </c>
      <c r="E401" s="1157">
        <v>133.33333333333346</v>
      </c>
      <c r="F401" s="1158">
        <v>33.637569233169515</v>
      </c>
      <c r="G401" s="1158">
        <v>5.8771824202287775</v>
      </c>
    </row>
    <row r="402" spans="1:7" ht="20.100000000000001" customHeight="1">
      <c r="A402" s="1155">
        <v>41909</v>
      </c>
      <c r="B402" s="1156">
        <v>349</v>
      </c>
      <c r="C402" s="1157">
        <v>204.00000000000003</v>
      </c>
      <c r="D402" s="1157">
        <v>140</v>
      </c>
      <c r="E402" s="1157">
        <v>120.0000000000002</v>
      </c>
      <c r="F402" s="1158">
        <v>34.511272330134958</v>
      </c>
      <c r="G402" s="1158">
        <v>5.9449127031908491</v>
      </c>
    </row>
    <row r="403" spans="1:7" ht="20.100000000000001" customHeight="1">
      <c r="A403" s="1155">
        <v>41910</v>
      </c>
      <c r="B403" s="1156">
        <v>344</v>
      </c>
      <c r="C403" s="1157">
        <v>198</v>
      </c>
      <c r="D403" s="1157">
        <v>112</v>
      </c>
      <c r="E403" s="1157">
        <v>159.99999999999997</v>
      </c>
      <c r="F403" s="1158">
        <v>34.573679694203925</v>
      </c>
      <c r="G403" s="1158">
        <v>5.949428055388319</v>
      </c>
    </row>
    <row r="404" spans="1:7" ht="20.100000000000001" customHeight="1">
      <c r="A404" s="1155">
        <v>41911</v>
      </c>
      <c r="B404" s="1156">
        <v>343</v>
      </c>
      <c r="C404" s="1157">
        <v>222.00000000000006</v>
      </c>
      <c r="D404" s="1157">
        <v>128</v>
      </c>
      <c r="E404" s="1157">
        <v>196.66666666666677</v>
      </c>
      <c r="F404" s="1158">
        <v>38.754973086824243</v>
      </c>
      <c r="G404" s="1158">
        <v>5.6378687537627927</v>
      </c>
    </row>
    <row r="405" spans="1:7" ht="20.100000000000001" customHeight="1">
      <c r="A405" s="1155">
        <v>41912</v>
      </c>
      <c r="B405" s="1156">
        <v>343</v>
      </c>
      <c r="C405" s="1157">
        <v>186.00000000000003</v>
      </c>
      <c r="D405" s="1157">
        <v>120</v>
      </c>
      <c r="E405" s="1157">
        <v>173.33333333333323</v>
      </c>
      <c r="F405" s="1158">
        <v>47.398393010375216</v>
      </c>
      <c r="G405" s="1158">
        <v>6.0623118603251047</v>
      </c>
    </row>
    <row r="406" spans="1:7" ht="20.100000000000001" customHeight="1">
      <c r="A406" s="1155">
        <v>41913</v>
      </c>
      <c r="B406" s="1159">
        <v>330</v>
      </c>
      <c r="C406" s="1157">
        <v>222</v>
      </c>
      <c r="D406" s="1157">
        <v>116</v>
      </c>
      <c r="E406" s="1157">
        <v>236.66666666666652</v>
      </c>
      <c r="F406" s="1158">
        <v>34.511272330134958</v>
      </c>
      <c r="G406" s="1158">
        <v>4.626429861529199</v>
      </c>
    </row>
    <row r="407" spans="1:7" ht="20.100000000000001" customHeight="1">
      <c r="A407" s="1155">
        <v>41914</v>
      </c>
      <c r="B407" s="1159">
        <v>337</v>
      </c>
      <c r="C407" s="1157">
        <v>210</v>
      </c>
      <c r="D407" s="1157">
        <v>140</v>
      </c>
      <c r="E407" s="1157">
        <v>180.00000000000009</v>
      </c>
      <c r="F407" s="1158">
        <v>33.138310320617833</v>
      </c>
      <c r="G407" s="1158">
        <v>4.8296207104154121</v>
      </c>
    </row>
    <row r="408" spans="1:7" ht="20.100000000000001" customHeight="1">
      <c r="A408" s="1155">
        <v>41915</v>
      </c>
      <c r="B408" s="1159">
        <v>337</v>
      </c>
      <c r="C408" s="1157">
        <v>173.99999999999997</v>
      </c>
      <c r="D408" s="1157">
        <v>112</v>
      </c>
      <c r="E408" s="1157">
        <v>113.33333333333336</v>
      </c>
      <c r="F408" s="1158">
        <v>41.781730244168806</v>
      </c>
      <c r="G408" s="1158">
        <v>5.0707405177603855</v>
      </c>
    </row>
    <row r="409" spans="1:7" ht="20.100000000000001" customHeight="1">
      <c r="A409" s="1155">
        <v>41916</v>
      </c>
      <c r="B409" s="1159">
        <v>343</v>
      </c>
      <c r="C409" s="1157">
        <v>162</v>
      </c>
      <c r="D409" s="1157">
        <v>148</v>
      </c>
      <c r="E409" s="1157">
        <v>123.33333333333364</v>
      </c>
      <c r="F409" s="1158">
        <v>31.515718854824868</v>
      </c>
      <c r="G409" s="1158">
        <v>5.6288380493678503</v>
      </c>
    </row>
    <row r="410" spans="1:7" ht="20.100000000000001" customHeight="1">
      <c r="A410" s="1155">
        <v>41917</v>
      </c>
      <c r="B410" s="1159">
        <v>323</v>
      </c>
      <c r="C410" s="1157">
        <v>174.00000000000003</v>
      </c>
      <c r="D410" s="1157">
        <v>108</v>
      </c>
      <c r="E410" s="1157">
        <v>176.66666666666663</v>
      </c>
      <c r="F410" s="1158">
        <v>34.168031827755676</v>
      </c>
      <c r="G410" s="1158">
        <v>4.612883804936784</v>
      </c>
    </row>
    <row r="411" spans="1:7" ht="20.100000000000001" customHeight="1">
      <c r="A411" s="1155">
        <v>41918</v>
      </c>
      <c r="B411" s="1159">
        <v>334</v>
      </c>
      <c r="C411" s="1157">
        <v>162</v>
      </c>
      <c r="D411" s="1157">
        <v>120</v>
      </c>
      <c r="E411" s="1157">
        <v>109.99999999999991</v>
      </c>
      <c r="F411" s="1158">
        <v>51.142834854512827</v>
      </c>
      <c r="G411" s="1158">
        <v>5.2630945213726665</v>
      </c>
    </row>
    <row r="412" spans="1:7" ht="20.100000000000001" customHeight="1">
      <c r="A412" s="1155">
        <v>41919</v>
      </c>
      <c r="B412" s="1159">
        <v>342</v>
      </c>
      <c r="C412" s="1157">
        <v>168</v>
      </c>
      <c r="D412" s="1157">
        <v>144</v>
      </c>
      <c r="E412" s="1157">
        <v>123.33333333333317</v>
      </c>
      <c r="F412" s="1158">
        <v>46.181449411030492</v>
      </c>
      <c r="G412" s="1158">
        <v>5.6107766405779644</v>
      </c>
    </row>
    <row r="413" spans="1:7" ht="20.100000000000001" customHeight="1">
      <c r="A413" s="1155">
        <v>41920</v>
      </c>
      <c r="B413" s="1159">
        <v>349</v>
      </c>
      <c r="C413" s="1157">
        <v>173.99999999999997</v>
      </c>
      <c r="D413" s="1157">
        <v>124</v>
      </c>
      <c r="E413" s="1157">
        <v>156.666666666667</v>
      </c>
      <c r="F413" s="1158">
        <v>48.147281379202745</v>
      </c>
      <c r="G413" s="1158">
        <v>6.8660445514750146</v>
      </c>
    </row>
    <row r="414" spans="1:7" ht="20.100000000000001" customHeight="1">
      <c r="A414" s="1155">
        <v>41921</v>
      </c>
      <c r="B414" s="1159">
        <v>334</v>
      </c>
      <c r="C414" s="1157">
        <v>155.99999999999997</v>
      </c>
      <c r="D414" s="1157">
        <v>143.99999999999997</v>
      </c>
      <c r="E414" s="1157">
        <v>106.66666666666649</v>
      </c>
      <c r="F414" s="1158">
        <v>51.142834854512827</v>
      </c>
      <c r="G414" s="1158">
        <v>5.1863335340156516</v>
      </c>
    </row>
    <row r="415" spans="1:7" ht="20.100000000000001" customHeight="1">
      <c r="A415" s="1155">
        <v>41922</v>
      </c>
      <c r="B415" s="1159">
        <v>346</v>
      </c>
      <c r="C415" s="1157">
        <v>168.00000000000006</v>
      </c>
      <c r="D415" s="1157">
        <v>144</v>
      </c>
      <c r="E415" s="1157">
        <v>130.00000000000003</v>
      </c>
      <c r="F415" s="1158">
        <v>49.55144707075435</v>
      </c>
      <c r="G415" s="1158">
        <v>4.9921733895243818</v>
      </c>
    </row>
    <row r="416" spans="1:7" ht="20.100000000000001" customHeight="1">
      <c r="A416" s="1155">
        <v>41923</v>
      </c>
      <c r="B416" s="1159">
        <v>340</v>
      </c>
      <c r="C416" s="1157">
        <v>185.99999999999997</v>
      </c>
      <c r="D416" s="1157">
        <v>140</v>
      </c>
      <c r="E416" s="1157">
        <v>159.99999999999997</v>
      </c>
      <c r="F416" s="1158">
        <v>47.554411420547623</v>
      </c>
      <c r="G416" s="1158">
        <v>5.6920529801324493</v>
      </c>
    </row>
    <row r="417" spans="1:7" ht="20.100000000000001" customHeight="1">
      <c r="A417" s="1155">
        <v>41924</v>
      </c>
      <c r="B417" s="1159">
        <v>324</v>
      </c>
      <c r="C417" s="1157">
        <v>191.99999999999994</v>
      </c>
      <c r="D417" s="1157">
        <v>132</v>
      </c>
      <c r="E417" s="1157">
        <v>119.99999999999974</v>
      </c>
      <c r="F417" s="1158">
        <v>46.618300959513228</v>
      </c>
      <c r="G417" s="1158">
        <v>5.443708609271523</v>
      </c>
    </row>
    <row r="418" spans="1:7" ht="20.100000000000001" customHeight="1">
      <c r="A418" s="1155">
        <v>41925</v>
      </c>
      <c r="B418" s="1159">
        <v>4</v>
      </c>
      <c r="C418" s="1157">
        <v>168.00000000000006</v>
      </c>
      <c r="D418" s="1157">
        <v>140</v>
      </c>
      <c r="E418" s="1157">
        <v>153.33333333333357</v>
      </c>
      <c r="F418" s="1158">
        <v>52.484593181995479</v>
      </c>
      <c r="G418" s="1158">
        <v>7.5614087898856095</v>
      </c>
    </row>
    <row r="419" spans="1:7" ht="20.100000000000001" customHeight="1">
      <c r="A419" s="1155">
        <v>41926</v>
      </c>
      <c r="B419" s="1159">
        <v>6</v>
      </c>
      <c r="C419" s="1157">
        <v>222</v>
      </c>
      <c r="D419" s="1157">
        <v>112</v>
      </c>
      <c r="E419" s="1157">
        <v>139.99999999999986</v>
      </c>
      <c r="F419" s="1158">
        <v>33.169514002652313</v>
      </c>
      <c r="G419" s="1158">
        <v>5.0779650812763393</v>
      </c>
    </row>
    <row r="420" spans="1:7" ht="20.100000000000001" customHeight="1">
      <c r="A420" s="1155">
        <v>41927</v>
      </c>
      <c r="B420" s="1159">
        <v>203</v>
      </c>
      <c r="C420" s="1157">
        <v>191.99999999999994</v>
      </c>
      <c r="D420" s="1157">
        <v>92</v>
      </c>
      <c r="E420" s="1157">
        <v>86.666666666666842</v>
      </c>
      <c r="F420" s="1158">
        <v>31.203682034480067</v>
      </c>
      <c r="G420" s="1158">
        <v>4.8973509933774837</v>
      </c>
    </row>
    <row r="421" spans="1:7" ht="20.100000000000001" customHeight="1">
      <c r="A421" s="1155">
        <v>41928</v>
      </c>
      <c r="B421" s="1160">
        <v>247</v>
      </c>
      <c r="C421" s="1157">
        <v>168</v>
      </c>
      <c r="D421" s="1157">
        <v>104</v>
      </c>
      <c r="E421" s="1157">
        <v>126.6666666666666</v>
      </c>
      <c r="F421" s="1158">
        <v>34.729698104376318</v>
      </c>
      <c r="G421" s="1158">
        <v>6.0126429861529189</v>
      </c>
    </row>
    <row r="422" spans="1:7" ht="20.100000000000001" customHeight="1">
      <c r="A422" s="1155">
        <v>41929</v>
      </c>
      <c r="B422" s="1159">
        <v>246</v>
      </c>
      <c r="C422" s="1157">
        <v>185.99999999999997</v>
      </c>
      <c r="D422" s="1157">
        <v>112</v>
      </c>
      <c r="E422" s="1157">
        <v>180.00000000000009</v>
      </c>
      <c r="F422" s="1158">
        <v>38.66136204072081</v>
      </c>
      <c r="G422" s="1158">
        <v>4.5677302829620698</v>
      </c>
    </row>
    <row r="423" spans="1:7" ht="20.100000000000001" customHeight="1">
      <c r="A423" s="1155">
        <v>41930</v>
      </c>
      <c r="B423" s="1159">
        <v>238</v>
      </c>
      <c r="C423" s="1157">
        <v>210</v>
      </c>
      <c r="D423" s="1157">
        <v>128</v>
      </c>
      <c r="E423" s="1157">
        <v>139.99999999999986</v>
      </c>
      <c r="F423" s="1158">
        <v>32.389421951790311</v>
      </c>
      <c r="G423" s="1158">
        <v>5.601745936183022</v>
      </c>
    </row>
    <row r="424" spans="1:7" ht="20.100000000000001" customHeight="1">
      <c r="A424" s="1155">
        <v>41931</v>
      </c>
      <c r="B424" s="1159">
        <v>235</v>
      </c>
      <c r="C424" s="1157">
        <v>180</v>
      </c>
      <c r="D424" s="1157">
        <v>116.00000000000003</v>
      </c>
      <c r="E424" s="1157">
        <v>113.33333333333336</v>
      </c>
      <c r="F424" s="1158">
        <v>34.230439191824637</v>
      </c>
      <c r="G424" s="1158">
        <v>6.1300421432871763</v>
      </c>
    </row>
    <row r="425" spans="1:7" ht="20.100000000000001" customHeight="1">
      <c r="A425" s="1155">
        <v>41932</v>
      </c>
      <c r="B425" s="1159">
        <v>234</v>
      </c>
      <c r="C425" s="1157">
        <v>180</v>
      </c>
      <c r="D425" s="1157">
        <v>140</v>
      </c>
      <c r="E425" s="1157">
        <v>153.33333333333357</v>
      </c>
      <c r="F425" s="1158">
        <v>35.946641703721042</v>
      </c>
      <c r="G425" s="1158">
        <v>5.6694762191450918</v>
      </c>
    </row>
    <row r="426" spans="1:7" ht="20.100000000000001" customHeight="1">
      <c r="A426" s="1155">
        <v>41933</v>
      </c>
      <c r="B426" s="1159">
        <v>228</v>
      </c>
      <c r="C426" s="1157">
        <v>204.00000000000003</v>
      </c>
      <c r="D426" s="1157">
        <v>108</v>
      </c>
      <c r="E426" s="1157">
        <v>90.00000000000027</v>
      </c>
      <c r="F426" s="1158">
        <v>38.879787814962171</v>
      </c>
      <c r="G426" s="1158">
        <v>6.1797110174593612</v>
      </c>
    </row>
    <row r="427" spans="1:7" ht="20.100000000000001" customHeight="1">
      <c r="A427" s="1155">
        <v>41934</v>
      </c>
      <c r="B427" s="1159">
        <v>227</v>
      </c>
      <c r="C427" s="1157">
        <v>185.99999999999997</v>
      </c>
      <c r="D427" s="1157">
        <v>76</v>
      </c>
      <c r="E427" s="1157">
        <v>106.66666666666696</v>
      </c>
      <c r="F427" s="1158">
        <v>46.52468991340978</v>
      </c>
      <c r="G427" s="1158">
        <v>2.0120409391932568</v>
      </c>
    </row>
    <row r="428" spans="1:7" ht="20.100000000000001" customHeight="1">
      <c r="A428" s="1155">
        <v>41935</v>
      </c>
      <c r="B428" s="1159">
        <v>226</v>
      </c>
      <c r="C428" s="1157">
        <v>168.00000000000006</v>
      </c>
      <c r="D428" s="1157">
        <v>128</v>
      </c>
      <c r="E428" s="1157">
        <v>153.33333333333357</v>
      </c>
      <c r="F428" s="1158">
        <v>39.379046727513852</v>
      </c>
      <c r="G428" s="1158">
        <v>4.8115593016255263</v>
      </c>
    </row>
    <row r="429" spans="1:7" ht="20.100000000000001" customHeight="1">
      <c r="A429" s="1155">
        <v>41936</v>
      </c>
      <c r="B429" s="1159">
        <v>227</v>
      </c>
      <c r="C429" s="1157">
        <v>210</v>
      </c>
      <c r="D429" s="1157">
        <v>136</v>
      </c>
      <c r="E429" s="1157">
        <v>149.99999999999969</v>
      </c>
      <c r="F429" s="1158">
        <v>42.187378110617061</v>
      </c>
      <c r="G429" s="1158">
        <v>4.2697170379289586</v>
      </c>
    </row>
    <row r="430" spans="1:7" ht="20.100000000000001" customHeight="1">
      <c r="A430" s="1155">
        <v>41937</v>
      </c>
      <c r="B430" s="1159">
        <v>219</v>
      </c>
      <c r="C430" s="1157">
        <v>198</v>
      </c>
      <c r="D430" s="1157">
        <v>108</v>
      </c>
      <c r="E430" s="1157">
        <v>100.0000000000001</v>
      </c>
      <c r="F430" s="1158">
        <v>38.630158358686323</v>
      </c>
      <c r="G430" s="1158">
        <v>5.5114388922335937</v>
      </c>
    </row>
    <row r="431" spans="1:7" ht="20.100000000000001" customHeight="1">
      <c r="A431" s="1155">
        <v>41938</v>
      </c>
      <c r="B431" s="1159">
        <v>223</v>
      </c>
      <c r="C431" s="1157">
        <v>204.00000000000003</v>
      </c>
      <c r="D431" s="1157">
        <v>132</v>
      </c>
      <c r="E431" s="1157">
        <v>166.66666666666683</v>
      </c>
      <c r="F431" s="1158">
        <v>43.24830329978937</v>
      </c>
      <c r="G431" s="1158">
        <v>5.303732691149909</v>
      </c>
    </row>
    <row r="432" spans="1:7" ht="20.100000000000001" customHeight="1">
      <c r="A432" s="1155">
        <v>41939</v>
      </c>
      <c r="B432" s="1159">
        <v>223</v>
      </c>
      <c r="C432" s="1157">
        <v>168</v>
      </c>
      <c r="D432" s="1157">
        <v>124</v>
      </c>
      <c r="E432" s="1157">
        <v>169.9999999999998</v>
      </c>
      <c r="F432" s="1158">
        <v>38.754973086824243</v>
      </c>
      <c r="G432" s="1158">
        <v>5.6288380493678503</v>
      </c>
    </row>
    <row r="433" spans="1:7" ht="20.100000000000001" customHeight="1">
      <c r="A433" s="1155">
        <v>41940</v>
      </c>
      <c r="B433" s="1159">
        <v>217</v>
      </c>
      <c r="C433" s="1157">
        <v>204.00000000000003</v>
      </c>
      <c r="D433" s="1157">
        <v>140</v>
      </c>
      <c r="E433" s="1157">
        <v>123.33333333333317</v>
      </c>
      <c r="F433" s="1158">
        <v>38.910991496996651</v>
      </c>
      <c r="G433" s="1158">
        <v>7.412402167369053</v>
      </c>
    </row>
    <row r="434" spans="1:7" ht="20.100000000000001" customHeight="1">
      <c r="A434" s="1155">
        <v>41941</v>
      </c>
      <c r="B434" s="1159">
        <v>223</v>
      </c>
      <c r="C434" s="1157">
        <v>180</v>
      </c>
      <c r="D434" s="1157">
        <v>116</v>
      </c>
      <c r="E434" s="1157">
        <v>153.33333333333357</v>
      </c>
      <c r="F434" s="1158">
        <v>51.985334269443797</v>
      </c>
      <c r="G434" s="1158">
        <v>5.4708007224563513</v>
      </c>
    </row>
    <row r="435" spans="1:7" ht="20.100000000000001" customHeight="1">
      <c r="A435" s="1155">
        <v>41942</v>
      </c>
      <c r="B435" s="1159">
        <v>218</v>
      </c>
      <c r="C435" s="1157">
        <v>186.00000000000003</v>
      </c>
      <c r="D435" s="1157">
        <v>108</v>
      </c>
      <c r="E435" s="1157">
        <v>119.99999999999974</v>
      </c>
      <c r="F435" s="1158">
        <v>52.640611592167872</v>
      </c>
      <c r="G435" s="1158">
        <v>5.5611077664057795</v>
      </c>
    </row>
    <row r="436" spans="1:7" ht="20.100000000000001" customHeight="1">
      <c r="A436" s="1155">
        <v>41943</v>
      </c>
      <c r="B436" s="1159">
        <v>214</v>
      </c>
      <c r="C436" s="1157">
        <v>216.00000000000003</v>
      </c>
      <c r="D436" s="1157">
        <v>132</v>
      </c>
      <c r="E436" s="1157">
        <v>153.33333333333357</v>
      </c>
      <c r="F436" s="1158">
        <v>38.817380450893204</v>
      </c>
      <c r="G436" s="1158">
        <v>5.0418422636965685</v>
      </c>
    </row>
    <row r="437" spans="1:7" ht="20.100000000000001" customHeight="1">
      <c r="A437" s="1155">
        <v>41944</v>
      </c>
      <c r="B437" s="1156">
        <v>212</v>
      </c>
      <c r="C437" s="1157">
        <v>173.99999999999997</v>
      </c>
      <c r="D437" s="1157">
        <v>120</v>
      </c>
      <c r="E437" s="1157">
        <v>239.99999999999997</v>
      </c>
      <c r="F437" s="1158">
        <v>34.636087058272878</v>
      </c>
      <c r="G437" s="1158">
        <v>5.0237808549066818</v>
      </c>
    </row>
    <row r="438" spans="1:7" ht="20.100000000000001" customHeight="1">
      <c r="A438" s="1155">
        <v>41945</v>
      </c>
      <c r="B438" s="1156">
        <v>219</v>
      </c>
      <c r="C438" s="1157">
        <v>210</v>
      </c>
      <c r="D438" s="1157">
        <v>128</v>
      </c>
      <c r="E438" s="1157">
        <v>196.66666666666629</v>
      </c>
      <c r="F438" s="1158">
        <v>32.826273500273032</v>
      </c>
      <c r="G438" s="1158">
        <v>4.8115593016255263</v>
      </c>
    </row>
    <row r="439" spans="1:7" ht="20.100000000000001" customHeight="1">
      <c r="A439" s="1155">
        <v>41946</v>
      </c>
      <c r="B439" s="1156">
        <v>214</v>
      </c>
      <c r="C439" s="1157">
        <v>168.00000000000006</v>
      </c>
      <c r="D439" s="1157">
        <v>148</v>
      </c>
      <c r="E439" s="1157">
        <v>156.666666666667</v>
      </c>
      <c r="F439" s="1158">
        <v>38.72376940478977</v>
      </c>
      <c r="G439" s="1158">
        <v>5.6288380493678503</v>
      </c>
    </row>
    <row r="440" spans="1:7" ht="20.100000000000001" customHeight="1">
      <c r="A440" s="1155">
        <v>41947</v>
      </c>
      <c r="B440" s="1156">
        <v>218</v>
      </c>
      <c r="C440" s="1157">
        <v>173.99999999999997</v>
      </c>
      <c r="D440" s="1157">
        <v>132</v>
      </c>
      <c r="E440" s="1157">
        <v>173.33333333333323</v>
      </c>
      <c r="F440" s="1158">
        <v>36.258678524065836</v>
      </c>
      <c r="G440" s="1158">
        <v>4.9470198675496686</v>
      </c>
    </row>
    <row r="441" spans="1:7" ht="20.100000000000001" customHeight="1">
      <c r="A441" s="1155">
        <v>41948</v>
      </c>
      <c r="B441" s="1156">
        <v>210</v>
      </c>
      <c r="C441" s="1157">
        <v>173.99999999999997</v>
      </c>
      <c r="D441" s="1157">
        <v>168</v>
      </c>
      <c r="E441" s="1157">
        <v>190.00000000000037</v>
      </c>
      <c r="F441" s="1158">
        <v>48.740151337857874</v>
      </c>
      <c r="G441" s="1158">
        <v>5.2766405779650807</v>
      </c>
    </row>
    <row r="442" spans="1:7" ht="20.100000000000001" customHeight="1">
      <c r="A442" s="1155">
        <v>41949</v>
      </c>
      <c r="B442" s="1156">
        <v>216</v>
      </c>
      <c r="C442" s="1157">
        <v>204.00000000000003</v>
      </c>
      <c r="D442" s="1157">
        <v>184</v>
      </c>
      <c r="E442" s="1157">
        <v>156.666666666667</v>
      </c>
      <c r="F442" s="1158">
        <v>32.857477182307512</v>
      </c>
      <c r="G442" s="1158">
        <v>5.7326911499096918</v>
      </c>
    </row>
    <row r="443" spans="1:7" ht="20.100000000000001" customHeight="1">
      <c r="A443" s="1155">
        <v>41950</v>
      </c>
      <c r="B443" s="1156">
        <v>211</v>
      </c>
      <c r="C443" s="1157">
        <v>155.99999999999997</v>
      </c>
      <c r="D443" s="1157">
        <v>143.99999999999997</v>
      </c>
      <c r="E443" s="1157">
        <v>206.66666666666657</v>
      </c>
      <c r="F443" s="1158">
        <v>33.263125048755754</v>
      </c>
      <c r="G443" s="1158">
        <v>5.9990969295605057</v>
      </c>
    </row>
    <row r="444" spans="1:7" ht="20.100000000000001" customHeight="1">
      <c r="A444" s="1155">
        <v>41951</v>
      </c>
      <c r="B444" s="1156">
        <v>211</v>
      </c>
      <c r="C444" s="1157">
        <v>204.00000000000003</v>
      </c>
      <c r="D444" s="1157">
        <v>124</v>
      </c>
      <c r="E444" s="1157">
        <v>173.33333333333323</v>
      </c>
      <c r="F444" s="1158">
        <v>35.946641703721042</v>
      </c>
      <c r="G444" s="1158">
        <v>4.5812763395544849</v>
      </c>
    </row>
    <row r="445" spans="1:7" ht="20.100000000000001" customHeight="1">
      <c r="A445" s="1155">
        <v>41952</v>
      </c>
      <c r="B445" s="1156">
        <v>211</v>
      </c>
      <c r="C445" s="1157">
        <v>198.00000000000006</v>
      </c>
      <c r="D445" s="1157">
        <v>143.99999999999997</v>
      </c>
      <c r="E445" s="1157">
        <v>103.33333333333307</v>
      </c>
      <c r="F445" s="1158">
        <v>38.193306810203602</v>
      </c>
      <c r="G445" s="1158">
        <v>6.9924744130042145</v>
      </c>
    </row>
    <row r="446" spans="1:7" ht="20.100000000000001" customHeight="1">
      <c r="A446" s="1155">
        <v>41953</v>
      </c>
      <c r="B446" s="1156">
        <v>211</v>
      </c>
      <c r="C446" s="1157">
        <v>198</v>
      </c>
      <c r="D446" s="1157">
        <v>112</v>
      </c>
      <c r="E446" s="1157">
        <v>153.33333333333357</v>
      </c>
      <c r="F446" s="1158">
        <v>38.754973086824243</v>
      </c>
      <c r="G446" s="1158">
        <v>5.0689343768813968</v>
      </c>
    </row>
    <row r="447" spans="1:7" ht="20.100000000000001" customHeight="1">
      <c r="A447" s="1155">
        <v>41954</v>
      </c>
      <c r="B447" s="1156">
        <v>213</v>
      </c>
      <c r="C447" s="1157">
        <v>167.99999999999994</v>
      </c>
      <c r="D447" s="1157">
        <v>136</v>
      </c>
      <c r="E447" s="1157">
        <v>100.0000000000001</v>
      </c>
      <c r="F447" s="1158">
        <v>42.655433341134255</v>
      </c>
      <c r="G447" s="1158">
        <v>6.5544852498494883</v>
      </c>
    </row>
    <row r="448" spans="1:7" ht="20.100000000000001" customHeight="1">
      <c r="A448" s="1155">
        <v>41955</v>
      </c>
      <c r="B448" s="1156">
        <v>111</v>
      </c>
      <c r="C448" s="1157">
        <v>186.00000000000003</v>
      </c>
      <c r="D448" s="1157">
        <v>128</v>
      </c>
      <c r="E448" s="1157">
        <v>123.33333333333364</v>
      </c>
      <c r="F448" s="1158">
        <v>51.174038536547307</v>
      </c>
      <c r="G448" s="1158">
        <v>5.6739915713425644</v>
      </c>
    </row>
    <row r="449" spans="1:7" ht="20.100000000000001" customHeight="1">
      <c r="A449" s="1155">
        <v>41956</v>
      </c>
      <c r="B449" s="1156">
        <v>213</v>
      </c>
      <c r="C449" s="1157">
        <v>180</v>
      </c>
      <c r="D449" s="1157">
        <v>100</v>
      </c>
      <c r="E449" s="1157">
        <v>170.00000000000026</v>
      </c>
      <c r="F449" s="1158">
        <v>38.754973086824243</v>
      </c>
      <c r="G449" s="1158">
        <v>4.9876580373269119</v>
      </c>
    </row>
    <row r="450" spans="1:7" ht="20.100000000000001" customHeight="1">
      <c r="A450" s="1155">
        <v>41957</v>
      </c>
      <c r="B450" s="1156">
        <v>216</v>
      </c>
      <c r="C450" s="1157">
        <v>191.99999999999994</v>
      </c>
      <c r="D450" s="1157">
        <v>144</v>
      </c>
      <c r="E450" s="1157">
        <v>123.33333333333317</v>
      </c>
      <c r="F450" s="1158">
        <v>42.093767064513614</v>
      </c>
      <c r="G450" s="1158">
        <v>4.7618904274533405</v>
      </c>
    </row>
    <row r="451" spans="1:7" ht="20.100000000000001" customHeight="1">
      <c r="A451" s="1155">
        <v>41958</v>
      </c>
      <c r="B451" s="1156">
        <v>210</v>
      </c>
      <c r="C451" s="1157">
        <v>216.00000000000003</v>
      </c>
      <c r="D451" s="1157">
        <v>148</v>
      </c>
      <c r="E451" s="1157">
        <v>139.99999999999986</v>
      </c>
      <c r="F451" s="1158">
        <v>48.209688743271705</v>
      </c>
      <c r="G451" s="1158">
        <v>5.2585791691751949</v>
      </c>
    </row>
    <row r="452" spans="1:7" ht="20.100000000000001" customHeight="1">
      <c r="A452" s="1155">
        <v>41959</v>
      </c>
      <c r="B452" s="1156">
        <v>224</v>
      </c>
      <c r="C452" s="1157">
        <v>209.99999999999994</v>
      </c>
      <c r="D452" s="1157">
        <v>116</v>
      </c>
      <c r="E452" s="1157">
        <v>180.00000000000009</v>
      </c>
      <c r="F452" s="1158">
        <v>45.526172088306424</v>
      </c>
      <c r="G452" s="1158">
        <v>5.8229981938591209</v>
      </c>
    </row>
    <row r="453" spans="1:7" ht="20.100000000000001" customHeight="1">
      <c r="A453" s="1155">
        <v>41960</v>
      </c>
      <c r="B453" s="1156">
        <v>210</v>
      </c>
      <c r="C453" s="1157">
        <v>215.99999999999997</v>
      </c>
      <c r="D453" s="1157">
        <v>88</v>
      </c>
      <c r="E453" s="1157">
        <v>156.666666666667</v>
      </c>
      <c r="F453" s="1158">
        <v>38.879787814962171</v>
      </c>
      <c r="G453" s="1158">
        <v>6.9653822998193853</v>
      </c>
    </row>
    <row r="454" spans="1:7" ht="20.100000000000001" customHeight="1">
      <c r="A454" s="1155">
        <v>41961</v>
      </c>
      <c r="B454" s="1156">
        <v>213</v>
      </c>
      <c r="C454" s="1157">
        <v>228.00000000000006</v>
      </c>
      <c r="D454" s="1157">
        <v>120</v>
      </c>
      <c r="E454" s="1157">
        <v>143.33333333333329</v>
      </c>
      <c r="F454" s="1158">
        <v>42.156174428582574</v>
      </c>
      <c r="G454" s="1158">
        <v>7.5162552679108954</v>
      </c>
    </row>
    <row r="455" spans="1:7" ht="20.100000000000001" customHeight="1">
      <c r="A455" s="1155">
        <v>41962</v>
      </c>
      <c r="B455" s="1156">
        <v>217</v>
      </c>
      <c r="C455" s="1157">
        <v>204.00000000000003</v>
      </c>
      <c r="D455" s="1157">
        <v>132</v>
      </c>
      <c r="E455" s="1157">
        <v>156.666666666667</v>
      </c>
      <c r="F455" s="1158">
        <v>51.174038536547307</v>
      </c>
      <c r="G455" s="1158">
        <v>7.2814569536423832</v>
      </c>
    </row>
    <row r="456" spans="1:7" ht="20.100000000000001" customHeight="1">
      <c r="A456" s="1155">
        <v>41963</v>
      </c>
      <c r="B456" s="1156">
        <v>208</v>
      </c>
      <c r="C456" s="1157">
        <v>233.99999999999997</v>
      </c>
      <c r="D456" s="1157">
        <v>152</v>
      </c>
      <c r="E456" s="1157">
        <v>106.66666666666696</v>
      </c>
      <c r="F456" s="1158">
        <v>37.69404789765192</v>
      </c>
      <c r="G456" s="1158">
        <v>5.6378687537627927</v>
      </c>
    </row>
    <row r="457" spans="1:7" ht="20.100000000000001" customHeight="1">
      <c r="A457" s="1155">
        <v>41964</v>
      </c>
      <c r="B457" s="1156">
        <v>206</v>
      </c>
      <c r="C457" s="1157">
        <v>228.00000000000006</v>
      </c>
      <c r="D457" s="1157">
        <v>112</v>
      </c>
      <c r="E457" s="1157">
        <v>130.00000000000003</v>
      </c>
      <c r="F457" s="1158">
        <v>47.429596692409703</v>
      </c>
      <c r="G457" s="1158">
        <v>7.4394942805538822</v>
      </c>
    </row>
    <row r="458" spans="1:7" ht="20.100000000000001" customHeight="1">
      <c r="A458" s="1155">
        <v>41965</v>
      </c>
      <c r="B458" s="1156">
        <v>210</v>
      </c>
      <c r="C458" s="1157">
        <v>197.99999999999994</v>
      </c>
      <c r="D458" s="1157">
        <v>176</v>
      </c>
      <c r="E458" s="1157">
        <v>203.33333333333317</v>
      </c>
      <c r="F458" s="1158">
        <v>42.000156018410173</v>
      </c>
      <c r="G458" s="1158">
        <v>5.6875376279349785</v>
      </c>
    </row>
    <row r="459" spans="1:7" ht="20.100000000000001" customHeight="1">
      <c r="A459" s="1155">
        <v>41966</v>
      </c>
      <c r="B459" s="1156">
        <v>214</v>
      </c>
      <c r="C459" s="1157">
        <v>174.00000000000003</v>
      </c>
      <c r="D459" s="1157">
        <v>120</v>
      </c>
      <c r="E459" s="1157">
        <v>103.33333333333307</v>
      </c>
      <c r="F459" s="1158">
        <v>38.66136204072081</v>
      </c>
      <c r="G459" s="1158">
        <v>6.8299217338952429</v>
      </c>
    </row>
    <row r="460" spans="1:7" ht="20.100000000000001" customHeight="1">
      <c r="A460" s="1155">
        <v>41967</v>
      </c>
      <c r="B460" s="1156">
        <v>212</v>
      </c>
      <c r="C460" s="1157">
        <v>270</v>
      </c>
      <c r="D460" s="1157">
        <v>128</v>
      </c>
      <c r="E460" s="1157">
        <v>139.99999999999986</v>
      </c>
      <c r="F460" s="1158">
        <v>48.677743973788907</v>
      </c>
      <c r="G460" s="1158">
        <v>5.9855508729680906</v>
      </c>
    </row>
    <row r="461" spans="1:7" ht="20.100000000000001" customHeight="1">
      <c r="A461" s="1155">
        <v>41968</v>
      </c>
      <c r="B461" s="1156">
        <v>214</v>
      </c>
      <c r="C461" s="1157">
        <v>222</v>
      </c>
      <c r="D461" s="1157">
        <v>140</v>
      </c>
      <c r="E461" s="1157">
        <v>196.66666666666677</v>
      </c>
      <c r="F461" s="1158">
        <v>39.191824635306965</v>
      </c>
      <c r="G461" s="1158">
        <v>5.5069235400361221</v>
      </c>
    </row>
    <row r="462" spans="1:7" ht="20.100000000000001" customHeight="1">
      <c r="A462" s="1155">
        <v>41969</v>
      </c>
      <c r="B462" s="1156">
        <v>213</v>
      </c>
      <c r="C462" s="1157">
        <v>162</v>
      </c>
      <c r="D462" s="1157">
        <v>180</v>
      </c>
      <c r="E462" s="1157">
        <v>223.33333333333329</v>
      </c>
      <c r="F462" s="1158">
        <v>41.781730244168806</v>
      </c>
      <c r="G462" s="1158">
        <v>5.9223359422034907</v>
      </c>
    </row>
    <row r="463" spans="1:7" ht="20.100000000000001" customHeight="1">
      <c r="A463" s="1155">
        <v>41970</v>
      </c>
      <c r="B463" s="1156">
        <v>211</v>
      </c>
      <c r="C463" s="1157">
        <v>162</v>
      </c>
      <c r="D463" s="1157">
        <v>192</v>
      </c>
      <c r="E463" s="1157">
        <v>180.00000000000009</v>
      </c>
      <c r="F463" s="1158">
        <v>37.974881035962241</v>
      </c>
      <c r="G463" s="1158">
        <v>4.7618904274533405</v>
      </c>
    </row>
    <row r="464" spans="1:7" ht="20.100000000000001" customHeight="1">
      <c r="A464" s="1155">
        <v>41971</v>
      </c>
      <c r="B464" s="1156">
        <v>211</v>
      </c>
      <c r="C464" s="1157">
        <v>204.00000000000003</v>
      </c>
      <c r="D464" s="1157">
        <v>148</v>
      </c>
      <c r="E464" s="1157">
        <v>183.33333333333351</v>
      </c>
      <c r="F464" s="1158">
        <v>43.12348857165145</v>
      </c>
      <c r="G464" s="1158">
        <v>5.0779650812763393</v>
      </c>
    </row>
    <row r="465" spans="1:7" ht="20.100000000000001" customHeight="1">
      <c r="A465" s="1155">
        <v>41972</v>
      </c>
      <c r="B465" s="1156">
        <v>214</v>
      </c>
      <c r="C465" s="1157">
        <v>215.99999999999997</v>
      </c>
      <c r="D465" s="1157">
        <v>168</v>
      </c>
      <c r="E465" s="1157">
        <v>153.33333333333357</v>
      </c>
      <c r="F465" s="1158">
        <v>38.910991496996651</v>
      </c>
      <c r="G465" s="1158">
        <v>4.8973509933774837</v>
      </c>
    </row>
    <row r="466" spans="1:7" ht="20.100000000000001" customHeight="1">
      <c r="A466" s="1155">
        <v>41973</v>
      </c>
      <c r="B466" s="1156">
        <v>209</v>
      </c>
      <c r="C466" s="1157">
        <v>246.00000000000003</v>
      </c>
      <c r="D466" s="1157">
        <v>172</v>
      </c>
      <c r="E466" s="1157">
        <v>136.66666666666643</v>
      </c>
      <c r="F466" s="1158">
        <v>46.961541461892494</v>
      </c>
      <c r="G466" s="1158">
        <v>5.1276339554485242</v>
      </c>
    </row>
    <row r="467" spans="1:7" ht="20.100000000000001" customHeight="1">
      <c r="A467" s="1155">
        <v>41974</v>
      </c>
      <c r="B467" s="1161">
        <v>214</v>
      </c>
      <c r="C467" s="1157">
        <v>197.99999999999994</v>
      </c>
      <c r="D467" s="1157">
        <v>148</v>
      </c>
      <c r="E467" s="1157">
        <v>206.66666666666657</v>
      </c>
      <c r="F467" s="1158">
        <v>36.383493252203756</v>
      </c>
      <c r="G467" s="1158">
        <v>4.5316074653822991</v>
      </c>
    </row>
    <row r="468" spans="1:7" ht="20.100000000000001" customHeight="1">
      <c r="A468" s="1155">
        <v>41975</v>
      </c>
      <c r="B468" s="1161">
        <v>212</v>
      </c>
      <c r="C468" s="1157">
        <v>210</v>
      </c>
      <c r="D468" s="1157">
        <v>136</v>
      </c>
      <c r="E468" s="1157">
        <v>183.33333333333351</v>
      </c>
      <c r="F468" s="1158">
        <v>35.853030657617595</v>
      </c>
      <c r="G468" s="1158">
        <v>4.626429861529199</v>
      </c>
    </row>
    <row r="469" spans="1:7" ht="20.100000000000001" customHeight="1">
      <c r="A469" s="1155">
        <v>41976</v>
      </c>
      <c r="B469" s="1161">
        <v>209</v>
      </c>
      <c r="C469" s="1157">
        <v>191.99999999999994</v>
      </c>
      <c r="D469" s="1157">
        <v>132</v>
      </c>
      <c r="E469" s="1157">
        <v>193.3333333333338</v>
      </c>
      <c r="F469" s="1158">
        <v>37.506825805445047</v>
      </c>
      <c r="G469" s="1158">
        <v>5.0012040939193252</v>
      </c>
    </row>
    <row r="470" spans="1:7" ht="20.100000000000001" customHeight="1">
      <c r="A470" s="1155">
        <v>41977</v>
      </c>
      <c r="B470" s="1161">
        <v>264</v>
      </c>
      <c r="C470" s="1157">
        <v>180</v>
      </c>
      <c r="D470" s="1157">
        <v>136</v>
      </c>
      <c r="E470" s="1157">
        <v>156.666666666667</v>
      </c>
      <c r="F470" s="1158">
        <v>36.258678524065836</v>
      </c>
      <c r="G470" s="1158">
        <v>4.7257676098735697</v>
      </c>
    </row>
    <row r="471" spans="1:7" ht="20.100000000000001" customHeight="1">
      <c r="A471" s="1155">
        <v>41978</v>
      </c>
      <c r="B471" s="1161">
        <v>307</v>
      </c>
      <c r="C471" s="1157">
        <v>198.00000000000006</v>
      </c>
      <c r="D471" s="1157">
        <v>143.99999999999997</v>
      </c>
      <c r="E471" s="1157">
        <v>206.66666666666657</v>
      </c>
      <c r="F471" s="1158">
        <v>37.7252515796864</v>
      </c>
      <c r="G471" s="1158">
        <v>5.0915111378687534</v>
      </c>
    </row>
    <row r="472" spans="1:7" ht="20.100000000000001" customHeight="1">
      <c r="A472" s="1155">
        <v>41979</v>
      </c>
      <c r="B472" s="1161">
        <v>304</v>
      </c>
      <c r="C472" s="1157">
        <v>191.99999999999994</v>
      </c>
      <c r="D472" s="1157">
        <v>140</v>
      </c>
      <c r="E472" s="1157">
        <v>183.33333333333351</v>
      </c>
      <c r="F472" s="1158">
        <v>36.976363210858885</v>
      </c>
      <c r="G472" s="1158">
        <v>4.9876580373269119</v>
      </c>
    </row>
    <row r="473" spans="1:7" ht="20.100000000000001" customHeight="1">
      <c r="A473" s="1155">
        <v>41980</v>
      </c>
      <c r="B473" s="1161">
        <v>291</v>
      </c>
      <c r="C473" s="1157">
        <v>198</v>
      </c>
      <c r="D473" s="1157">
        <v>128</v>
      </c>
      <c r="E473" s="1157">
        <v>159.99999999999997</v>
      </c>
      <c r="F473" s="1158">
        <v>37.47562212341056</v>
      </c>
      <c r="G473" s="1158">
        <v>5.0599036724864535</v>
      </c>
    </row>
    <row r="474" spans="1:7" ht="20.100000000000001" customHeight="1">
      <c r="A474" s="1155">
        <v>41981</v>
      </c>
      <c r="B474" s="1161">
        <v>300</v>
      </c>
      <c r="C474" s="1157">
        <v>216.00000000000003</v>
      </c>
      <c r="D474" s="1157">
        <v>136.00000000000003</v>
      </c>
      <c r="E474" s="1157">
        <v>173.33333333333323</v>
      </c>
      <c r="F474" s="1158">
        <v>37.225992667134719</v>
      </c>
      <c r="G474" s="1158">
        <v>5.6198073449729078</v>
      </c>
    </row>
    <row r="475" spans="1:7" ht="20.100000000000001" customHeight="1">
      <c r="A475" s="1155">
        <v>41982</v>
      </c>
      <c r="B475" s="1161">
        <v>299</v>
      </c>
      <c r="C475" s="1157">
        <v>192</v>
      </c>
      <c r="D475" s="1157">
        <v>132</v>
      </c>
      <c r="E475" s="1157">
        <v>163.3333333333334</v>
      </c>
      <c r="F475" s="1158">
        <v>35.010531242686646</v>
      </c>
      <c r="G475" s="1158">
        <v>4.8296207104154121</v>
      </c>
    </row>
    <row r="476" spans="1:7" ht="20.100000000000001" customHeight="1">
      <c r="A476" s="1155">
        <v>41983</v>
      </c>
      <c r="B476" s="1161">
        <v>297</v>
      </c>
      <c r="C476" s="1157">
        <v>180</v>
      </c>
      <c r="D476" s="1157">
        <v>140</v>
      </c>
      <c r="E476" s="1157">
        <v>156.66666666666654</v>
      </c>
      <c r="F476" s="1158">
        <v>38.505343630548403</v>
      </c>
      <c r="G476" s="1158">
        <v>5.0779650812763393</v>
      </c>
    </row>
    <row r="477" spans="1:7" ht="20.100000000000001" customHeight="1">
      <c r="A477" s="1155">
        <v>41984</v>
      </c>
      <c r="B477" s="1161">
        <v>211</v>
      </c>
      <c r="C477" s="1157">
        <v>210</v>
      </c>
      <c r="D477" s="1157">
        <v>144</v>
      </c>
      <c r="E477" s="1157">
        <v>163.3333333333334</v>
      </c>
      <c r="F477" s="1158">
        <v>36.071456431858955</v>
      </c>
      <c r="G477" s="1158">
        <v>5.0057194461167969</v>
      </c>
    </row>
    <row r="478" spans="1:7" ht="20.100000000000001" customHeight="1">
      <c r="A478" s="1155">
        <v>41985</v>
      </c>
      <c r="B478" s="1161">
        <v>291</v>
      </c>
      <c r="C478" s="1157">
        <v>197.99999999999994</v>
      </c>
      <c r="D478" s="1157">
        <v>140</v>
      </c>
      <c r="E478" s="1157">
        <v>139.99999999999986</v>
      </c>
      <c r="F478" s="1158">
        <v>38.692565722755283</v>
      </c>
      <c r="G478" s="1158">
        <v>5.6288380493678503</v>
      </c>
    </row>
    <row r="479" spans="1:7" ht="20.100000000000001" customHeight="1">
      <c r="A479" s="1155">
        <v>41986</v>
      </c>
      <c r="B479" s="1161">
        <v>292</v>
      </c>
      <c r="C479" s="1157">
        <v>192.00000000000006</v>
      </c>
      <c r="D479" s="1157">
        <v>128</v>
      </c>
      <c r="E479" s="1157">
        <v>136.66666666666688</v>
      </c>
      <c r="F479" s="1158">
        <v>39.503861455651759</v>
      </c>
      <c r="G479" s="1158">
        <v>5.2766405779650807</v>
      </c>
    </row>
    <row r="480" spans="1:7" ht="20.100000000000001" customHeight="1">
      <c r="A480" s="1155">
        <v>41987</v>
      </c>
      <c r="B480" s="1161">
        <v>291</v>
      </c>
      <c r="C480" s="1157">
        <v>204.00000000000003</v>
      </c>
      <c r="D480" s="1157">
        <v>116.00000000000003</v>
      </c>
      <c r="E480" s="1157">
        <v>146.66666666666671</v>
      </c>
      <c r="F480" s="1158">
        <v>39.784694593962087</v>
      </c>
      <c r="G480" s="1158">
        <v>5.5159542444310654</v>
      </c>
    </row>
    <row r="481" spans="1:15" ht="20.100000000000001" customHeight="1">
      <c r="A481" s="1155">
        <v>41988</v>
      </c>
      <c r="B481" s="1161">
        <v>302</v>
      </c>
      <c r="C481" s="1157">
        <v>191.99999999999994</v>
      </c>
      <c r="D481" s="1157">
        <v>112</v>
      </c>
      <c r="E481" s="1157">
        <v>126.6666666666666</v>
      </c>
      <c r="F481" s="1158">
        <v>38.193306810203602</v>
      </c>
      <c r="G481" s="1158">
        <v>5.7101143889223351</v>
      </c>
    </row>
    <row r="482" spans="1:15" ht="20.100000000000001" customHeight="1">
      <c r="A482" s="1155">
        <v>41989</v>
      </c>
      <c r="B482" s="1161">
        <v>307</v>
      </c>
      <c r="C482" s="1157">
        <v>180</v>
      </c>
      <c r="D482" s="1157">
        <v>124</v>
      </c>
      <c r="E482" s="1157">
        <v>163.3333333333334</v>
      </c>
      <c r="F482" s="1158">
        <v>40.627194008893056</v>
      </c>
      <c r="G482" s="1158">
        <v>5.9584587597832623</v>
      </c>
    </row>
    <row r="483" spans="1:15" ht="20.100000000000001" customHeight="1">
      <c r="A483" s="1155">
        <v>41990</v>
      </c>
      <c r="B483" s="1161">
        <v>295</v>
      </c>
      <c r="C483" s="1157">
        <v>156.00000000000003</v>
      </c>
      <c r="D483" s="1157">
        <v>128</v>
      </c>
      <c r="E483" s="1157">
        <v>193.33333333333334</v>
      </c>
      <c r="F483" s="1158">
        <v>38.754973086824243</v>
      </c>
      <c r="G483" s="1158">
        <v>5.2540638169777241</v>
      </c>
    </row>
    <row r="484" spans="1:15" ht="20.100000000000001" customHeight="1">
      <c r="A484" s="1155">
        <v>41991</v>
      </c>
      <c r="B484" s="1161">
        <v>288</v>
      </c>
      <c r="C484" s="1157">
        <v>161.99999999999994</v>
      </c>
      <c r="D484" s="1157">
        <v>120</v>
      </c>
      <c r="E484" s="1157">
        <v>156.66666666666654</v>
      </c>
      <c r="F484" s="1158">
        <v>37.350807395272639</v>
      </c>
      <c r="G484" s="1158">
        <v>5.6830222757375068</v>
      </c>
    </row>
    <row r="485" spans="1:15" ht="20.100000000000001" customHeight="1">
      <c r="A485" s="1155">
        <v>41992</v>
      </c>
      <c r="B485" s="1161">
        <v>290</v>
      </c>
      <c r="C485" s="1157">
        <v>180</v>
      </c>
      <c r="D485" s="1157">
        <v>124</v>
      </c>
      <c r="E485" s="1157">
        <v>173.33333333333323</v>
      </c>
      <c r="F485" s="1158">
        <v>38.879787814962171</v>
      </c>
      <c r="G485" s="1158">
        <v>4.8973509933774837</v>
      </c>
    </row>
    <row r="486" spans="1:15" ht="20.100000000000001" customHeight="1">
      <c r="A486" s="1155">
        <v>41993</v>
      </c>
      <c r="B486" s="1161">
        <v>294</v>
      </c>
      <c r="C486" s="1157">
        <v>191.99999999999994</v>
      </c>
      <c r="D486" s="1157">
        <v>112</v>
      </c>
      <c r="E486" s="1157">
        <v>180.00000000000009</v>
      </c>
      <c r="F486" s="1158">
        <v>40.627194008893056</v>
      </c>
      <c r="G486" s="1158">
        <v>5.538531005418422</v>
      </c>
    </row>
    <row r="487" spans="1:15" ht="20.100000000000001" customHeight="1">
      <c r="A487" s="1155">
        <v>41994</v>
      </c>
      <c r="B487" s="1161">
        <v>294</v>
      </c>
      <c r="C487" s="1157">
        <v>185.99999999999997</v>
      </c>
      <c r="D487" s="1157">
        <v>108</v>
      </c>
      <c r="E487" s="1157">
        <v>183.33333333333351</v>
      </c>
      <c r="F487" s="1158">
        <v>40.408768234651689</v>
      </c>
      <c r="G487" s="1158">
        <v>4.910897049969897</v>
      </c>
    </row>
    <row r="488" spans="1:15" ht="20.100000000000001" customHeight="1">
      <c r="A488" s="1155">
        <v>41995</v>
      </c>
      <c r="B488" s="1161">
        <v>294</v>
      </c>
      <c r="C488" s="1157">
        <v>192.00000000000006</v>
      </c>
      <c r="D488" s="1157">
        <v>120</v>
      </c>
      <c r="E488" s="1157">
        <v>163.3333333333334</v>
      </c>
      <c r="F488" s="1158">
        <v>38.817380450893204</v>
      </c>
      <c r="G488" s="1158">
        <v>5.2811559301625524</v>
      </c>
    </row>
    <row r="489" spans="1:15" ht="20.100000000000001" customHeight="1">
      <c r="A489" s="1155">
        <v>41996</v>
      </c>
      <c r="B489" s="1161">
        <v>299</v>
      </c>
      <c r="C489" s="1157">
        <v>179.99999999999994</v>
      </c>
      <c r="D489" s="1157">
        <v>128</v>
      </c>
      <c r="E489" s="1157">
        <v>156.66666666666654</v>
      </c>
      <c r="F489" s="1158">
        <v>39.503861455651759</v>
      </c>
      <c r="G489" s="1158">
        <v>5.4843467790487654</v>
      </c>
    </row>
    <row r="490" spans="1:15" ht="20.100000000000001" customHeight="1">
      <c r="A490" s="1155">
        <v>41997</v>
      </c>
      <c r="B490" s="1161">
        <v>307</v>
      </c>
      <c r="C490" s="1157">
        <v>173.99999999999997</v>
      </c>
      <c r="D490" s="1157">
        <v>120</v>
      </c>
      <c r="E490" s="1157">
        <v>163.3333333333334</v>
      </c>
      <c r="F490" s="1158">
        <v>38.505343630548403</v>
      </c>
      <c r="G490" s="1158">
        <v>6.1074653822998188</v>
      </c>
    </row>
    <row r="491" spans="1:15" ht="20.100000000000001" customHeight="1">
      <c r="A491" s="1155">
        <v>41998</v>
      </c>
      <c r="B491" s="1161">
        <v>297</v>
      </c>
      <c r="C491" s="1157">
        <v>204.00000000000003</v>
      </c>
      <c r="D491" s="1157">
        <v>132</v>
      </c>
      <c r="E491" s="1157">
        <v>153.33333333333309</v>
      </c>
      <c r="F491" s="1158">
        <v>40.658397690927529</v>
      </c>
      <c r="G491" s="1158">
        <v>5.272125225767609</v>
      </c>
    </row>
    <row r="492" spans="1:15" ht="20.100000000000001" customHeight="1">
      <c r="A492" s="1155">
        <v>41999</v>
      </c>
      <c r="B492" s="1161">
        <v>286</v>
      </c>
      <c r="C492" s="1157">
        <v>209.99999999999994</v>
      </c>
      <c r="D492" s="1157">
        <v>136.00000000000003</v>
      </c>
      <c r="E492" s="1157">
        <v>160.00000000000043</v>
      </c>
      <c r="F492" s="1158">
        <v>40.408768234651689</v>
      </c>
      <c r="G492" s="1158">
        <v>5.0960264900662233</v>
      </c>
    </row>
    <row r="493" spans="1:15" ht="20.100000000000001" customHeight="1">
      <c r="A493" s="1155">
        <v>42000</v>
      </c>
      <c r="B493" s="1161">
        <v>292</v>
      </c>
      <c r="C493" s="1157">
        <v>180</v>
      </c>
      <c r="D493" s="1157">
        <v>140</v>
      </c>
      <c r="E493" s="1157">
        <v>143.33333333333329</v>
      </c>
      <c r="F493" s="1158">
        <v>39.223028317341438</v>
      </c>
      <c r="G493" s="1158">
        <v>5.5249849488260079</v>
      </c>
    </row>
    <row r="494" spans="1:15" ht="20.100000000000001" customHeight="1">
      <c r="A494" s="1155">
        <v>42001</v>
      </c>
      <c r="B494" s="1161">
        <v>288</v>
      </c>
      <c r="C494" s="1157">
        <v>198</v>
      </c>
      <c r="D494" s="1157">
        <v>144</v>
      </c>
      <c r="E494" s="1157">
        <v>153.33333333333357</v>
      </c>
      <c r="F494" s="1158">
        <v>40.72080505499649</v>
      </c>
      <c r="G494" s="1158">
        <v>5.0057194461167969</v>
      </c>
      <c r="J494" s="1133"/>
      <c r="K494" s="1133"/>
      <c r="L494" s="1133"/>
      <c r="M494" s="1133"/>
      <c r="N494" s="1133"/>
      <c r="O494" s="1133"/>
    </row>
    <row r="495" spans="1:15" ht="20.100000000000001" customHeight="1">
      <c r="A495" s="1155">
        <v>42002</v>
      </c>
      <c r="B495" s="1161">
        <v>297</v>
      </c>
      <c r="C495" s="1157">
        <v>204.00000000000003</v>
      </c>
      <c r="D495" s="1157">
        <v>140</v>
      </c>
      <c r="E495" s="1157">
        <v>163.3333333333334</v>
      </c>
      <c r="F495" s="1158">
        <v>39.503861455651759</v>
      </c>
      <c r="G495" s="1158">
        <v>4.7664057796508121</v>
      </c>
      <c r="J495" s="1133"/>
      <c r="K495" s="1133"/>
      <c r="L495" s="1133"/>
      <c r="M495" s="1133"/>
      <c r="N495" s="1133"/>
      <c r="O495" s="1133"/>
    </row>
    <row r="496" spans="1:15" ht="20.100000000000001" customHeight="1">
      <c r="A496" s="1155">
        <v>42003</v>
      </c>
      <c r="B496" s="1161">
        <v>297</v>
      </c>
      <c r="C496" s="1157">
        <v>174.00000000000003</v>
      </c>
      <c r="D496" s="1157">
        <v>128</v>
      </c>
      <c r="E496" s="1157">
        <v>169.9999999999998</v>
      </c>
      <c r="F496" s="1158">
        <v>41.251267649582658</v>
      </c>
      <c r="G496" s="1158">
        <v>5.2766405779650807</v>
      </c>
      <c r="J496" s="1133"/>
      <c r="K496" s="1133"/>
      <c r="L496" s="1133"/>
      <c r="M496" s="1133"/>
      <c r="N496" s="1133"/>
      <c r="O496" s="1133"/>
    </row>
    <row r="497" spans="1:15" ht="20.100000000000001" customHeight="1">
      <c r="A497" s="1155">
        <v>42004</v>
      </c>
      <c r="B497" s="1161">
        <v>292</v>
      </c>
      <c r="C497" s="1157">
        <v>222</v>
      </c>
      <c r="D497" s="1157">
        <v>132</v>
      </c>
      <c r="E497" s="1157">
        <v>166.66666666666683</v>
      </c>
      <c r="F497" s="1158">
        <v>40.783212419065443</v>
      </c>
      <c r="G497" s="1158">
        <v>5.2043949428055383</v>
      </c>
      <c r="J497" s="1133"/>
      <c r="K497" s="1133"/>
      <c r="L497" s="1133"/>
      <c r="M497" s="1133"/>
      <c r="N497" s="1133"/>
      <c r="O497" s="1133"/>
    </row>
    <row r="498" spans="1:15" ht="20.100000000000001" customHeight="1">
      <c r="A498" s="1150" t="s">
        <v>1693</v>
      </c>
      <c r="B498" s="1146">
        <f t="shared" ref="B498:G498" si="1">AVERAGE(B134:B497)</f>
        <v>316.11538461538464</v>
      </c>
      <c r="C498" s="1147">
        <f t="shared" si="1"/>
        <v>258.84065934065933</v>
      </c>
      <c r="D498" s="1147">
        <f t="shared" si="1"/>
        <v>152.28571428571428</v>
      </c>
      <c r="E498" s="1147">
        <f t="shared" si="1"/>
        <v>379.80769230769238</v>
      </c>
      <c r="F498" s="1148">
        <f t="shared" si="1"/>
        <v>55.524809070327407</v>
      </c>
      <c r="G498" s="1148">
        <f t="shared" si="1"/>
        <v>4.9387805902706559</v>
      </c>
      <c r="J498" s="1133"/>
      <c r="K498" s="1133"/>
      <c r="L498" s="1133"/>
      <c r="M498" s="1133"/>
      <c r="N498" s="1133"/>
      <c r="O498" s="1133"/>
    </row>
    <row r="499" spans="1:15">
      <c r="A499" s="1149"/>
      <c r="B499" s="1149"/>
      <c r="C499" s="1149"/>
      <c r="D499" s="1149"/>
      <c r="E499" s="1149"/>
      <c r="F499" s="1149"/>
      <c r="G499" s="1149"/>
      <c r="J499" s="1133"/>
      <c r="K499" s="1133"/>
      <c r="L499" s="1133"/>
      <c r="M499" s="1133"/>
      <c r="N499" s="1133"/>
      <c r="O499" s="1133"/>
    </row>
    <row r="500" spans="1:15">
      <c r="A500" s="2201" t="s">
        <v>1694</v>
      </c>
      <c r="B500" s="2201"/>
      <c r="C500" s="2201"/>
      <c r="D500" s="2201"/>
      <c r="E500" s="2201"/>
      <c r="F500" s="2201"/>
      <c r="G500" s="2201"/>
      <c r="J500" s="1133"/>
      <c r="K500" s="1133"/>
      <c r="L500" s="1133"/>
      <c r="M500" s="1133"/>
      <c r="N500" s="1133"/>
      <c r="O500" s="1133"/>
    </row>
    <row r="501" spans="1:15">
      <c r="A501" s="2201"/>
      <c r="B501" s="2201"/>
      <c r="C501" s="2201"/>
      <c r="D501" s="2201"/>
      <c r="E501" s="2201"/>
      <c r="F501" s="2201"/>
      <c r="G501" s="2201"/>
      <c r="J501" s="1133"/>
      <c r="K501" s="1133"/>
      <c r="L501" s="1133"/>
      <c r="M501" s="1133"/>
      <c r="N501" s="1133"/>
      <c r="O501" s="1133"/>
    </row>
    <row r="502" spans="1:15">
      <c r="A502" s="1150" t="s">
        <v>1690</v>
      </c>
      <c r="B502" s="1151" t="s">
        <v>1691</v>
      </c>
      <c r="C502" s="1162" t="s">
        <v>414</v>
      </c>
      <c r="D502" s="1162" t="s">
        <v>415</v>
      </c>
      <c r="E502" s="1162" t="s">
        <v>416</v>
      </c>
      <c r="F502" s="1163" t="s">
        <v>417</v>
      </c>
      <c r="G502" s="1163" t="s">
        <v>418</v>
      </c>
      <c r="J502" s="1133"/>
      <c r="K502" s="1133"/>
      <c r="L502" s="1133"/>
      <c r="M502" s="1133"/>
      <c r="N502" s="1133"/>
      <c r="O502" s="1133"/>
    </row>
    <row r="503" spans="1:15" ht="20.100000000000001" customHeight="1">
      <c r="A503" s="1155">
        <v>42005</v>
      </c>
      <c r="B503" s="1161">
        <v>298</v>
      </c>
      <c r="C503" s="1157">
        <v>185.99999999999997</v>
      </c>
      <c r="D503" s="1157">
        <v>152</v>
      </c>
      <c r="E503" s="1157">
        <v>210.00000000000003</v>
      </c>
      <c r="F503" s="1158">
        <v>40.346360870582728</v>
      </c>
      <c r="G503" s="1158">
        <v>5.11408789885611</v>
      </c>
      <c r="J503" s="1133"/>
      <c r="K503" s="1133"/>
      <c r="L503" s="1133"/>
      <c r="M503" s="1133"/>
      <c r="N503" s="1133"/>
      <c r="O503" s="1133"/>
    </row>
    <row r="504" spans="1:15" ht="20.100000000000001" customHeight="1">
      <c r="A504" s="1155">
        <v>42006</v>
      </c>
      <c r="B504" s="1161">
        <v>289</v>
      </c>
      <c r="C504" s="1157">
        <v>192</v>
      </c>
      <c r="D504" s="1157">
        <v>136</v>
      </c>
      <c r="E504" s="1157">
        <v>206.66666666666657</v>
      </c>
      <c r="F504" s="1158">
        <v>39.503861455651759</v>
      </c>
      <c r="G504" s="1158">
        <v>5.4391932570740504</v>
      </c>
      <c r="J504" s="1133"/>
      <c r="K504" s="1133"/>
      <c r="L504" s="1133"/>
      <c r="M504" s="1133"/>
      <c r="N504" s="1133"/>
      <c r="O504" s="1133"/>
    </row>
    <row r="505" spans="1:15" ht="20.100000000000001" customHeight="1">
      <c r="A505" s="1155">
        <v>42007</v>
      </c>
      <c r="B505" s="1161">
        <v>274</v>
      </c>
      <c r="C505" s="1157">
        <v>185.99999999999997</v>
      </c>
      <c r="D505" s="1157">
        <v>144</v>
      </c>
      <c r="E505" s="1157">
        <v>186.66666666666691</v>
      </c>
      <c r="F505" s="1158">
        <v>38.786176768858724</v>
      </c>
      <c r="G505" s="1158">
        <v>5.5159542444310654</v>
      </c>
      <c r="J505" s="1133"/>
      <c r="K505" s="1133"/>
      <c r="L505" s="1133"/>
      <c r="M505" s="1133"/>
      <c r="N505" s="1133"/>
      <c r="O505" s="1133"/>
    </row>
    <row r="506" spans="1:15" ht="20.100000000000001" customHeight="1">
      <c r="A506" s="1155">
        <v>42008</v>
      </c>
      <c r="B506" s="1161">
        <v>274</v>
      </c>
      <c r="C506" s="1157">
        <v>191.99999999999994</v>
      </c>
      <c r="D506" s="1157">
        <v>128</v>
      </c>
      <c r="E506" s="1157">
        <v>193.33333333333334</v>
      </c>
      <c r="F506" s="1158">
        <v>39.067009907169044</v>
      </c>
      <c r="G506" s="1158">
        <v>5.4030704394942797</v>
      </c>
      <c r="J506" s="1133"/>
      <c r="K506" s="1133"/>
      <c r="L506" s="1133"/>
      <c r="M506" s="1133"/>
      <c r="N506" s="1133"/>
      <c r="O506" s="1133"/>
    </row>
    <row r="507" spans="1:15" ht="20.100000000000001" customHeight="1">
      <c r="A507" s="1155">
        <v>42009</v>
      </c>
      <c r="B507" s="1161">
        <v>281</v>
      </c>
      <c r="C507" s="1157">
        <v>204.00000000000003</v>
      </c>
      <c r="D507" s="1157">
        <v>136</v>
      </c>
      <c r="E507" s="1157">
        <v>203.33333333333317</v>
      </c>
      <c r="F507" s="1158">
        <v>36.321085888134803</v>
      </c>
      <c r="G507" s="1158">
        <v>5.6107766405779644</v>
      </c>
      <c r="J507" s="1133"/>
      <c r="K507" s="1133"/>
      <c r="L507" s="1133"/>
      <c r="M507" s="1133"/>
      <c r="N507" s="1133"/>
      <c r="O507" s="1133"/>
    </row>
    <row r="508" spans="1:15" ht="20.100000000000001" customHeight="1">
      <c r="A508" s="1155">
        <v>42010</v>
      </c>
      <c r="B508" s="1161">
        <v>283</v>
      </c>
      <c r="C508" s="1157" t="s">
        <v>100</v>
      </c>
      <c r="D508" s="1157" t="s">
        <v>100</v>
      </c>
      <c r="E508" s="1157" t="s">
        <v>100</v>
      </c>
      <c r="F508" s="1158" t="s">
        <v>100</v>
      </c>
      <c r="G508" s="1158" t="s">
        <v>100</v>
      </c>
      <c r="J508" s="1133"/>
      <c r="K508" s="1133"/>
      <c r="L508" s="1133"/>
      <c r="M508" s="1133"/>
      <c r="N508" s="1133"/>
      <c r="O508" s="1133"/>
    </row>
    <row r="509" spans="1:15" ht="20.100000000000001" customHeight="1">
      <c r="A509" s="1155">
        <v>42011</v>
      </c>
      <c r="B509" s="1161">
        <v>292</v>
      </c>
      <c r="C509" s="1157" t="s">
        <v>100</v>
      </c>
      <c r="D509" s="1157" t="s">
        <v>100</v>
      </c>
      <c r="E509" s="1157" t="s">
        <v>100</v>
      </c>
      <c r="F509" s="1158" t="s">
        <v>100</v>
      </c>
      <c r="G509" s="1158" t="s">
        <v>100</v>
      </c>
      <c r="J509" s="1133"/>
      <c r="K509" s="1133"/>
      <c r="L509" s="1133"/>
      <c r="M509" s="1133"/>
      <c r="N509" s="1133"/>
      <c r="O509" s="1133"/>
    </row>
    <row r="510" spans="1:15" ht="20.100000000000001" customHeight="1">
      <c r="A510" s="1155">
        <v>42012</v>
      </c>
      <c r="B510" s="1161">
        <v>281</v>
      </c>
      <c r="C510" s="1157" t="s">
        <v>100</v>
      </c>
      <c r="D510" s="1157" t="s">
        <v>100</v>
      </c>
      <c r="E510" s="1157" t="s">
        <v>100</v>
      </c>
      <c r="F510" s="1158" t="s">
        <v>100</v>
      </c>
      <c r="G510" s="1158" t="s">
        <v>100</v>
      </c>
      <c r="J510" s="1133"/>
      <c r="K510" s="1133"/>
      <c r="L510" s="1133"/>
      <c r="M510" s="1133"/>
      <c r="N510" s="1133"/>
      <c r="O510" s="1133"/>
    </row>
    <row r="511" spans="1:15" ht="20.100000000000001" customHeight="1">
      <c r="A511" s="1155">
        <v>42013</v>
      </c>
      <c r="B511" s="1161">
        <v>284</v>
      </c>
      <c r="C511" s="1157">
        <v>191.99999999999994</v>
      </c>
      <c r="D511" s="1157">
        <v>140</v>
      </c>
      <c r="E511" s="1157">
        <v>196.66666666666677</v>
      </c>
      <c r="F511" s="1158">
        <v>36.258678524065836</v>
      </c>
      <c r="G511" s="1158">
        <v>5.4391932570740504</v>
      </c>
      <c r="J511" s="1133"/>
      <c r="K511" s="1133"/>
      <c r="L511" s="1133"/>
      <c r="M511" s="1133"/>
      <c r="N511" s="1133"/>
      <c r="O511" s="1133"/>
    </row>
    <row r="512" spans="1:15" ht="20.100000000000001" customHeight="1">
      <c r="A512" s="1155">
        <v>42014</v>
      </c>
      <c r="B512" s="1161">
        <v>275</v>
      </c>
      <c r="C512" s="1157" t="s">
        <v>100</v>
      </c>
      <c r="D512" s="1157" t="s">
        <v>100</v>
      </c>
      <c r="E512" s="1157" t="s">
        <v>100</v>
      </c>
      <c r="F512" s="1158" t="s">
        <v>100</v>
      </c>
      <c r="G512" s="1158" t="s">
        <v>100</v>
      </c>
      <c r="J512" s="1133"/>
      <c r="K512" s="1133"/>
      <c r="L512" s="1133"/>
      <c r="M512" s="1133"/>
      <c r="N512" s="1133"/>
      <c r="O512" s="1133"/>
    </row>
    <row r="513" spans="1:15" ht="20.100000000000001" customHeight="1">
      <c r="A513" s="1155">
        <v>42015</v>
      </c>
      <c r="B513" s="1161">
        <v>283</v>
      </c>
      <c r="C513" s="1157" t="s">
        <v>100</v>
      </c>
      <c r="D513" s="1157" t="s">
        <v>100</v>
      </c>
      <c r="E513" s="1157" t="s">
        <v>100</v>
      </c>
      <c r="F513" s="1158" t="s">
        <v>100</v>
      </c>
      <c r="G513" s="1158" t="s">
        <v>100</v>
      </c>
      <c r="J513" s="1133"/>
      <c r="K513" s="1133"/>
      <c r="L513" s="1133"/>
      <c r="M513" s="1133"/>
      <c r="N513" s="1133"/>
      <c r="O513" s="1133"/>
    </row>
    <row r="514" spans="1:15" ht="20.100000000000001" customHeight="1">
      <c r="A514" s="1155">
        <v>42016</v>
      </c>
      <c r="B514" s="1161">
        <v>277</v>
      </c>
      <c r="C514" s="1157" t="s">
        <v>100</v>
      </c>
      <c r="D514" s="1157" t="s">
        <v>100</v>
      </c>
      <c r="E514" s="1157" t="s">
        <v>100</v>
      </c>
      <c r="F514" s="1158" t="s">
        <v>100</v>
      </c>
      <c r="G514" s="1158" t="s">
        <v>100</v>
      </c>
      <c r="J514" s="1133"/>
      <c r="K514" s="1133"/>
      <c r="L514" s="1133"/>
      <c r="M514" s="1133"/>
      <c r="N514" s="1133"/>
      <c r="O514" s="1133"/>
    </row>
    <row r="515" spans="1:15" ht="20.100000000000001" customHeight="1">
      <c r="A515" s="1155">
        <v>42017</v>
      </c>
      <c r="B515" s="1161">
        <v>287</v>
      </c>
      <c r="C515" s="1157" t="s">
        <v>100</v>
      </c>
      <c r="D515" s="1157" t="s">
        <v>100</v>
      </c>
      <c r="E515" s="1157" t="s">
        <v>100</v>
      </c>
      <c r="F515" s="1158" t="s">
        <v>100</v>
      </c>
      <c r="G515" s="1158" t="s">
        <v>100</v>
      </c>
      <c r="J515" s="1133"/>
      <c r="K515" s="1133"/>
      <c r="L515" s="1133"/>
      <c r="M515" s="1133"/>
      <c r="N515" s="1133"/>
      <c r="O515" s="1133"/>
    </row>
    <row r="516" spans="1:15" ht="20.100000000000001" customHeight="1">
      <c r="A516" s="1155">
        <v>42018</v>
      </c>
      <c r="B516" s="1161">
        <v>300</v>
      </c>
      <c r="C516" s="1157" t="s">
        <v>100</v>
      </c>
      <c r="D516" s="1157" t="s">
        <v>100</v>
      </c>
      <c r="E516" s="1157" t="s">
        <v>100</v>
      </c>
      <c r="F516" s="1158" t="s">
        <v>100</v>
      </c>
      <c r="G516" s="1158" t="s">
        <v>100</v>
      </c>
      <c r="J516" s="1133"/>
      <c r="K516" s="1133"/>
      <c r="L516" s="1133"/>
      <c r="M516" s="1133"/>
      <c r="N516" s="1133"/>
      <c r="O516" s="1133"/>
    </row>
    <row r="517" spans="1:15" ht="20.100000000000001" customHeight="1">
      <c r="A517" s="1155">
        <v>42019</v>
      </c>
      <c r="B517" s="1161">
        <v>294</v>
      </c>
      <c r="C517" s="1157" t="s">
        <v>100</v>
      </c>
      <c r="D517" s="1157" t="s">
        <v>100</v>
      </c>
      <c r="E517" s="1157" t="s">
        <v>100</v>
      </c>
      <c r="F517" s="1158" t="s">
        <v>100</v>
      </c>
      <c r="G517" s="1158" t="s">
        <v>100</v>
      </c>
      <c r="J517" s="1133"/>
      <c r="K517" s="1133"/>
      <c r="L517" s="1133"/>
      <c r="M517" s="1133"/>
      <c r="N517" s="1133"/>
      <c r="O517" s="1133"/>
    </row>
    <row r="518" spans="1:15" ht="20.100000000000001" customHeight="1">
      <c r="A518" s="1155">
        <v>42020</v>
      </c>
      <c r="B518" s="1161">
        <v>295</v>
      </c>
      <c r="C518" s="1157">
        <v>185.99999999999997</v>
      </c>
      <c r="D518" s="1157">
        <v>143.99999999999997</v>
      </c>
      <c r="E518" s="1157">
        <v>200.0000000000002</v>
      </c>
      <c r="F518" s="1158">
        <v>38.037288400031208</v>
      </c>
      <c r="G518" s="1158">
        <v>5.2766405779650807</v>
      </c>
      <c r="J518" s="1133"/>
      <c r="K518" s="1133"/>
      <c r="L518" s="1133"/>
      <c r="M518" s="1133"/>
      <c r="N518" s="1133"/>
      <c r="O518" s="1133"/>
    </row>
    <row r="519" spans="1:15" ht="20.100000000000001" customHeight="1">
      <c r="A519" s="1155">
        <v>42021</v>
      </c>
      <c r="B519" s="1161">
        <v>271</v>
      </c>
      <c r="C519" s="1157" t="s">
        <v>100</v>
      </c>
      <c r="D519" s="1157" t="s">
        <v>100</v>
      </c>
      <c r="E519" s="1157" t="s">
        <v>100</v>
      </c>
      <c r="F519" s="1158" t="s">
        <v>100</v>
      </c>
      <c r="G519" s="1158" t="s">
        <v>100</v>
      </c>
      <c r="J519" s="1133"/>
      <c r="K519" s="1133"/>
      <c r="L519" s="1133"/>
      <c r="M519" s="1133"/>
      <c r="N519" s="1133"/>
      <c r="O519" s="1133"/>
    </row>
    <row r="520" spans="1:15" ht="20.100000000000001" customHeight="1">
      <c r="A520" s="1155">
        <v>42022</v>
      </c>
      <c r="B520" s="1161">
        <v>266</v>
      </c>
      <c r="C520" s="1157" t="s">
        <v>100</v>
      </c>
      <c r="D520" s="1157" t="s">
        <v>100</v>
      </c>
      <c r="E520" s="1157" t="s">
        <v>100</v>
      </c>
      <c r="F520" s="1158" t="s">
        <v>100</v>
      </c>
      <c r="G520" s="1158" t="s">
        <v>100</v>
      </c>
      <c r="J520" s="1133"/>
      <c r="K520" s="1133"/>
      <c r="L520" s="1133"/>
      <c r="M520" s="1133"/>
      <c r="N520" s="1133"/>
      <c r="O520" s="1133"/>
    </row>
    <row r="521" spans="1:15" ht="20.100000000000001" customHeight="1">
      <c r="A521" s="1155">
        <v>42023</v>
      </c>
      <c r="B521" s="1161">
        <v>277</v>
      </c>
      <c r="C521" s="1157" t="s">
        <v>100</v>
      </c>
      <c r="D521" s="1157" t="s">
        <v>100</v>
      </c>
      <c r="E521" s="1157" t="s">
        <v>100</v>
      </c>
      <c r="F521" s="1158" t="s">
        <v>100</v>
      </c>
      <c r="G521" s="1158" t="s">
        <v>100</v>
      </c>
      <c r="J521" s="1133"/>
      <c r="K521" s="1133"/>
      <c r="L521" s="1133"/>
      <c r="M521" s="1133"/>
      <c r="N521" s="1133"/>
      <c r="O521" s="1133"/>
    </row>
    <row r="522" spans="1:15" ht="20.100000000000001" customHeight="1">
      <c r="A522" s="1155">
        <v>42024</v>
      </c>
      <c r="B522" s="1161">
        <v>259</v>
      </c>
      <c r="C522" s="1157" t="s">
        <v>100</v>
      </c>
      <c r="D522" s="1157" t="s">
        <v>100</v>
      </c>
      <c r="E522" s="1157" t="s">
        <v>100</v>
      </c>
      <c r="F522" s="1158" t="s">
        <v>100</v>
      </c>
      <c r="G522" s="1158" t="s">
        <v>100</v>
      </c>
      <c r="J522" s="1133"/>
      <c r="K522" s="1133"/>
      <c r="L522" s="1133"/>
      <c r="M522" s="1133"/>
      <c r="N522" s="1133"/>
      <c r="O522" s="1133"/>
    </row>
    <row r="523" spans="1:15" ht="20.100000000000001" customHeight="1">
      <c r="A523" s="1155">
        <v>42025</v>
      </c>
      <c r="B523" s="1161">
        <v>206</v>
      </c>
      <c r="C523" s="1157" t="s">
        <v>100</v>
      </c>
      <c r="D523" s="1157" t="s">
        <v>100</v>
      </c>
      <c r="E523" s="1157" t="s">
        <v>100</v>
      </c>
      <c r="F523" s="1158" t="s">
        <v>100</v>
      </c>
      <c r="G523" s="1158" t="s">
        <v>100</v>
      </c>
      <c r="J523" s="1133"/>
      <c r="K523" s="1133"/>
      <c r="L523" s="1133"/>
      <c r="M523" s="1133"/>
      <c r="N523" s="1133"/>
      <c r="O523" s="1133"/>
    </row>
    <row r="524" spans="1:15" ht="20.100000000000001" customHeight="1">
      <c r="A524" s="1155">
        <v>42026</v>
      </c>
      <c r="B524" s="1161">
        <v>289</v>
      </c>
      <c r="C524" s="1157" t="s">
        <v>100</v>
      </c>
      <c r="D524" s="1157" t="s">
        <v>100</v>
      </c>
      <c r="E524" s="1157" t="s">
        <v>100</v>
      </c>
      <c r="F524" s="1158" t="s">
        <v>100</v>
      </c>
      <c r="G524" s="1158" t="s">
        <v>100</v>
      </c>
      <c r="J524" s="1133"/>
      <c r="K524" s="1133"/>
      <c r="L524" s="1133"/>
      <c r="M524" s="1133"/>
      <c r="N524" s="1133"/>
      <c r="O524" s="1133"/>
    </row>
    <row r="525" spans="1:15" ht="20.100000000000001" customHeight="1">
      <c r="A525" s="1155">
        <v>42027</v>
      </c>
      <c r="B525" s="1161">
        <v>302</v>
      </c>
      <c r="C525" s="1157">
        <v>203.99999999999997</v>
      </c>
      <c r="D525" s="1157">
        <v>148</v>
      </c>
      <c r="E525" s="1157">
        <v>210.00000000000003</v>
      </c>
      <c r="F525" s="1158">
        <v>41.001638193306817</v>
      </c>
      <c r="G525" s="1158">
        <v>5.493377483443707</v>
      </c>
      <c r="J525" s="1133"/>
      <c r="K525" s="1133"/>
      <c r="L525" s="1133"/>
      <c r="M525" s="1133"/>
      <c r="N525" s="1133"/>
      <c r="O525" s="1133"/>
    </row>
    <row r="526" spans="1:15" ht="20.100000000000001" customHeight="1">
      <c r="A526" s="1155">
        <v>42028</v>
      </c>
      <c r="B526" s="1161">
        <v>302</v>
      </c>
      <c r="C526" s="1157" t="s">
        <v>100</v>
      </c>
      <c r="D526" s="1157" t="s">
        <v>100</v>
      </c>
      <c r="E526" s="1157" t="s">
        <v>100</v>
      </c>
      <c r="F526" s="1158" t="s">
        <v>100</v>
      </c>
      <c r="G526" s="1158" t="s">
        <v>100</v>
      </c>
      <c r="J526" s="1133"/>
      <c r="K526" s="1133"/>
      <c r="L526" s="1133"/>
      <c r="M526" s="1133"/>
      <c r="N526" s="1133"/>
      <c r="O526" s="1133"/>
    </row>
    <row r="527" spans="1:15" ht="20.100000000000001" customHeight="1">
      <c r="A527" s="1155">
        <v>42029</v>
      </c>
      <c r="B527" s="1161">
        <v>287</v>
      </c>
      <c r="C527" s="1157" t="s">
        <v>100</v>
      </c>
      <c r="D527" s="1157" t="s">
        <v>100</v>
      </c>
      <c r="E527" s="1157" t="s">
        <v>100</v>
      </c>
      <c r="F527" s="1158" t="s">
        <v>100</v>
      </c>
      <c r="G527" s="1158" t="s">
        <v>100</v>
      </c>
      <c r="J527" s="1133"/>
      <c r="K527" s="1133"/>
      <c r="L527" s="1133"/>
      <c r="M527" s="1133"/>
      <c r="N527" s="1133"/>
      <c r="O527" s="1133"/>
    </row>
    <row r="528" spans="1:15" ht="20.100000000000001" customHeight="1">
      <c r="A528" s="1155">
        <v>42030</v>
      </c>
      <c r="B528" s="1161">
        <v>297</v>
      </c>
      <c r="C528" s="1157" t="s">
        <v>100</v>
      </c>
      <c r="D528" s="1157" t="s">
        <v>100</v>
      </c>
      <c r="E528" s="1157" t="s">
        <v>100</v>
      </c>
      <c r="F528" s="1158" t="s">
        <v>100</v>
      </c>
      <c r="G528" s="1158" t="s">
        <v>100</v>
      </c>
      <c r="J528" s="1133"/>
      <c r="K528" s="1133"/>
      <c r="L528" s="1133"/>
      <c r="M528" s="1133"/>
      <c r="N528" s="1133"/>
      <c r="O528" s="1133"/>
    </row>
    <row r="529" spans="1:15" ht="20.100000000000001" customHeight="1">
      <c r="A529" s="1155">
        <v>42031</v>
      </c>
      <c r="B529" s="1161">
        <v>308</v>
      </c>
      <c r="C529" s="1157" t="s">
        <v>100</v>
      </c>
      <c r="D529" s="1157" t="s">
        <v>100</v>
      </c>
      <c r="E529" s="1157" t="s">
        <v>100</v>
      </c>
      <c r="F529" s="1158" t="s">
        <v>100</v>
      </c>
      <c r="G529" s="1158" t="s">
        <v>100</v>
      </c>
      <c r="J529" s="1133"/>
      <c r="K529" s="1133"/>
      <c r="L529" s="1133"/>
      <c r="M529" s="1133"/>
      <c r="N529" s="1133"/>
      <c r="O529" s="1133"/>
    </row>
    <row r="530" spans="1:15" ht="20.100000000000001" customHeight="1">
      <c r="A530" s="1155">
        <v>42032</v>
      </c>
      <c r="B530" s="1161">
        <v>310</v>
      </c>
      <c r="C530" s="1157" t="s">
        <v>100</v>
      </c>
      <c r="D530" s="1157" t="s">
        <v>100</v>
      </c>
      <c r="E530" s="1157" t="s">
        <v>100</v>
      </c>
      <c r="F530" s="1158" t="s">
        <v>100</v>
      </c>
      <c r="G530" s="1158" t="s">
        <v>100</v>
      </c>
      <c r="J530" s="1133"/>
      <c r="K530" s="1133"/>
      <c r="L530" s="1133"/>
      <c r="M530" s="1133"/>
      <c r="N530" s="1133"/>
      <c r="O530" s="1133"/>
    </row>
    <row r="531" spans="1:15" ht="20.100000000000001" customHeight="1">
      <c r="A531" s="1155">
        <v>42033</v>
      </c>
      <c r="B531" s="1161">
        <v>307</v>
      </c>
      <c r="C531" s="1157" t="s">
        <v>100</v>
      </c>
      <c r="D531" s="1157" t="s">
        <v>100</v>
      </c>
      <c r="E531" s="1157" t="s">
        <v>100</v>
      </c>
      <c r="F531" s="1158" t="s">
        <v>100</v>
      </c>
      <c r="G531" s="1158" t="s">
        <v>100</v>
      </c>
      <c r="J531" s="1133"/>
      <c r="K531" s="1133"/>
      <c r="L531" s="1133"/>
      <c r="M531" s="1133"/>
      <c r="N531" s="1133"/>
      <c r="O531" s="1133"/>
    </row>
    <row r="532" spans="1:15" ht="20.100000000000001" customHeight="1">
      <c r="A532" s="1155">
        <v>42034</v>
      </c>
      <c r="B532" s="1161">
        <v>302</v>
      </c>
      <c r="C532" s="1157">
        <v>191.99999999999994</v>
      </c>
      <c r="D532" s="1157">
        <v>136.00000000000003</v>
      </c>
      <c r="E532" s="1157">
        <v>173.33333333333323</v>
      </c>
      <c r="F532" s="1158">
        <v>40.75200873703097</v>
      </c>
      <c r="G532" s="1158">
        <v>4.8702588801926554</v>
      </c>
      <c r="J532" s="1133"/>
      <c r="K532" s="1133"/>
      <c r="L532" s="1133"/>
      <c r="M532" s="1133"/>
      <c r="N532" s="1133"/>
      <c r="O532" s="1133"/>
    </row>
    <row r="533" spans="1:15" ht="20.100000000000001" customHeight="1">
      <c r="A533" s="1155">
        <v>42035</v>
      </c>
      <c r="B533" s="1161">
        <v>303</v>
      </c>
      <c r="C533" s="1157" t="s">
        <v>100</v>
      </c>
      <c r="D533" s="1157" t="s">
        <v>100</v>
      </c>
      <c r="E533" s="1157" t="s">
        <v>100</v>
      </c>
      <c r="F533" s="1158" t="s">
        <v>100</v>
      </c>
      <c r="G533" s="1158" t="s">
        <v>100</v>
      </c>
      <c r="J533" s="1133"/>
      <c r="K533" s="1133"/>
      <c r="L533" s="1133"/>
      <c r="M533" s="1133"/>
      <c r="N533" s="1133"/>
      <c r="O533" s="1133"/>
    </row>
    <row r="534" spans="1:15" ht="20.100000000000001" customHeight="1">
      <c r="A534" s="1155">
        <v>42036</v>
      </c>
      <c r="B534" s="1156">
        <v>302</v>
      </c>
      <c r="C534" s="1157" t="s">
        <v>100</v>
      </c>
      <c r="D534" s="1157" t="s">
        <v>100</v>
      </c>
      <c r="E534" s="1157" t="s">
        <v>100</v>
      </c>
      <c r="F534" s="1158" t="s">
        <v>100</v>
      </c>
      <c r="G534" s="1158" t="s">
        <v>100</v>
      </c>
      <c r="J534" s="1133"/>
      <c r="K534" s="1133"/>
      <c r="L534" s="1133"/>
      <c r="M534" s="1133"/>
      <c r="N534" s="1133"/>
      <c r="O534" s="1133"/>
    </row>
    <row r="535" spans="1:15" ht="20.100000000000001" customHeight="1">
      <c r="A535" s="1155">
        <v>42037</v>
      </c>
      <c r="B535" s="1156">
        <v>307</v>
      </c>
      <c r="C535" s="1157" t="s">
        <v>100</v>
      </c>
      <c r="D535" s="1157" t="s">
        <v>100</v>
      </c>
      <c r="E535" s="1157" t="s">
        <v>100</v>
      </c>
      <c r="F535" s="1158" t="s">
        <v>100</v>
      </c>
      <c r="G535" s="1158" t="s">
        <v>100</v>
      </c>
      <c r="J535" s="1133"/>
      <c r="K535" s="1133"/>
      <c r="L535" s="1133"/>
      <c r="M535" s="1133"/>
      <c r="N535" s="1133"/>
      <c r="O535" s="1133"/>
    </row>
    <row r="536" spans="1:15" ht="20.100000000000001" customHeight="1">
      <c r="A536" s="1155">
        <v>42038</v>
      </c>
      <c r="B536" s="1156">
        <v>330</v>
      </c>
      <c r="C536" s="1157" t="s">
        <v>100</v>
      </c>
      <c r="D536" s="1157" t="s">
        <v>100</v>
      </c>
      <c r="E536" s="1157" t="s">
        <v>100</v>
      </c>
      <c r="F536" s="1158" t="s">
        <v>100</v>
      </c>
      <c r="G536" s="1158" t="s">
        <v>100</v>
      </c>
      <c r="J536" s="1133"/>
      <c r="K536" s="1133"/>
      <c r="L536" s="1133"/>
      <c r="M536" s="1133"/>
      <c r="N536" s="1133"/>
      <c r="O536" s="1133"/>
    </row>
    <row r="537" spans="1:15" ht="20.100000000000001" customHeight="1">
      <c r="A537" s="1155">
        <v>42039</v>
      </c>
      <c r="B537" s="1156">
        <v>327</v>
      </c>
      <c r="C537" s="1157" t="s">
        <v>100</v>
      </c>
      <c r="D537" s="1157" t="s">
        <v>100</v>
      </c>
      <c r="E537" s="1157" t="s">
        <v>100</v>
      </c>
      <c r="F537" s="1158" t="s">
        <v>100</v>
      </c>
      <c r="G537" s="1158" t="s">
        <v>100</v>
      </c>
      <c r="J537" s="1133"/>
      <c r="K537" s="1133"/>
      <c r="L537" s="1133"/>
      <c r="M537" s="1133"/>
      <c r="N537" s="1133"/>
      <c r="O537" s="1133"/>
    </row>
    <row r="538" spans="1:15" ht="20.100000000000001" customHeight="1">
      <c r="A538" s="1155">
        <v>42040</v>
      </c>
      <c r="B538" s="1156">
        <v>327</v>
      </c>
      <c r="C538" s="1157" t="s">
        <v>100</v>
      </c>
      <c r="D538" s="1157" t="s">
        <v>100</v>
      </c>
      <c r="E538" s="1157" t="s">
        <v>100</v>
      </c>
      <c r="F538" s="1158" t="s">
        <v>100</v>
      </c>
      <c r="G538" s="1158" t="s">
        <v>100</v>
      </c>
      <c r="J538" s="1133"/>
      <c r="K538" s="1133"/>
      <c r="L538" s="1133"/>
      <c r="M538" s="1133"/>
      <c r="N538" s="1133"/>
      <c r="O538" s="1133"/>
    </row>
    <row r="539" spans="1:15" ht="20.100000000000001" customHeight="1">
      <c r="A539" s="1155">
        <v>42041</v>
      </c>
      <c r="B539" s="1156">
        <v>328</v>
      </c>
      <c r="C539" s="1157">
        <v>198.00000000000006</v>
      </c>
      <c r="D539" s="1157">
        <v>156</v>
      </c>
      <c r="E539" s="1157">
        <v>216.66666666666686</v>
      </c>
      <c r="F539" s="1158">
        <v>38.130899446134642</v>
      </c>
      <c r="G539" s="1158">
        <v>6.9789283564117994</v>
      </c>
      <c r="J539" s="1133"/>
      <c r="K539" s="1133"/>
      <c r="L539" s="1133"/>
      <c r="M539" s="1133"/>
      <c r="N539" s="1133"/>
      <c r="O539" s="1133"/>
    </row>
    <row r="540" spans="1:15" ht="20.100000000000001" customHeight="1">
      <c r="A540" s="1155">
        <v>42042</v>
      </c>
      <c r="B540" s="1156">
        <v>328</v>
      </c>
      <c r="C540" s="1157" t="s">
        <v>100</v>
      </c>
      <c r="D540" s="1157" t="s">
        <v>100</v>
      </c>
      <c r="E540" s="1157" t="s">
        <v>100</v>
      </c>
      <c r="F540" s="1158" t="s">
        <v>100</v>
      </c>
      <c r="G540" s="1158" t="s">
        <v>100</v>
      </c>
      <c r="J540" s="1133"/>
      <c r="K540" s="1133"/>
      <c r="L540" s="1133"/>
      <c r="M540" s="1133"/>
      <c r="N540" s="1133"/>
      <c r="O540" s="1133"/>
    </row>
    <row r="541" spans="1:15" ht="20.100000000000001" customHeight="1">
      <c r="A541" s="1155">
        <v>42043</v>
      </c>
      <c r="B541" s="1156">
        <v>324</v>
      </c>
      <c r="C541" s="1157" t="s">
        <v>100</v>
      </c>
      <c r="D541" s="1157" t="s">
        <v>100</v>
      </c>
      <c r="E541" s="1157" t="s">
        <v>100</v>
      </c>
      <c r="F541" s="1158" t="s">
        <v>100</v>
      </c>
      <c r="G541" s="1158" t="s">
        <v>100</v>
      </c>
      <c r="J541" s="1133"/>
      <c r="K541" s="1133"/>
      <c r="L541" s="1133"/>
      <c r="M541" s="1133"/>
      <c r="N541" s="1133"/>
      <c r="O541" s="1133"/>
    </row>
    <row r="542" spans="1:15" ht="20.100000000000001" customHeight="1">
      <c r="A542" s="1155">
        <v>42044</v>
      </c>
      <c r="B542" s="1156">
        <v>326</v>
      </c>
      <c r="C542" s="1157" t="s">
        <v>100</v>
      </c>
      <c r="D542" s="1157" t="s">
        <v>100</v>
      </c>
      <c r="E542" s="1157" t="s">
        <v>100</v>
      </c>
      <c r="F542" s="1158" t="s">
        <v>100</v>
      </c>
      <c r="G542" s="1158" t="s">
        <v>100</v>
      </c>
      <c r="J542" s="1133"/>
      <c r="K542" s="1133"/>
      <c r="L542" s="1133"/>
      <c r="M542" s="1133"/>
      <c r="N542" s="1133"/>
      <c r="O542" s="1133"/>
    </row>
    <row r="543" spans="1:15" ht="20.100000000000001" customHeight="1">
      <c r="A543" s="1155">
        <v>42045</v>
      </c>
      <c r="B543" s="1156">
        <v>331</v>
      </c>
      <c r="C543" s="1157" t="s">
        <v>100</v>
      </c>
      <c r="D543" s="1157" t="s">
        <v>100</v>
      </c>
      <c r="E543" s="1157" t="s">
        <v>100</v>
      </c>
      <c r="F543" s="1158" t="s">
        <v>100</v>
      </c>
      <c r="G543" s="1158" t="s">
        <v>100</v>
      </c>
      <c r="J543" s="1133"/>
      <c r="K543" s="1133"/>
      <c r="L543" s="1133"/>
      <c r="M543" s="1133"/>
      <c r="N543" s="1133"/>
      <c r="O543" s="1133"/>
    </row>
    <row r="544" spans="1:15" ht="20.100000000000001" customHeight="1">
      <c r="A544" s="1155">
        <v>42046</v>
      </c>
      <c r="B544" s="1156">
        <v>242</v>
      </c>
      <c r="C544" s="1157" t="s">
        <v>100</v>
      </c>
      <c r="D544" s="1157" t="s">
        <v>100</v>
      </c>
      <c r="E544" s="1157" t="s">
        <v>100</v>
      </c>
      <c r="F544" s="1158" t="s">
        <v>100</v>
      </c>
      <c r="G544" s="1158" t="s">
        <v>100</v>
      </c>
      <c r="J544" s="1133"/>
      <c r="K544" s="1133"/>
      <c r="L544" s="1133"/>
      <c r="M544" s="1133"/>
      <c r="N544" s="1133"/>
      <c r="O544" s="1133"/>
    </row>
    <row r="545" spans="1:15" ht="20.100000000000001" customHeight="1">
      <c r="A545" s="1155">
        <v>42047</v>
      </c>
      <c r="B545" s="1156">
        <v>321</v>
      </c>
      <c r="C545" s="1157" t="s">
        <v>100</v>
      </c>
      <c r="D545" s="1157" t="s">
        <v>100</v>
      </c>
      <c r="E545" s="1157" t="s">
        <v>100</v>
      </c>
      <c r="F545" s="1158" t="s">
        <v>100</v>
      </c>
      <c r="G545" s="1158" t="s">
        <v>100</v>
      </c>
      <c r="J545" s="1133"/>
      <c r="K545" s="1133"/>
      <c r="L545" s="1133"/>
      <c r="M545" s="1133"/>
      <c r="N545" s="1133"/>
      <c r="O545" s="1133"/>
    </row>
    <row r="546" spans="1:15" ht="20.100000000000001" customHeight="1">
      <c r="A546" s="1155">
        <v>42048</v>
      </c>
      <c r="B546" s="1156">
        <v>324</v>
      </c>
      <c r="C546" s="1157">
        <v>204.00000000000003</v>
      </c>
      <c r="D546" s="1157">
        <v>136</v>
      </c>
      <c r="E546" s="1157">
        <v>236.66666666666652</v>
      </c>
      <c r="F546" s="1158">
        <v>37.881269989858801</v>
      </c>
      <c r="G546" s="1158">
        <v>6.6989765201685731</v>
      </c>
      <c r="J546" s="1133"/>
      <c r="K546" s="1133"/>
      <c r="L546" s="1133"/>
      <c r="M546" s="1133"/>
      <c r="N546" s="1133"/>
      <c r="O546" s="1133"/>
    </row>
    <row r="547" spans="1:15" ht="20.100000000000001" customHeight="1">
      <c r="A547" s="1155">
        <v>42049</v>
      </c>
      <c r="B547" s="1156">
        <v>316</v>
      </c>
      <c r="C547" s="1157" t="s">
        <v>100</v>
      </c>
      <c r="D547" s="1157" t="s">
        <v>100</v>
      </c>
      <c r="E547" s="1157" t="s">
        <v>100</v>
      </c>
      <c r="F547" s="1158" t="s">
        <v>100</v>
      </c>
      <c r="G547" s="1158" t="s">
        <v>100</v>
      </c>
      <c r="J547" s="1133"/>
      <c r="K547" s="1133"/>
      <c r="L547" s="1133"/>
      <c r="M547" s="1133"/>
      <c r="N547" s="1133"/>
      <c r="O547" s="1133"/>
    </row>
    <row r="548" spans="1:15" ht="20.100000000000001" customHeight="1">
      <c r="A548" s="1155">
        <v>42050</v>
      </c>
      <c r="B548" s="1156">
        <v>320</v>
      </c>
      <c r="C548" s="1157" t="s">
        <v>100</v>
      </c>
      <c r="D548" s="1157" t="s">
        <v>100</v>
      </c>
      <c r="E548" s="1157" t="s">
        <v>100</v>
      </c>
      <c r="F548" s="1158" t="s">
        <v>100</v>
      </c>
      <c r="G548" s="1158" t="s">
        <v>100</v>
      </c>
      <c r="J548" s="1133"/>
      <c r="K548" s="1133"/>
      <c r="L548" s="1133"/>
      <c r="M548" s="1133"/>
      <c r="N548" s="1133"/>
      <c r="O548" s="1133"/>
    </row>
    <row r="549" spans="1:15" ht="20.100000000000001" customHeight="1">
      <c r="A549" s="1155">
        <v>42051</v>
      </c>
      <c r="B549" s="1156">
        <v>324</v>
      </c>
      <c r="C549" s="1157" t="s">
        <v>100</v>
      </c>
      <c r="D549" s="1157" t="s">
        <v>100</v>
      </c>
      <c r="E549" s="1157" t="s">
        <v>100</v>
      </c>
      <c r="F549" s="1158" t="s">
        <v>100</v>
      </c>
      <c r="G549" s="1158" t="s">
        <v>100</v>
      </c>
      <c r="J549" s="1133"/>
      <c r="K549" s="1133"/>
      <c r="L549" s="1133"/>
      <c r="M549" s="1133"/>
      <c r="N549" s="1133"/>
      <c r="O549" s="1133"/>
    </row>
    <row r="550" spans="1:15" ht="20.100000000000001" customHeight="1">
      <c r="A550" s="1155">
        <v>42052</v>
      </c>
      <c r="B550" s="1156">
        <v>318</v>
      </c>
      <c r="C550" s="1157" t="s">
        <v>100</v>
      </c>
      <c r="D550" s="1157" t="s">
        <v>100</v>
      </c>
      <c r="E550" s="1157" t="s">
        <v>100</v>
      </c>
      <c r="F550" s="1158" t="s">
        <v>100</v>
      </c>
      <c r="G550" s="1158" t="s">
        <v>100</v>
      </c>
      <c r="J550" s="1133"/>
      <c r="K550" s="1133"/>
      <c r="L550" s="1133"/>
      <c r="M550" s="1133"/>
      <c r="N550" s="1133"/>
      <c r="O550" s="1133"/>
    </row>
    <row r="551" spans="1:15" ht="20.100000000000001" customHeight="1">
      <c r="A551" s="1155">
        <v>42053</v>
      </c>
      <c r="B551" s="1156">
        <v>331</v>
      </c>
      <c r="C551" s="1157" t="s">
        <v>100</v>
      </c>
      <c r="D551" s="1157" t="s">
        <v>100</v>
      </c>
      <c r="E551" s="1157" t="s">
        <v>100</v>
      </c>
      <c r="F551" s="1158" t="s">
        <v>100</v>
      </c>
      <c r="G551" s="1158" t="s">
        <v>100</v>
      </c>
      <c r="J551" s="1133"/>
      <c r="K551" s="1133"/>
      <c r="L551" s="1133"/>
      <c r="M551" s="1133"/>
      <c r="N551" s="1133"/>
      <c r="O551" s="1133"/>
    </row>
    <row r="552" spans="1:15" ht="20.100000000000001" customHeight="1">
      <c r="A552" s="1155">
        <v>42054</v>
      </c>
      <c r="B552" s="1156">
        <v>331</v>
      </c>
      <c r="C552" s="1157" t="s">
        <v>100</v>
      </c>
      <c r="D552" s="1157" t="s">
        <v>100</v>
      </c>
      <c r="E552" s="1157" t="s">
        <v>100</v>
      </c>
      <c r="F552" s="1158" t="s">
        <v>100</v>
      </c>
      <c r="G552" s="1158" t="s">
        <v>100</v>
      </c>
      <c r="J552" s="1133"/>
      <c r="K552" s="1133"/>
      <c r="L552" s="1133"/>
      <c r="M552" s="1133"/>
      <c r="N552" s="1133"/>
      <c r="O552" s="1133"/>
    </row>
    <row r="553" spans="1:15" ht="20.100000000000001" customHeight="1">
      <c r="A553" s="1155">
        <v>42055</v>
      </c>
      <c r="B553" s="1156">
        <v>327</v>
      </c>
      <c r="C553" s="1157">
        <v>185.99999999999997</v>
      </c>
      <c r="D553" s="1157">
        <v>128</v>
      </c>
      <c r="E553" s="1157">
        <v>210.00000000000003</v>
      </c>
      <c r="F553" s="1158">
        <v>37.225992667134719</v>
      </c>
      <c r="G553" s="1158">
        <v>6.906682721252257</v>
      </c>
      <c r="J553" s="1133"/>
      <c r="K553" s="1133"/>
      <c r="L553" s="1133"/>
      <c r="M553" s="1133"/>
      <c r="N553" s="1133"/>
      <c r="O553" s="1133"/>
    </row>
    <row r="554" spans="1:15" ht="20.100000000000001" customHeight="1">
      <c r="A554" s="1155">
        <v>42056</v>
      </c>
      <c r="B554" s="1156">
        <v>319</v>
      </c>
      <c r="C554" s="1157" t="s">
        <v>100</v>
      </c>
      <c r="D554" s="1157" t="s">
        <v>100</v>
      </c>
      <c r="E554" s="1157" t="s">
        <v>100</v>
      </c>
      <c r="F554" s="1158" t="s">
        <v>100</v>
      </c>
      <c r="G554" s="1158" t="s">
        <v>100</v>
      </c>
      <c r="J554" s="1133"/>
      <c r="K554" s="1133"/>
      <c r="L554" s="1133"/>
      <c r="M554" s="1133"/>
      <c r="N554" s="1133"/>
      <c r="O554" s="1133"/>
    </row>
    <row r="555" spans="1:15" ht="20.100000000000001" customHeight="1">
      <c r="A555" s="1155">
        <v>42057</v>
      </c>
      <c r="B555" s="1156">
        <v>330</v>
      </c>
      <c r="C555" s="1157" t="s">
        <v>100</v>
      </c>
      <c r="D555" s="1157" t="s">
        <v>100</v>
      </c>
      <c r="E555" s="1157" t="s">
        <v>100</v>
      </c>
      <c r="F555" s="1158" t="s">
        <v>100</v>
      </c>
      <c r="G555" s="1158" t="s">
        <v>100</v>
      </c>
      <c r="J555" s="1133"/>
      <c r="K555" s="1133"/>
      <c r="L555" s="1133"/>
      <c r="M555" s="1133"/>
      <c r="N555" s="1133"/>
      <c r="O555" s="1133"/>
    </row>
    <row r="556" spans="1:15" ht="20.100000000000001" customHeight="1">
      <c r="A556" s="1155">
        <v>42058</v>
      </c>
      <c r="B556" s="1156">
        <v>331</v>
      </c>
      <c r="C556" s="1157" t="s">
        <v>100</v>
      </c>
      <c r="D556" s="1157" t="s">
        <v>100</v>
      </c>
      <c r="E556" s="1157" t="s">
        <v>100</v>
      </c>
      <c r="F556" s="1158" t="s">
        <v>100</v>
      </c>
      <c r="G556" s="1158" t="s">
        <v>100</v>
      </c>
      <c r="J556" s="1133"/>
      <c r="K556" s="1133"/>
      <c r="L556" s="1133"/>
      <c r="M556" s="1133"/>
      <c r="N556" s="1133"/>
      <c r="O556" s="1133"/>
    </row>
    <row r="557" spans="1:15" ht="20.100000000000001" customHeight="1">
      <c r="A557" s="1155">
        <v>42059</v>
      </c>
      <c r="B557" s="1156">
        <v>321</v>
      </c>
      <c r="C557" s="1157" t="s">
        <v>100</v>
      </c>
      <c r="D557" s="1157" t="s">
        <v>100</v>
      </c>
      <c r="E557" s="1157" t="s">
        <v>100</v>
      </c>
      <c r="F557" s="1158" t="s">
        <v>100</v>
      </c>
      <c r="G557" s="1158" t="s">
        <v>100</v>
      </c>
      <c r="J557" s="1133"/>
      <c r="K557" s="1133"/>
      <c r="L557" s="1133"/>
      <c r="M557" s="1133"/>
      <c r="N557" s="1133"/>
      <c r="O557" s="1133"/>
    </row>
    <row r="558" spans="1:15" ht="20.100000000000001" customHeight="1">
      <c r="A558" s="1155">
        <v>42060</v>
      </c>
      <c r="B558" s="1156">
        <v>327</v>
      </c>
      <c r="C558" s="1157" t="s">
        <v>100</v>
      </c>
      <c r="D558" s="1157" t="s">
        <v>100</v>
      </c>
      <c r="E558" s="1157" t="s">
        <v>100</v>
      </c>
      <c r="F558" s="1158" t="s">
        <v>100</v>
      </c>
      <c r="G558" s="1158" t="s">
        <v>100</v>
      </c>
      <c r="J558" s="1133"/>
      <c r="K558" s="1133"/>
      <c r="L558" s="1133"/>
      <c r="M558" s="1133"/>
      <c r="N558" s="1133"/>
      <c r="O558" s="1133"/>
    </row>
    <row r="559" spans="1:15" ht="20.100000000000001" customHeight="1">
      <c r="A559" s="1155">
        <v>42061</v>
      </c>
      <c r="B559" s="1156">
        <v>327</v>
      </c>
      <c r="C559" s="1157" t="s">
        <v>100</v>
      </c>
      <c r="D559" s="1157" t="s">
        <v>100</v>
      </c>
      <c r="E559" s="1157" t="s">
        <v>100</v>
      </c>
      <c r="F559" s="1158" t="s">
        <v>100</v>
      </c>
      <c r="G559" s="1158" t="s">
        <v>100</v>
      </c>
      <c r="J559" s="1133"/>
      <c r="K559" s="1133"/>
      <c r="L559" s="1133"/>
      <c r="M559" s="1133"/>
      <c r="N559" s="1133"/>
      <c r="O559" s="1133"/>
    </row>
    <row r="560" spans="1:15" ht="20.100000000000001" customHeight="1">
      <c r="A560" s="1155">
        <v>42062</v>
      </c>
      <c r="B560" s="1156">
        <v>323</v>
      </c>
      <c r="C560" s="1157">
        <v>197.99999999999994</v>
      </c>
      <c r="D560" s="1157">
        <v>144</v>
      </c>
      <c r="E560" s="1157">
        <v>196.66666666666677</v>
      </c>
      <c r="F560" s="1158">
        <v>38.567750994617363</v>
      </c>
      <c r="G560" s="1158">
        <v>7.3537025888019203</v>
      </c>
      <c r="J560" s="1133"/>
      <c r="K560" s="1133"/>
      <c r="L560" s="1133"/>
      <c r="M560" s="1133"/>
      <c r="N560" s="1133"/>
      <c r="O560" s="1133"/>
    </row>
    <row r="561" spans="1:15" ht="20.100000000000001" customHeight="1">
      <c r="A561" s="1155">
        <v>42063</v>
      </c>
      <c r="B561" s="1156">
        <v>330</v>
      </c>
      <c r="C561" s="1157" t="s">
        <v>100</v>
      </c>
      <c r="D561" s="1157" t="s">
        <v>100</v>
      </c>
      <c r="E561" s="1157" t="s">
        <v>100</v>
      </c>
      <c r="F561" s="1158" t="s">
        <v>100</v>
      </c>
      <c r="G561" s="1158" t="s">
        <v>100</v>
      </c>
      <c r="J561" s="1133"/>
      <c r="K561" s="1133"/>
      <c r="L561" s="1133"/>
      <c r="M561" s="1133"/>
      <c r="N561" s="1133"/>
      <c r="O561" s="1133"/>
    </row>
    <row r="562" spans="1:15" ht="20.100000000000001" customHeight="1">
      <c r="A562" s="1155">
        <v>42064</v>
      </c>
      <c r="B562" s="1161">
        <v>332</v>
      </c>
      <c r="C562" s="1157" t="s">
        <v>100</v>
      </c>
      <c r="D562" s="1157" t="s">
        <v>100</v>
      </c>
      <c r="E562" s="1157" t="s">
        <v>100</v>
      </c>
      <c r="F562" s="1158" t="s">
        <v>100</v>
      </c>
      <c r="G562" s="1158" t="s">
        <v>100</v>
      </c>
      <c r="J562" s="1133"/>
      <c r="K562" s="1133"/>
      <c r="L562" s="1133"/>
      <c r="M562" s="1133"/>
      <c r="N562" s="1133"/>
      <c r="O562" s="1133"/>
    </row>
    <row r="563" spans="1:15" ht="20.100000000000001" customHeight="1">
      <c r="A563" s="1155">
        <v>42065</v>
      </c>
      <c r="B563" s="1161">
        <v>326</v>
      </c>
      <c r="C563" s="1157" t="s">
        <v>100</v>
      </c>
      <c r="D563" s="1157" t="s">
        <v>100</v>
      </c>
      <c r="E563" s="1157" t="s">
        <v>100</v>
      </c>
      <c r="F563" s="1158" t="s">
        <v>100</v>
      </c>
      <c r="G563" s="1158" t="s">
        <v>100</v>
      </c>
      <c r="J563" s="1133"/>
      <c r="K563" s="1133"/>
      <c r="L563" s="1133"/>
      <c r="M563" s="1133"/>
      <c r="N563" s="1133"/>
      <c r="O563" s="1133"/>
    </row>
    <row r="564" spans="1:15" ht="20.100000000000001" customHeight="1">
      <c r="A564" s="1155">
        <v>42066</v>
      </c>
      <c r="B564" s="1161">
        <v>316</v>
      </c>
      <c r="C564" s="1157" t="s">
        <v>100</v>
      </c>
      <c r="D564" s="1157" t="s">
        <v>100</v>
      </c>
      <c r="E564" s="1157" t="s">
        <v>100</v>
      </c>
      <c r="F564" s="1158" t="s">
        <v>100</v>
      </c>
      <c r="G564" s="1158" t="s">
        <v>100</v>
      </c>
      <c r="J564" s="1133"/>
      <c r="K564" s="1133"/>
      <c r="L564" s="1133"/>
      <c r="M564" s="1133"/>
      <c r="N564" s="1133"/>
      <c r="O564" s="1133"/>
    </row>
    <row r="565" spans="1:15" ht="20.100000000000001" customHeight="1">
      <c r="A565" s="1155">
        <v>42067</v>
      </c>
      <c r="B565" s="1161">
        <v>327</v>
      </c>
      <c r="C565" s="1157" t="s">
        <v>100</v>
      </c>
      <c r="D565" s="1157" t="s">
        <v>100</v>
      </c>
      <c r="E565" s="1157" t="s">
        <v>100</v>
      </c>
      <c r="F565" s="1158" t="s">
        <v>100</v>
      </c>
      <c r="G565" s="1158" t="s">
        <v>100</v>
      </c>
      <c r="J565" s="1133"/>
      <c r="K565" s="1133"/>
      <c r="L565" s="1133"/>
      <c r="M565" s="1133"/>
      <c r="N565" s="1133"/>
      <c r="O565" s="1133"/>
    </row>
    <row r="566" spans="1:15" ht="20.100000000000001" customHeight="1">
      <c r="A566" s="1155">
        <v>42068</v>
      </c>
      <c r="B566" s="1161">
        <v>322</v>
      </c>
      <c r="C566" s="1157" t="s">
        <v>100</v>
      </c>
      <c r="D566" s="1157" t="s">
        <v>100</v>
      </c>
      <c r="E566" s="1157" t="s">
        <v>100</v>
      </c>
      <c r="F566" s="1158" t="s">
        <v>100</v>
      </c>
      <c r="G566" s="1158" t="s">
        <v>100</v>
      </c>
      <c r="J566" s="1133"/>
      <c r="K566" s="1133"/>
      <c r="L566" s="1133"/>
      <c r="M566" s="1133"/>
      <c r="N566" s="1133"/>
      <c r="O566" s="1133"/>
    </row>
    <row r="567" spans="1:15" ht="20.100000000000001" customHeight="1">
      <c r="A567" s="1155">
        <v>42069</v>
      </c>
      <c r="B567" s="1161">
        <v>332</v>
      </c>
      <c r="C567" s="1157">
        <v>186.00000000000003</v>
      </c>
      <c r="D567" s="1157">
        <v>148</v>
      </c>
      <c r="E567" s="1157">
        <v>200.0000000000002</v>
      </c>
      <c r="F567" s="1158">
        <v>38.130899446134642</v>
      </c>
      <c r="G567" s="1158">
        <v>6.7937989163154713</v>
      </c>
      <c r="J567" s="1133"/>
      <c r="K567" s="1133"/>
      <c r="L567" s="1133"/>
      <c r="M567" s="1133"/>
      <c r="N567" s="1133"/>
      <c r="O567" s="1133"/>
    </row>
    <row r="568" spans="1:15" ht="20.100000000000001" customHeight="1">
      <c r="A568" s="1155">
        <v>42070</v>
      </c>
      <c r="B568" s="1161">
        <v>330</v>
      </c>
      <c r="C568" s="1157" t="s">
        <v>100</v>
      </c>
      <c r="D568" s="1157" t="s">
        <v>100</v>
      </c>
      <c r="E568" s="1157" t="s">
        <v>100</v>
      </c>
      <c r="F568" s="1158" t="s">
        <v>100</v>
      </c>
      <c r="G568" s="1158" t="s">
        <v>100</v>
      </c>
      <c r="J568" s="1133"/>
      <c r="K568" s="1133"/>
      <c r="L568" s="1133"/>
      <c r="M568" s="1133"/>
      <c r="N568" s="1133"/>
      <c r="O568" s="1133"/>
    </row>
    <row r="569" spans="1:15" ht="20.100000000000001" customHeight="1">
      <c r="A569" s="1155">
        <v>42071</v>
      </c>
      <c r="B569" s="1161">
        <v>325</v>
      </c>
      <c r="C569" s="1157" t="s">
        <v>100</v>
      </c>
      <c r="D569" s="1157" t="s">
        <v>100</v>
      </c>
      <c r="E569" s="1157" t="s">
        <v>100</v>
      </c>
      <c r="F569" s="1158" t="s">
        <v>100</v>
      </c>
      <c r="G569" s="1158" t="s">
        <v>100</v>
      </c>
      <c r="J569" s="1133"/>
      <c r="K569" s="1133"/>
      <c r="L569" s="1133"/>
      <c r="M569" s="1133"/>
      <c r="N569" s="1133"/>
      <c r="O569" s="1133"/>
    </row>
    <row r="570" spans="1:15" ht="20.100000000000001" customHeight="1">
      <c r="A570" s="1155">
        <v>42072</v>
      </c>
      <c r="B570" s="1161">
        <v>330</v>
      </c>
      <c r="C570" s="1157" t="s">
        <v>100</v>
      </c>
      <c r="D570" s="1157" t="s">
        <v>100</v>
      </c>
      <c r="E570" s="1157" t="s">
        <v>100</v>
      </c>
      <c r="F570" s="1158" t="s">
        <v>100</v>
      </c>
      <c r="G570" s="1158" t="s">
        <v>100</v>
      </c>
      <c r="J570" s="1133"/>
      <c r="K570" s="1133"/>
      <c r="L570" s="1133"/>
      <c r="M570" s="1133"/>
      <c r="N570" s="1133"/>
      <c r="O570" s="1133"/>
    </row>
    <row r="571" spans="1:15" ht="20.100000000000001" customHeight="1">
      <c r="A571" s="1155">
        <v>42073</v>
      </c>
      <c r="B571" s="1161">
        <v>326</v>
      </c>
      <c r="C571" s="1157" t="s">
        <v>100</v>
      </c>
      <c r="D571" s="1157" t="s">
        <v>100</v>
      </c>
      <c r="E571" s="1157" t="s">
        <v>100</v>
      </c>
      <c r="F571" s="1158" t="s">
        <v>100</v>
      </c>
      <c r="G571" s="1158" t="s">
        <v>100</v>
      </c>
      <c r="J571" s="1133"/>
      <c r="K571" s="1133"/>
      <c r="L571" s="1133"/>
      <c r="M571" s="1133"/>
      <c r="N571" s="1133"/>
      <c r="O571" s="1133"/>
    </row>
    <row r="572" spans="1:15" ht="20.100000000000001" customHeight="1">
      <c r="A572" s="1155">
        <v>42074</v>
      </c>
      <c r="B572" s="1161">
        <v>326</v>
      </c>
      <c r="C572" s="1157" t="s">
        <v>100</v>
      </c>
      <c r="D572" s="1157" t="s">
        <v>100</v>
      </c>
      <c r="E572" s="1157" t="s">
        <v>100</v>
      </c>
      <c r="F572" s="1158" t="s">
        <v>100</v>
      </c>
      <c r="G572" s="1158" t="s">
        <v>100</v>
      </c>
      <c r="J572" s="1133"/>
      <c r="K572" s="1133"/>
      <c r="L572" s="1133"/>
      <c r="M572" s="1133"/>
      <c r="N572" s="1133"/>
      <c r="O572" s="1133"/>
    </row>
    <row r="573" spans="1:15" ht="20.100000000000001" customHeight="1">
      <c r="A573" s="1155">
        <v>42075</v>
      </c>
      <c r="B573" s="1161">
        <v>322</v>
      </c>
      <c r="C573" s="1157" t="s">
        <v>100</v>
      </c>
      <c r="D573" s="1157" t="s">
        <v>100</v>
      </c>
      <c r="E573" s="1157" t="s">
        <v>100</v>
      </c>
      <c r="F573" s="1158" t="s">
        <v>100</v>
      </c>
      <c r="G573" s="1158" t="s">
        <v>100</v>
      </c>
      <c r="J573" s="1133"/>
      <c r="K573" s="1133"/>
      <c r="L573" s="1133"/>
      <c r="M573" s="1133"/>
      <c r="N573" s="1133"/>
      <c r="O573" s="1133"/>
    </row>
    <row r="574" spans="1:15" ht="20.100000000000001" customHeight="1">
      <c r="A574" s="1155">
        <v>42076</v>
      </c>
      <c r="B574" s="1161">
        <v>321</v>
      </c>
      <c r="C574" s="1157">
        <v>222</v>
      </c>
      <c r="D574" s="1157">
        <v>140</v>
      </c>
      <c r="E574" s="1157">
        <v>230.00000000000011</v>
      </c>
      <c r="F574" s="1158">
        <v>40.627194008893056</v>
      </c>
      <c r="G574" s="1158">
        <v>6.5590006020469591</v>
      </c>
      <c r="J574" s="1133"/>
      <c r="K574" s="1133"/>
      <c r="L574" s="1133"/>
      <c r="M574" s="1133"/>
      <c r="N574" s="1133"/>
      <c r="O574" s="1133"/>
    </row>
    <row r="575" spans="1:15" ht="20.100000000000001" customHeight="1">
      <c r="A575" s="1155">
        <v>42077</v>
      </c>
      <c r="B575" s="1161">
        <v>322</v>
      </c>
      <c r="C575" s="1157" t="s">
        <v>100</v>
      </c>
      <c r="D575" s="1157" t="s">
        <v>100</v>
      </c>
      <c r="E575" s="1157" t="s">
        <v>100</v>
      </c>
      <c r="F575" s="1158" t="s">
        <v>100</v>
      </c>
      <c r="G575" s="1158" t="s">
        <v>100</v>
      </c>
      <c r="J575" s="1133"/>
      <c r="K575" s="1133"/>
      <c r="L575" s="1133"/>
      <c r="M575" s="1133"/>
      <c r="N575" s="1133"/>
      <c r="O575" s="1133"/>
    </row>
    <row r="576" spans="1:15" ht="20.100000000000001" customHeight="1">
      <c r="A576" s="1155">
        <v>42078</v>
      </c>
      <c r="B576" s="1161">
        <v>322</v>
      </c>
      <c r="C576" s="1157" t="s">
        <v>100</v>
      </c>
      <c r="D576" s="1157" t="s">
        <v>100</v>
      </c>
      <c r="E576" s="1157" t="s">
        <v>100</v>
      </c>
      <c r="F576" s="1158" t="s">
        <v>100</v>
      </c>
      <c r="G576" s="1158" t="s">
        <v>100</v>
      </c>
      <c r="J576" s="1133"/>
      <c r="K576" s="1133"/>
      <c r="L576" s="1133"/>
      <c r="M576" s="1133"/>
      <c r="N576" s="1133"/>
      <c r="O576" s="1133"/>
    </row>
    <row r="577" spans="1:15" ht="20.100000000000001" customHeight="1">
      <c r="A577" s="1155">
        <v>42079</v>
      </c>
      <c r="B577" s="1161">
        <v>309</v>
      </c>
      <c r="C577" s="1157" t="s">
        <v>100</v>
      </c>
      <c r="D577" s="1157" t="s">
        <v>100</v>
      </c>
      <c r="E577" s="1157" t="s">
        <v>100</v>
      </c>
      <c r="F577" s="1158" t="s">
        <v>100</v>
      </c>
      <c r="G577" s="1158" t="s">
        <v>100</v>
      </c>
      <c r="J577" s="1133"/>
      <c r="K577" s="1133"/>
      <c r="L577" s="1133"/>
      <c r="M577" s="1133"/>
      <c r="N577" s="1133"/>
      <c r="O577" s="1133"/>
    </row>
    <row r="578" spans="1:15" ht="20.100000000000001" customHeight="1">
      <c r="A578" s="1155">
        <v>42080</v>
      </c>
      <c r="B578" s="1161">
        <v>0</v>
      </c>
      <c r="C578" s="1157" t="s">
        <v>100</v>
      </c>
      <c r="D578" s="1157" t="s">
        <v>100</v>
      </c>
      <c r="E578" s="1157" t="s">
        <v>100</v>
      </c>
      <c r="F578" s="1158" t="s">
        <v>100</v>
      </c>
      <c r="G578" s="1158" t="s">
        <v>100</v>
      </c>
      <c r="J578" s="1133"/>
      <c r="K578" s="1133"/>
      <c r="L578" s="1133"/>
      <c r="M578" s="1133"/>
      <c r="N578" s="1133"/>
      <c r="O578" s="1133"/>
    </row>
    <row r="579" spans="1:15" ht="20.100000000000001" customHeight="1">
      <c r="A579" s="1155">
        <v>42081</v>
      </c>
      <c r="B579" s="1161">
        <v>166</v>
      </c>
      <c r="C579" s="1157" t="s">
        <v>100</v>
      </c>
      <c r="D579" s="1157" t="s">
        <v>100</v>
      </c>
      <c r="E579" s="1157" t="s">
        <v>100</v>
      </c>
      <c r="F579" s="1158" t="s">
        <v>100</v>
      </c>
      <c r="G579" s="1158" t="s">
        <v>100</v>
      </c>
      <c r="J579" s="1133"/>
      <c r="K579" s="1133"/>
      <c r="L579" s="1133"/>
      <c r="M579" s="1133"/>
      <c r="N579" s="1133"/>
      <c r="O579" s="1133"/>
    </row>
    <row r="580" spans="1:15" ht="20.100000000000001" customHeight="1">
      <c r="A580" s="1155">
        <v>42082</v>
      </c>
      <c r="B580" s="1161">
        <v>324</v>
      </c>
      <c r="C580" s="1157" t="s">
        <v>100</v>
      </c>
      <c r="D580" s="1157" t="s">
        <v>100</v>
      </c>
      <c r="E580" s="1157" t="s">
        <v>100</v>
      </c>
      <c r="F580" s="1158" t="s">
        <v>100</v>
      </c>
      <c r="G580" s="1158" t="s">
        <v>100</v>
      </c>
      <c r="J580" s="1133"/>
      <c r="K580" s="1133"/>
      <c r="L580" s="1133"/>
      <c r="M580" s="1133"/>
      <c r="N580" s="1133"/>
      <c r="O580" s="1133"/>
    </row>
    <row r="581" spans="1:15" ht="20.100000000000001" customHeight="1">
      <c r="A581" s="1155">
        <v>42083</v>
      </c>
      <c r="B581" s="1161">
        <v>328</v>
      </c>
      <c r="C581" s="1157">
        <v>198.00000000000006</v>
      </c>
      <c r="D581" s="1157">
        <v>152</v>
      </c>
      <c r="E581" s="1157">
        <v>186.66666666666649</v>
      </c>
      <c r="F581" s="1158">
        <v>39.472657773617279</v>
      </c>
      <c r="G581" s="1158">
        <v>6.7531607465382297</v>
      </c>
      <c r="J581" s="1133"/>
      <c r="K581" s="1133"/>
      <c r="L581" s="1133"/>
      <c r="M581" s="1133"/>
      <c r="N581" s="1133"/>
      <c r="O581" s="1133"/>
    </row>
    <row r="582" spans="1:15" ht="20.100000000000001" customHeight="1">
      <c r="A582" s="1155">
        <v>42084</v>
      </c>
      <c r="B582" s="1161">
        <v>334</v>
      </c>
      <c r="C582" s="1157" t="s">
        <v>100</v>
      </c>
      <c r="D582" s="1157" t="s">
        <v>100</v>
      </c>
      <c r="E582" s="1157" t="s">
        <v>100</v>
      </c>
      <c r="F582" s="1158" t="s">
        <v>100</v>
      </c>
      <c r="G582" s="1158" t="s">
        <v>100</v>
      </c>
      <c r="J582" s="1133"/>
      <c r="K582" s="1133"/>
      <c r="L582" s="1133"/>
      <c r="M582" s="1133"/>
      <c r="N582" s="1133"/>
      <c r="O582" s="1133"/>
    </row>
    <row r="583" spans="1:15" ht="20.100000000000001" customHeight="1">
      <c r="A583" s="1155">
        <v>42085</v>
      </c>
      <c r="B583" s="1161">
        <v>331</v>
      </c>
      <c r="C583" s="1157" t="s">
        <v>100</v>
      </c>
      <c r="D583" s="1157" t="s">
        <v>100</v>
      </c>
      <c r="E583" s="1157" t="s">
        <v>100</v>
      </c>
      <c r="F583" s="1158" t="s">
        <v>100</v>
      </c>
      <c r="G583" s="1158" t="s">
        <v>100</v>
      </c>
      <c r="J583" s="1133"/>
      <c r="K583" s="1133"/>
      <c r="L583" s="1133"/>
      <c r="M583" s="1133"/>
      <c r="N583" s="1133"/>
      <c r="O583" s="1133"/>
    </row>
    <row r="584" spans="1:15" ht="20.100000000000001" customHeight="1">
      <c r="A584" s="1155">
        <v>42086</v>
      </c>
      <c r="B584" s="1161">
        <v>334</v>
      </c>
      <c r="C584" s="1157" t="s">
        <v>100</v>
      </c>
      <c r="D584" s="1157" t="s">
        <v>100</v>
      </c>
      <c r="E584" s="1157" t="s">
        <v>100</v>
      </c>
      <c r="F584" s="1158" t="s">
        <v>100</v>
      </c>
      <c r="G584" s="1158" t="s">
        <v>100</v>
      </c>
      <c r="J584" s="1133"/>
      <c r="K584" s="1133"/>
      <c r="L584" s="1133"/>
      <c r="M584" s="1133"/>
      <c r="N584" s="1133"/>
      <c r="O584" s="1133"/>
    </row>
    <row r="585" spans="1:15" ht="20.100000000000001" customHeight="1">
      <c r="A585" s="1155">
        <v>42087</v>
      </c>
      <c r="B585" s="1161">
        <v>333</v>
      </c>
      <c r="C585" s="1157" t="s">
        <v>100</v>
      </c>
      <c r="D585" s="1157" t="s">
        <v>100</v>
      </c>
      <c r="E585" s="1157" t="s">
        <v>100</v>
      </c>
      <c r="F585" s="1158" t="s">
        <v>100</v>
      </c>
      <c r="G585" s="1158" t="s">
        <v>100</v>
      </c>
      <c r="J585" s="1133"/>
      <c r="K585" s="1133"/>
      <c r="L585" s="1133"/>
      <c r="M585" s="1133"/>
      <c r="N585" s="1133"/>
      <c r="O585" s="1133"/>
    </row>
    <row r="586" spans="1:15" ht="20.100000000000001" customHeight="1">
      <c r="A586" s="1155">
        <v>42088</v>
      </c>
      <c r="B586" s="1161">
        <v>334</v>
      </c>
      <c r="C586" s="1157" t="s">
        <v>100</v>
      </c>
      <c r="D586" s="1157" t="s">
        <v>100</v>
      </c>
      <c r="E586" s="1157" t="s">
        <v>100</v>
      </c>
      <c r="F586" s="1158" t="s">
        <v>100</v>
      </c>
      <c r="G586" s="1158" t="s">
        <v>100</v>
      </c>
      <c r="J586" s="1133"/>
      <c r="K586" s="1133"/>
      <c r="L586" s="1133"/>
      <c r="M586" s="1133"/>
      <c r="N586" s="1133"/>
      <c r="O586" s="1133"/>
    </row>
    <row r="587" spans="1:15" ht="20.100000000000001" customHeight="1">
      <c r="A587" s="1155">
        <v>42089</v>
      </c>
      <c r="B587" s="1161">
        <v>335</v>
      </c>
      <c r="C587" s="1157" t="s">
        <v>100</v>
      </c>
      <c r="D587" s="1157" t="s">
        <v>100</v>
      </c>
      <c r="E587" s="1157" t="s">
        <v>100</v>
      </c>
      <c r="F587" s="1158" t="s">
        <v>100</v>
      </c>
      <c r="G587" s="1158" t="s">
        <v>100</v>
      </c>
      <c r="J587" s="1133"/>
      <c r="K587" s="1133"/>
      <c r="L587" s="1133"/>
      <c r="M587" s="1133"/>
      <c r="N587" s="1133"/>
      <c r="O587" s="1133"/>
    </row>
    <row r="588" spans="1:15" ht="20.100000000000001" customHeight="1">
      <c r="A588" s="1155">
        <v>42090</v>
      </c>
      <c r="B588" s="1161">
        <v>334</v>
      </c>
      <c r="C588" s="1157">
        <v>204.00000000000003</v>
      </c>
      <c r="D588" s="1157">
        <v>156</v>
      </c>
      <c r="E588" s="1157">
        <v>183.33333333333351</v>
      </c>
      <c r="F588" s="1158">
        <v>40.84561978313441</v>
      </c>
      <c r="G588" s="1158">
        <v>6.7170379289584581</v>
      </c>
      <c r="J588" s="1133"/>
      <c r="K588" s="1133"/>
      <c r="L588" s="1133"/>
      <c r="M588" s="1133"/>
      <c r="N588" s="1133"/>
      <c r="O588" s="1133"/>
    </row>
    <row r="589" spans="1:15" ht="20.100000000000001" customHeight="1">
      <c r="A589" s="1155">
        <v>42091</v>
      </c>
      <c r="B589" s="1161">
        <v>334</v>
      </c>
      <c r="C589" s="1157" t="s">
        <v>100</v>
      </c>
      <c r="D589" s="1157" t="s">
        <v>100</v>
      </c>
      <c r="E589" s="1157" t="s">
        <v>100</v>
      </c>
      <c r="F589" s="1158" t="s">
        <v>100</v>
      </c>
      <c r="G589" s="1158" t="s">
        <v>100</v>
      </c>
      <c r="J589" s="1133"/>
      <c r="K589" s="1133"/>
      <c r="L589" s="1133"/>
      <c r="M589" s="1133"/>
      <c r="N589" s="1133"/>
      <c r="O589" s="1133"/>
    </row>
    <row r="590" spans="1:15" ht="20.100000000000001" customHeight="1">
      <c r="A590" s="1155">
        <v>42092</v>
      </c>
      <c r="B590" s="1161">
        <v>336</v>
      </c>
      <c r="C590" s="1157" t="s">
        <v>100</v>
      </c>
      <c r="D590" s="1157" t="s">
        <v>100</v>
      </c>
      <c r="E590" s="1157" t="s">
        <v>100</v>
      </c>
      <c r="F590" s="1158" t="s">
        <v>100</v>
      </c>
      <c r="G590" s="1158" t="s">
        <v>100</v>
      </c>
      <c r="J590" s="1133"/>
      <c r="K590" s="1133"/>
      <c r="L590" s="1133"/>
      <c r="M590" s="1133"/>
      <c r="N590" s="1133"/>
      <c r="O590" s="1133"/>
    </row>
    <row r="591" spans="1:15" ht="20.100000000000001" customHeight="1">
      <c r="A591" s="1155">
        <v>42093</v>
      </c>
      <c r="B591" s="1161">
        <v>334</v>
      </c>
      <c r="C591" s="1157" t="s">
        <v>100</v>
      </c>
      <c r="D591" s="1157" t="s">
        <v>100</v>
      </c>
      <c r="E591" s="1157" t="s">
        <v>100</v>
      </c>
      <c r="F591" s="1158" t="s">
        <v>100</v>
      </c>
      <c r="G591" s="1158" t="s">
        <v>100</v>
      </c>
      <c r="J591" s="1133"/>
      <c r="K591" s="1133"/>
      <c r="L591" s="1133"/>
      <c r="M591" s="1133"/>
      <c r="N591" s="1133"/>
      <c r="O591" s="1133"/>
    </row>
    <row r="592" spans="1:15" ht="20.100000000000001" customHeight="1">
      <c r="A592" s="1155">
        <v>42094</v>
      </c>
      <c r="B592" s="1161">
        <v>342</v>
      </c>
      <c r="C592" s="1157" t="s">
        <v>100</v>
      </c>
      <c r="D592" s="1157" t="s">
        <v>100</v>
      </c>
      <c r="E592" s="1157" t="s">
        <v>100</v>
      </c>
      <c r="F592" s="1158" t="s">
        <v>100</v>
      </c>
      <c r="G592" s="1158" t="s">
        <v>100</v>
      </c>
      <c r="J592" s="1133"/>
      <c r="K592" s="1133"/>
      <c r="L592" s="1133"/>
      <c r="M592" s="1133"/>
      <c r="N592" s="1133"/>
      <c r="O592" s="1133"/>
    </row>
    <row r="593" spans="1:15" ht="20.100000000000001" customHeight="1">
      <c r="A593" s="1155">
        <v>42095</v>
      </c>
      <c r="B593" s="1156">
        <v>338</v>
      </c>
      <c r="C593" s="1157" t="s">
        <v>100</v>
      </c>
      <c r="D593" s="1157" t="s">
        <v>100</v>
      </c>
      <c r="E593" s="1157" t="s">
        <v>100</v>
      </c>
      <c r="F593" s="1158" t="s">
        <v>100</v>
      </c>
      <c r="G593" s="1158" t="s">
        <v>100</v>
      </c>
      <c r="J593" s="1133"/>
      <c r="K593" s="1133"/>
      <c r="L593" s="1133"/>
      <c r="M593" s="1133"/>
      <c r="N593" s="1133"/>
      <c r="O593" s="1133"/>
    </row>
    <row r="594" spans="1:15" ht="20.100000000000001" customHeight="1">
      <c r="A594" s="1155">
        <v>42096</v>
      </c>
      <c r="B594" s="1156">
        <v>341</v>
      </c>
      <c r="C594" s="1157" t="s">
        <v>100</v>
      </c>
      <c r="D594" s="1157" t="s">
        <v>100</v>
      </c>
      <c r="E594" s="1157" t="s">
        <v>100</v>
      </c>
      <c r="F594" s="1158" t="s">
        <v>100</v>
      </c>
      <c r="G594" s="1158" t="s">
        <v>100</v>
      </c>
      <c r="J594" s="1133"/>
      <c r="K594" s="1133"/>
      <c r="L594" s="1133"/>
      <c r="M594" s="1133"/>
      <c r="N594" s="1133"/>
      <c r="O594" s="1133"/>
    </row>
    <row r="595" spans="1:15" ht="20.100000000000001" customHeight="1">
      <c r="A595" s="1155">
        <v>42097</v>
      </c>
      <c r="B595" s="1156">
        <v>341</v>
      </c>
      <c r="C595" s="1157">
        <v>228.00000000000006</v>
      </c>
      <c r="D595" s="1157">
        <v>148</v>
      </c>
      <c r="E595" s="1157">
        <v>196.66666666666677</v>
      </c>
      <c r="F595" s="1158">
        <v>39.503861455651759</v>
      </c>
      <c r="G595" s="1158">
        <v>6.811860325105358</v>
      </c>
      <c r="J595" s="1133"/>
      <c r="K595" s="1133"/>
      <c r="L595" s="1133"/>
      <c r="M595" s="1133"/>
      <c r="N595" s="1133"/>
      <c r="O595" s="1133"/>
    </row>
    <row r="596" spans="1:15" ht="20.100000000000001" customHeight="1">
      <c r="A596" s="1155">
        <v>42098</v>
      </c>
      <c r="B596" s="1156">
        <v>343</v>
      </c>
      <c r="C596" s="1157" t="s">
        <v>100</v>
      </c>
      <c r="D596" s="1157" t="s">
        <v>100</v>
      </c>
      <c r="E596" s="1157" t="s">
        <v>100</v>
      </c>
      <c r="F596" s="1158" t="s">
        <v>100</v>
      </c>
      <c r="G596" s="1158" t="s">
        <v>100</v>
      </c>
      <c r="J596" s="1133"/>
      <c r="K596" s="1133"/>
      <c r="L596" s="1133"/>
      <c r="M596" s="1133"/>
      <c r="N596" s="1133"/>
      <c r="O596" s="1133"/>
    </row>
    <row r="597" spans="1:15" ht="20.100000000000001" customHeight="1">
      <c r="A597" s="1155">
        <v>42099</v>
      </c>
      <c r="B597" s="1156">
        <v>342</v>
      </c>
      <c r="C597" s="1157" t="s">
        <v>100</v>
      </c>
      <c r="D597" s="1157" t="s">
        <v>100</v>
      </c>
      <c r="E597" s="1157" t="s">
        <v>100</v>
      </c>
      <c r="F597" s="1158" t="s">
        <v>100</v>
      </c>
      <c r="G597" s="1158" t="s">
        <v>100</v>
      </c>
      <c r="J597" s="1133"/>
      <c r="K597" s="1133"/>
      <c r="L597" s="1133"/>
      <c r="M597" s="1133"/>
      <c r="N597" s="1133"/>
      <c r="O597" s="1133"/>
    </row>
    <row r="598" spans="1:15" ht="20.100000000000001" customHeight="1">
      <c r="A598" s="1155">
        <v>42100</v>
      </c>
      <c r="B598" s="1156">
        <v>346</v>
      </c>
      <c r="C598" s="1157" t="s">
        <v>100</v>
      </c>
      <c r="D598" s="1157" t="s">
        <v>100</v>
      </c>
      <c r="E598" s="1157" t="s">
        <v>100</v>
      </c>
      <c r="F598" s="1158" t="s">
        <v>100</v>
      </c>
      <c r="G598" s="1158" t="s">
        <v>100</v>
      </c>
      <c r="J598" s="1133"/>
      <c r="K598" s="1133"/>
      <c r="L598" s="1133"/>
      <c r="M598" s="1133"/>
      <c r="N598" s="1133"/>
      <c r="O598" s="1133"/>
    </row>
    <row r="599" spans="1:15" ht="20.100000000000001" customHeight="1">
      <c r="A599" s="1155">
        <v>42101</v>
      </c>
      <c r="B599" s="1156">
        <v>345</v>
      </c>
      <c r="C599" s="1157" t="s">
        <v>100</v>
      </c>
      <c r="D599" s="1157" t="s">
        <v>100</v>
      </c>
      <c r="E599" s="1157" t="s">
        <v>100</v>
      </c>
      <c r="F599" s="1158" t="s">
        <v>100</v>
      </c>
      <c r="G599" s="1158" t="s">
        <v>100</v>
      </c>
      <c r="J599" s="1133"/>
      <c r="K599" s="1133"/>
      <c r="L599" s="1133"/>
      <c r="M599" s="1133"/>
      <c r="N599" s="1133"/>
      <c r="O599" s="1133"/>
    </row>
    <row r="600" spans="1:15" ht="20.100000000000001" customHeight="1">
      <c r="A600" s="1155">
        <v>42102</v>
      </c>
      <c r="B600" s="1156">
        <v>345</v>
      </c>
      <c r="C600" s="1157" t="s">
        <v>100</v>
      </c>
      <c r="D600" s="1157" t="s">
        <v>100</v>
      </c>
      <c r="E600" s="1157" t="s">
        <v>100</v>
      </c>
      <c r="F600" s="1158" t="s">
        <v>100</v>
      </c>
      <c r="G600" s="1158" t="s">
        <v>100</v>
      </c>
      <c r="J600" s="1133"/>
      <c r="K600" s="1133"/>
      <c r="L600" s="1133"/>
      <c r="M600" s="1133"/>
      <c r="N600" s="1133"/>
      <c r="O600" s="1133"/>
    </row>
    <row r="601" spans="1:15" ht="20.100000000000001" customHeight="1">
      <c r="A601" s="1155">
        <v>42103</v>
      </c>
      <c r="B601" s="1156">
        <v>352</v>
      </c>
      <c r="C601" s="1157" t="s">
        <v>100</v>
      </c>
      <c r="D601" s="1157" t="s">
        <v>100</v>
      </c>
      <c r="E601" s="1157" t="s">
        <v>100</v>
      </c>
      <c r="F601" s="1158" t="s">
        <v>100</v>
      </c>
      <c r="G601" s="1158" t="s">
        <v>100</v>
      </c>
      <c r="J601" s="1133"/>
      <c r="K601" s="1133"/>
      <c r="L601" s="1133"/>
      <c r="M601" s="1133"/>
      <c r="N601" s="1133"/>
      <c r="O601" s="1133"/>
    </row>
    <row r="602" spans="1:15" ht="20.100000000000001" customHeight="1">
      <c r="A602" s="1155">
        <v>42104</v>
      </c>
      <c r="B602" s="1156">
        <v>357</v>
      </c>
      <c r="C602" s="1157">
        <v>222</v>
      </c>
      <c r="D602" s="1157">
        <v>152</v>
      </c>
      <c r="E602" s="1157">
        <v>206.66666666666657</v>
      </c>
      <c r="F602" s="1158">
        <v>37.194788985100239</v>
      </c>
      <c r="G602" s="1158">
        <v>6.7531607465382297</v>
      </c>
      <c r="J602" s="1133"/>
      <c r="K602" s="1133"/>
      <c r="L602" s="1133"/>
      <c r="M602" s="1133"/>
      <c r="N602" s="1133"/>
      <c r="O602" s="1133"/>
    </row>
    <row r="603" spans="1:15" ht="20.100000000000001" customHeight="1">
      <c r="A603" s="1155">
        <v>42105</v>
      </c>
      <c r="B603" s="1156">
        <v>347</v>
      </c>
      <c r="C603" s="1157" t="s">
        <v>100</v>
      </c>
      <c r="D603" s="1157" t="s">
        <v>100</v>
      </c>
      <c r="E603" s="1157" t="s">
        <v>100</v>
      </c>
      <c r="F603" s="1158" t="s">
        <v>100</v>
      </c>
      <c r="G603" s="1158" t="s">
        <v>100</v>
      </c>
      <c r="J603" s="1133"/>
      <c r="K603" s="1133"/>
      <c r="L603" s="1133"/>
      <c r="M603" s="1133"/>
      <c r="N603" s="1133"/>
      <c r="O603" s="1133"/>
    </row>
    <row r="604" spans="1:15" ht="20.100000000000001" customHeight="1">
      <c r="A604" s="1155">
        <v>42106</v>
      </c>
      <c r="B604" s="1156">
        <v>343</v>
      </c>
      <c r="C604" s="1157" t="s">
        <v>100</v>
      </c>
      <c r="D604" s="1157" t="s">
        <v>100</v>
      </c>
      <c r="E604" s="1157" t="s">
        <v>100</v>
      </c>
      <c r="F604" s="1158" t="s">
        <v>100</v>
      </c>
      <c r="G604" s="1158" t="s">
        <v>100</v>
      </c>
      <c r="J604" s="1133"/>
      <c r="K604" s="1133"/>
      <c r="L604" s="1133"/>
      <c r="M604" s="1133"/>
      <c r="N604" s="1133"/>
      <c r="O604" s="1133"/>
    </row>
    <row r="605" spans="1:15" ht="20.100000000000001" customHeight="1">
      <c r="A605" s="1155">
        <v>42107</v>
      </c>
      <c r="B605" s="1156">
        <v>344</v>
      </c>
      <c r="C605" s="1157" t="s">
        <v>100</v>
      </c>
      <c r="D605" s="1157" t="s">
        <v>100</v>
      </c>
      <c r="E605" s="1157" t="s">
        <v>100</v>
      </c>
      <c r="F605" s="1158" t="s">
        <v>100</v>
      </c>
      <c r="G605" s="1158" t="s">
        <v>100</v>
      </c>
      <c r="J605" s="1133"/>
      <c r="K605" s="1133"/>
      <c r="L605" s="1133"/>
      <c r="M605" s="1133"/>
      <c r="N605" s="1133"/>
      <c r="O605" s="1133"/>
    </row>
    <row r="606" spans="1:15" ht="20.100000000000001" customHeight="1">
      <c r="A606" s="1155">
        <v>42108</v>
      </c>
      <c r="B606" s="1156">
        <v>356</v>
      </c>
      <c r="C606" s="1157" t="s">
        <v>100</v>
      </c>
      <c r="D606" s="1157" t="s">
        <v>100</v>
      </c>
      <c r="E606" s="1157" t="s">
        <v>100</v>
      </c>
      <c r="F606" s="1158" t="s">
        <v>100</v>
      </c>
      <c r="G606" s="1158" t="s">
        <v>100</v>
      </c>
      <c r="J606" s="1133"/>
      <c r="K606" s="1133"/>
      <c r="L606" s="1133"/>
      <c r="M606" s="1133"/>
      <c r="N606" s="1133"/>
      <c r="O606" s="1133"/>
    </row>
    <row r="607" spans="1:15" ht="20.100000000000001" customHeight="1">
      <c r="A607" s="1155">
        <v>42109</v>
      </c>
      <c r="B607" s="1156">
        <v>1</v>
      </c>
      <c r="C607" s="1157" t="s">
        <v>100</v>
      </c>
      <c r="D607" s="1157" t="s">
        <v>100</v>
      </c>
      <c r="E607" s="1157" t="s">
        <v>100</v>
      </c>
      <c r="F607" s="1158" t="s">
        <v>100</v>
      </c>
      <c r="G607" s="1158" t="s">
        <v>100</v>
      </c>
      <c r="J607" s="1133"/>
      <c r="K607" s="1133"/>
      <c r="L607" s="1133"/>
      <c r="M607" s="1133"/>
      <c r="N607" s="1133"/>
      <c r="O607" s="1133"/>
    </row>
    <row r="608" spans="1:15" ht="20.100000000000001" customHeight="1">
      <c r="A608" s="1155">
        <v>42110</v>
      </c>
      <c r="B608" s="1156">
        <v>311</v>
      </c>
      <c r="C608" s="1157" t="s">
        <v>100</v>
      </c>
      <c r="D608" s="1157" t="s">
        <v>100</v>
      </c>
      <c r="E608" s="1157" t="s">
        <v>100</v>
      </c>
      <c r="F608" s="1158" t="s">
        <v>100</v>
      </c>
      <c r="G608" s="1158" t="s">
        <v>100</v>
      </c>
      <c r="J608" s="1133"/>
      <c r="K608" s="1133"/>
      <c r="L608" s="1133"/>
      <c r="M608" s="1133"/>
      <c r="N608" s="1133"/>
      <c r="O608" s="1133"/>
    </row>
    <row r="609" spans="1:15" ht="20.100000000000001" customHeight="1">
      <c r="A609" s="1155">
        <v>42111</v>
      </c>
      <c r="B609" s="1156">
        <v>406</v>
      </c>
      <c r="C609" s="1157">
        <v>210.00000000000006</v>
      </c>
      <c r="D609" s="1157">
        <v>144</v>
      </c>
      <c r="E609" s="1157">
        <v>186.66666666666649</v>
      </c>
      <c r="F609" s="1158">
        <v>38.536547312582883</v>
      </c>
      <c r="G609" s="1158">
        <v>6.8299217338952429</v>
      </c>
      <c r="J609" s="1133"/>
      <c r="K609" s="1133"/>
      <c r="L609" s="1133"/>
      <c r="M609" s="1133"/>
      <c r="N609" s="1133"/>
      <c r="O609" s="1133"/>
    </row>
    <row r="610" spans="1:15" ht="20.100000000000001" customHeight="1">
      <c r="A610" s="1155">
        <v>42112</v>
      </c>
      <c r="B610" s="1156">
        <v>396</v>
      </c>
      <c r="C610" s="1157" t="s">
        <v>100</v>
      </c>
      <c r="D610" s="1157" t="s">
        <v>100</v>
      </c>
      <c r="E610" s="1157" t="s">
        <v>100</v>
      </c>
      <c r="F610" s="1158" t="s">
        <v>100</v>
      </c>
      <c r="G610" s="1158" t="s">
        <v>100</v>
      </c>
      <c r="J610" s="1133"/>
      <c r="K610" s="1133"/>
      <c r="L610" s="1133"/>
      <c r="M610" s="1133"/>
      <c r="N610" s="1133"/>
      <c r="O610" s="1133"/>
    </row>
    <row r="611" spans="1:15" ht="20.100000000000001" customHeight="1">
      <c r="A611" s="1155">
        <v>42113</v>
      </c>
      <c r="B611" s="1156">
        <v>401</v>
      </c>
      <c r="C611" s="1157" t="s">
        <v>100</v>
      </c>
      <c r="D611" s="1157" t="s">
        <v>100</v>
      </c>
      <c r="E611" s="1157" t="s">
        <v>100</v>
      </c>
      <c r="F611" s="1158" t="s">
        <v>100</v>
      </c>
      <c r="G611" s="1158" t="s">
        <v>100</v>
      </c>
      <c r="J611" s="1133"/>
      <c r="K611" s="1133"/>
      <c r="L611" s="1133"/>
      <c r="M611" s="1133"/>
      <c r="N611" s="1133"/>
      <c r="O611" s="1133"/>
    </row>
    <row r="612" spans="1:15" ht="20.100000000000001" customHeight="1">
      <c r="A612" s="1155">
        <v>42114</v>
      </c>
      <c r="B612" s="1156">
        <v>396</v>
      </c>
      <c r="C612" s="1157" t="s">
        <v>100</v>
      </c>
      <c r="D612" s="1157" t="s">
        <v>100</v>
      </c>
      <c r="E612" s="1157" t="s">
        <v>100</v>
      </c>
      <c r="F612" s="1158" t="s">
        <v>100</v>
      </c>
      <c r="G612" s="1158" t="s">
        <v>100</v>
      </c>
      <c r="J612" s="1133"/>
      <c r="K612" s="1133"/>
      <c r="L612" s="1133"/>
      <c r="M612" s="1133"/>
      <c r="N612" s="1133"/>
      <c r="O612" s="1133"/>
    </row>
    <row r="613" spans="1:15" ht="20.100000000000001" customHeight="1">
      <c r="A613" s="1155">
        <v>42115</v>
      </c>
      <c r="B613" s="1156">
        <v>393</v>
      </c>
      <c r="C613" s="1157" t="s">
        <v>100</v>
      </c>
      <c r="D613" s="1157" t="s">
        <v>100</v>
      </c>
      <c r="E613" s="1157" t="s">
        <v>100</v>
      </c>
      <c r="F613" s="1158" t="s">
        <v>100</v>
      </c>
      <c r="G613" s="1158" t="s">
        <v>100</v>
      </c>
      <c r="J613" s="1133"/>
      <c r="K613" s="1133"/>
      <c r="L613" s="1133"/>
      <c r="M613" s="1133"/>
      <c r="N613" s="1133"/>
      <c r="O613" s="1133"/>
    </row>
    <row r="614" spans="1:15" ht="20.100000000000001" customHeight="1">
      <c r="A614" s="1155">
        <v>42116</v>
      </c>
      <c r="B614" s="1156">
        <v>380</v>
      </c>
      <c r="C614" s="1157" t="s">
        <v>100</v>
      </c>
      <c r="D614" s="1157" t="s">
        <v>100</v>
      </c>
      <c r="E614" s="1157" t="s">
        <v>100</v>
      </c>
      <c r="F614" s="1158" t="s">
        <v>100</v>
      </c>
      <c r="G614" s="1158" t="s">
        <v>100</v>
      </c>
    </row>
    <row r="615" spans="1:15" ht="20.100000000000001" customHeight="1">
      <c r="A615" s="1155">
        <v>42117</v>
      </c>
      <c r="B615" s="1156">
        <v>376</v>
      </c>
      <c r="C615" s="1157" t="s">
        <v>100</v>
      </c>
      <c r="D615" s="1157" t="s">
        <v>100</v>
      </c>
      <c r="E615" s="1157" t="s">
        <v>100</v>
      </c>
      <c r="F615" s="1158" t="s">
        <v>100</v>
      </c>
      <c r="G615" s="1158" t="s">
        <v>100</v>
      </c>
    </row>
    <row r="616" spans="1:15" ht="20.100000000000001" customHeight="1">
      <c r="A616" s="1155">
        <v>42118</v>
      </c>
      <c r="B616" s="1156">
        <v>383</v>
      </c>
      <c r="C616" s="1157">
        <v>204.00000000000003</v>
      </c>
      <c r="D616" s="1157">
        <v>136</v>
      </c>
      <c r="E616" s="1157">
        <v>200.0000000000002</v>
      </c>
      <c r="F616" s="1158">
        <v>37.007566892893365</v>
      </c>
      <c r="G616" s="1158">
        <v>6.5860927152317883</v>
      </c>
    </row>
    <row r="617" spans="1:15" ht="20.100000000000001" customHeight="1">
      <c r="A617" s="1155">
        <v>42119</v>
      </c>
      <c r="B617" s="1156">
        <v>383</v>
      </c>
      <c r="C617" s="1157" t="s">
        <v>100</v>
      </c>
      <c r="D617" s="1157" t="s">
        <v>100</v>
      </c>
      <c r="E617" s="1157" t="s">
        <v>100</v>
      </c>
      <c r="F617" s="1158" t="s">
        <v>100</v>
      </c>
      <c r="G617" s="1158" t="s">
        <v>100</v>
      </c>
    </row>
    <row r="618" spans="1:15" ht="20.100000000000001" customHeight="1">
      <c r="A618" s="1155">
        <v>42120</v>
      </c>
      <c r="B618" s="1156">
        <v>392</v>
      </c>
      <c r="C618" s="1157" t="s">
        <v>100</v>
      </c>
      <c r="D618" s="1157" t="s">
        <v>100</v>
      </c>
      <c r="E618" s="1157" t="s">
        <v>100</v>
      </c>
      <c r="F618" s="1158" t="s">
        <v>100</v>
      </c>
      <c r="G618" s="1158" t="s">
        <v>100</v>
      </c>
    </row>
    <row r="619" spans="1:15" ht="20.100000000000001" customHeight="1">
      <c r="A619" s="1155">
        <v>42121</v>
      </c>
      <c r="B619" s="1156">
        <v>390</v>
      </c>
      <c r="C619" s="1157" t="s">
        <v>100</v>
      </c>
      <c r="D619" s="1157" t="s">
        <v>100</v>
      </c>
      <c r="E619" s="1157" t="s">
        <v>100</v>
      </c>
      <c r="F619" s="1158" t="s">
        <v>100</v>
      </c>
      <c r="G619" s="1158" t="s">
        <v>100</v>
      </c>
    </row>
    <row r="620" spans="1:15" ht="20.100000000000001" customHeight="1">
      <c r="A620" s="1155">
        <v>42122</v>
      </c>
      <c r="B620" s="1156">
        <v>382</v>
      </c>
      <c r="C620" s="1157" t="s">
        <v>100</v>
      </c>
      <c r="D620" s="1157" t="s">
        <v>100</v>
      </c>
      <c r="E620" s="1157" t="s">
        <v>100</v>
      </c>
      <c r="F620" s="1158" t="s">
        <v>100</v>
      </c>
      <c r="G620" s="1158" t="s">
        <v>100</v>
      </c>
    </row>
    <row r="621" spans="1:15" ht="20.100000000000001" customHeight="1">
      <c r="A621" s="1155">
        <v>42123</v>
      </c>
      <c r="B621" s="1156">
        <v>374</v>
      </c>
      <c r="C621" s="1157" t="s">
        <v>100</v>
      </c>
      <c r="D621" s="1157" t="s">
        <v>100</v>
      </c>
      <c r="E621" s="1157" t="s">
        <v>100</v>
      </c>
      <c r="F621" s="1158" t="s">
        <v>100</v>
      </c>
      <c r="G621" s="1158" t="s">
        <v>100</v>
      </c>
    </row>
    <row r="622" spans="1:15" ht="20.100000000000001" customHeight="1">
      <c r="A622" s="1155">
        <v>42124</v>
      </c>
      <c r="B622" s="1156">
        <v>391</v>
      </c>
      <c r="C622" s="1157" t="s">
        <v>100</v>
      </c>
      <c r="D622" s="1157" t="s">
        <v>100</v>
      </c>
      <c r="E622" s="1157" t="s">
        <v>100</v>
      </c>
      <c r="F622" s="1158" t="s">
        <v>100</v>
      </c>
      <c r="G622" s="1158" t="s">
        <v>100</v>
      </c>
    </row>
    <row r="623" spans="1:15" ht="20.100000000000001" customHeight="1">
      <c r="A623" s="1155">
        <v>42125</v>
      </c>
      <c r="B623" s="1156">
        <v>406</v>
      </c>
      <c r="C623" s="1164">
        <v>210.00000000000006</v>
      </c>
      <c r="D623" s="1157">
        <v>152</v>
      </c>
      <c r="E623" s="1157">
        <v>190.00000000000037</v>
      </c>
      <c r="F623" s="1165">
        <v>40.159138778375841</v>
      </c>
      <c r="G623" s="1165">
        <v>6.7937989163154713</v>
      </c>
    </row>
    <row r="624" spans="1:15" ht="20.100000000000001" customHeight="1">
      <c r="A624" s="1155">
        <v>42126</v>
      </c>
      <c r="B624" s="1156">
        <v>398</v>
      </c>
      <c r="C624" s="1164" t="s">
        <v>100</v>
      </c>
      <c r="D624" s="1157" t="s">
        <v>100</v>
      </c>
      <c r="E624" s="1157" t="s">
        <v>100</v>
      </c>
      <c r="F624" s="1165" t="s">
        <v>100</v>
      </c>
      <c r="G624" s="1165" t="s">
        <v>100</v>
      </c>
    </row>
    <row r="625" spans="1:7" ht="20.100000000000001" customHeight="1">
      <c r="A625" s="1155">
        <v>42127</v>
      </c>
      <c r="B625" s="1156">
        <v>409</v>
      </c>
      <c r="C625" s="1164" t="s">
        <v>100</v>
      </c>
      <c r="D625" s="1157" t="s">
        <v>100</v>
      </c>
      <c r="E625" s="1157" t="s">
        <v>100</v>
      </c>
      <c r="F625" s="1165" t="s">
        <v>100</v>
      </c>
      <c r="G625" s="1165" t="s">
        <v>100</v>
      </c>
    </row>
    <row r="626" spans="1:7" ht="20.100000000000001" customHeight="1">
      <c r="A626" s="1155">
        <v>42128</v>
      </c>
      <c r="B626" s="1156">
        <v>398</v>
      </c>
      <c r="C626" s="1157" t="s">
        <v>100</v>
      </c>
      <c r="D626" s="1157" t="s">
        <v>100</v>
      </c>
      <c r="E626" s="1157" t="s">
        <v>100</v>
      </c>
      <c r="F626" s="1165" t="s">
        <v>100</v>
      </c>
      <c r="G626" s="1165" t="s">
        <v>100</v>
      </c>
    </row>
    <row r="627" spans="1:7" ht="20.100000000000001" customHeight="1">
      <c r="A627" s="1155">
        <v>42129</v>
      </c>
      <c r="B627" s="1156">
        <v>404</v>
      </c>
      <c r="C627" s="1157" t="s">
        <v>100</v>
      </c>
      <c r="D627" s="1157" t="s">
        <v>100</v>
      </c>
      <c r="E627" s="1157" t="s">
        <v>100</v>
      </c>
      <c r="F627" s="1165" t="s">
        <v>100</v>
      </c>
      <c r="G627" s="1165" t="s">
        <v>100</v>
      </c>
    </row>
    <row r="628" spans="1:7" ht="20.100000000000001" customHeight="1">
      <c r="A628" s="1155">
        <v>42130</v>
      </c>
      <c r="B628" s="1156">
        <v>392</v>
      </c>
      <c r="C628" s="1157" t="s">
        <v>100</v>
      </c>
      <c r="D628" s="1157" t="s">
        <v>100</v>
      </c>
      <c r="E628" s="1157" t="s">
        <v>100</v>
      </c>
      <c r="F628" s="1165" t="s">
        <v>100</v>
      </c>
      <c r="G628" s="1165" t="s">
        <v>100</v>
      </c>
    </row>
    <row r="629" spans="1:7" ht="20.100000000000001" customHeight="1">
      <c r="A629" s="1155">
        <v>42131</v>
      </c>
      <c r="B629" s="1156">
        <v>383</v>
      </c>
      <c r="C629" s="1157" t="s">
        <v>100</v>
      </c>
      <c r="D629" s="1157" t="s">
        <v>100</v>
      </c>
      <c r="E629" s="1157" t="s">
        <v>100</v>
      </c>
      <c r="F629" s="1165" t="s">
        <v>100</v>
      </c>
      <c r="G629" s="1165" t="s">
        <v>100</v>
      </c>
    </row>
    <row r="630" spans="1:7" ht="20.100000000000001" customHeight="1">
      <c r="A630" s="1155">
        <v>42132</v>
      </c>
      <c r="B630" s="1156">
        <v>370</v>
      </c>
      <c r="C630" s="1157">
        <v>198.00000000000006</v>
      </c>
      <c r="D630" s="1157">
        <v>148</v>
      </c>
      <c r="E630" s="1157">
        <v>183.33333333333351</v>
      </c>
      <c r="F630" s="1165">
        <v>40.658397690927529</v>
      </c>
      <c r="G630" s="1165">
        <v>6.6944611679711015</v>
      </c>
    </row>
    <row r="631" spans="1:7" ht="20.100000000000001" customHeight="1">
      <c r="A631" s="1155">
        <v>42133</v>
      </c>
      <c r="B631" s="1156">
        <v>376</v>
      </c>
      <c r="C631" s="1157" t="s">
        <v>100</v>
      </c>
      <c r="D631" s="1157" t="s">
        <v>100</v>
      </c>
      <c r="E631" s="1157" t="s">
        <v>100</v>
      </c>
      <c r="F631" s="1165" t="s">
        <v>100</v>
      </c>
      <c r="G631" s="1165" t="s">
        <v>100</v>
      </c>
    </row>
    <row r="632" spans="1:7" ht="20.100000000000001" customHeight="1">
      <c r="A632" s="1155">
        <v>42134</v>
      </c>
      <c r="B632" s="1156">
        <v>376</v>
      </c>
      <c r="C632" s="1157" t="s">
        <v>100</v>
      </c>
      <c r="D632" s="1157" t="s">
        <v>100</v>
      </c>
      <c r="E632" s="1157" t="s">
        <v>100</v>
      </c>
      <c r="F632" s="1165" t="s">
        <v>100</v>
      </c>
      <c r="G632" s="1165" t="s">
        <v>100</v>
      </c>
    </row>
    <row r="633" spans="1:7" ht="20.100000000000001" customHeight="1">
      <c r="A633" s="1155">
        <v>42135</v>
      </c>
      <c r="B633" s="1156">
        <v>373</v>
      </c>
      <c r="C633" s="1157" t="s">
        <v>100</v>
      </c>
      <c r="D633" s="1157" t="s">
        <v>100</v>
      </c>
      <c r="E633" s="1157" t="s">
        <v>100</v>
      </c>
      <c r="F633" s="1165" t="s">
        <v>100</v>
      </c>
      <c r="G633" s="1165" t="s">
        <v>100</v>
      </c>
    </row>
    <row r="634" spans="1:7" ht="20.100000000000001" customHeight="1">
      <c r="A634" s="1155">
        <v>42136</v>
      </c>
      <c r="B634" s="1156">
        <v>370</v>
      </c>
      <c r="C634" s="1157" t="s">
        <v>100</v>
      </c>
      <c r="D634" s="1157" t="s">
        <v>100</v>
      </c>
      <c r="E634" s="1157" t="s">
        <v>100</v>
      </c>
      <c r="F634" s="1165" t="s">
        <v>100</v>
      </c>
      <c r="G634" s="1165" t="s">
        <v>100</v>
      </c>
    </row>
    <row r="635" spans="1:7" ht="20.100000000000001" customHeight="1">
      <c r="A635" s="1155">
        <v>42137</v>
      </c>
      <c r="B635" s="1156">
        <v>321</v>
      </c>
      <c r="C635" s="1157" t="s">
        <v>100</v>
      </c>
      <c r="D635" s="1157" t="s">
        <v>100</v>
      </c>
      <c r="E635" s="1157" t="s">
        <v>100</v>
      </c>
      <c r="F635" s="1165" t="s">
        <v>100</v>
      </c>
      <c r="G635" s="1165" t="s">
        <v>100</v>
      </c>
    </row>
    <row r="636" spans="1:7" ht="20.100000000000001" customHeight="1">
      <c r="A636" s="1155">
        <v>42138</v>
      </c>
      <c r="B636" s="1156">
        <v>423</v>
      </c>
      <c r="C636" s="1157" t="s">
        <v>100</v>
      </c>
      <c r="D636" s="1157" t="s">
        <v>100</v>
      </c>
      <c r="E636" s="1157" t="s">
        <v>100</v>
      </c>
      <c r="F636" s="1165" t="s">
        <v>100</v>
      </c>
      <c r="G636" s="1165" t="s">
        <v>100</v>
      </c>
    </row>
    <row r="637" spans="1:7" ht="20.100000000000001" customHeight="1">
      <c r="A637" s="1155">
        <v>42139</v>
      </c>
      <c r="B637" s="1156">
        <v>328</v>
      </c>
      <c r="C637" s="1157">
        <v>228</v>
      </c>
      <c r="D637" s="1157">
        <v>156.00000000000003</v>
      </c>
      <c r="E637" s="1157">
        <v>186.66666666666649</v>
      </c>
      <c r="F637" s="1165">
        <v>41.001638193306817</v>
      </c>
      <c r="G637" s="1165">
        <v>6.7531607465382297</v>
      </c>
    </row>
    <row r="638" spans="1:7" ht="20.100000000000001" customHeight="1">
      <c r="A638" s="1155">
        <v>42140</v>
      </c>
      <c r="B638" s="1156">
        <v>351</v>
      </c>
      <c r="C638" s="1157" t="s">
        <v>100</v>
      </c>
      <c r="D638" s="1157" t="s">
        <v>100</v>
      </c>
      <c r="E638" s="1157" t="s">
        <v>100</v>
      </c>
      <c r="F638" s="1165" t="s">
        <v>100</v>
      </c>
      <c r="G638" s="1165" t="s">
        <v>100</v>
      </c>
    </row>
    <row r="639" spans="1:7" ht="20.100000000000001" customHeight="1">
      <c r="A639" s="1155">
        <v>42141</v>
      </c>
      <c r="B639" s="1156">
        <v>354</v>
      </c>
      <c r="C639" s="1157" t="s">
        <v>100</v>
      </c>
      <c r="D639" s="1157" t="s">
        <v>100</v>
      </c>
      <c r="E639" s="1157" t="s">
        <v>100</v>
      </c>
      <c r="F639" s="1165" t="s">
        <v>100</v>
      </c>
      <c r="G639" s="1165" t="s">
        <v>100</v>
      </c>
    </row>
    <row r="640" spans="1:7" ht="20.100000000000001" customHeight="1">
      <c r="A640" s="1155">
        <v>42142</v>
      </c>
      <c r="B640" s="1156">
        <v>340</v>
      </c>
      <c r="C640" s="1157" t="s">
        <v>100</v>
      </c>
      <c r="D640" s="1157" t="s">
        <v>100</v>
      </c>
      <c r="E640" s="1157" t="s">
        <v>100</v>
      </c>
      <c r="F640" s="1165" t="s">
        <v>100</v>
      </c>
      <c r="G640" s="1165" t="s">
        <v>100</v>
      </c>
    </row>
    <row r="641" spans="1:7" ht="20.100000000000001" customHeight="1">
      <c r="A641" s="1155">
        <v>42143</v>
      </c>
      <c r="B641" s="1156">
        <v>337</v>
      </c>
      <c r="C641" s="1157" t="s">
        <v>100</v>
      </c>
      <c r="D641" s="1157" t="s">
        <v>100</v>
      </c>
      <c r="E641" s="1157" t="s">
        <v>100</v>
      </c>
      <c r="F641" s="1165" t="s">
        <v>100</v>
      </c>
      <c r="G641" s="1165" t="s">
        <v>100</v>
      </c>
    </row>
    <row r="642" spans="1:7" ht="20.100000000000001" customHeight="1">
      <c r="A642" s="1155">
        <v>42144</v>
      </c>
      <c r="B642" s="1156">
        <v>341</v>
      </c>
      <c r="C642" s="1157" t="s">
        <v>100</v>
      </c>
      <c r="D642" s="1157" t="s">
        <v>100</v>
      </c>
      <c r="E642" s="1157" t="s">
        <v>100</v>
      </c>
      <c r="F642" s="1165" t="s">
        <v>100</v>
      </c>
      <c r="G642" s="1165" t="s">
        <v>100</v>
      </c>
    </row>
    <row r="643" spans="1:7" ht="20.100000000000001" customHeight="1">
      <c r="A643" s="1155">
        <v>42145</v>
      </c>
      <c r="B643" s="1156">
        <v>341</v>
      </c>
      <c r="C643" s="1157" t="s">
        <v>100</v>
      </c>
      <c r="D643" s="1157" t="s">
        <v>100</v>
      </c>
      <c r="E643" s="1157" t="s">
        <v>100</v>
      </c>
      <c r="F643" s="1165" t="s">
        <v>100</v>
      </c>
      <c r="G643" s="1165" t="s">
        <v>100</v>
      </c>
    </row>
    <row r="644" spans="1:7" ht="20.100000000000001" customHeight="1">
      <c r="A644" s="1155">
        <v>42146</v>
      </c>
      <c r="B644" s="1156">
        <v>339</v>
      </c>
      <c r="C644" s="1157">
        <v>204.00000000000003</v>
      </c>
      <c r="D644" s="1157">
        <v>143.99999999999997</v>
      </c>
      <c r="E644" s="1157">
        <v>173.33333333333323</v>
      </c>
      <c r="F644" s="1165">
        <v>39.472657773617279</v>
      </c>
      <c r="G644" s="1165">
        <v>6.7802528597230571</v>
      </c>
    </row>
    <row r="645" spans="1:7" ht="20.100000000000001" customHeight="1">
      <c r="A645" s="1155">
        <v>42147</v>
      </c>
      <c r="B645" s="1156">
        <v>338</v>
      </c>
      <c r="C645" s="1157" t="s">
        <v>100</v>
      </c>
      <c r="D645" s="1157" t="s">
        <v>100</v>
      </c>
      <c r="E645" s="1157" t="s">
        <v>100</v>
      </c>
      <c r="F645" s="1165" t="s">
        <v>100</v>
      </c>
      <c r="G645" s="1165" t="s">
        <v>100</v>
      </c>
    </row>
    <row r="646" spans="1:7" ht="20.100000000000001" customHeight="1">
      <c r="A646" s="1155">
        <v>42148</v>
      </c>
      <c r="B646" s="1156">
        <v>347</v>
      </c>
      <c r="C646" s="1157" t="s">
        <v>100</v>
      </c>
      <c r="D646" s="1157" t="s">
        <v>100</v>
      </c>
      <c r="E646" s="1157" t="s">
        <v>100</v>
      </c>
      <c r="F646" s="1165" t="s">
        <v>100</v>
      </c>
      <c r="G646" s="1165" t="s">
        <v>100</v>
      </c>
    </row>
    <row r="647" spans="1:7" ht="20.100000000000001" customHeight="1">
      <c r="A647" s="1155">
        <v>42149</v>
      </c>
      <c r="B647" s="1156">
        <v>337</v>
      </c>
      <c r="C647" s="1157" t="s">
        <v>100</v>
      </c>
      <c r="D647" s="1157" t="s">
        <v>100</v>
      </c>
      <c r="E647" s="1157" t="s">
        <v>100</v>
      </c>
      <c r="F647" s="1165" t="s">
        <v>100</v>
      </c>
      <c r="G647" s="1165" t="s">
        <v>100</v>
      </c>
    </row>
    <row r="648" spans="1:7" ht="20.100000000000001" customHeight="1">
      <c r="A648" s="1155">
        <v>42150</v>
      </c>
      <c r="B648" s="1156">
        <v>341</v>
      </c>
      <c r="C648" s="1157" t="s">
        <v>100</v>
      </c>
      <c r="D648" s="1157" t="s">
        <v>100</v>
      </c>
      <c r="E648" s="1157" t="s">
        <v>100</v>
      </c>
      <c r="F648" s="1165" t="s">
        <v>100</v>
      </c>
      <c r="G648" s="1165" t="s">
        <v>100</v>
      </c>
    </row>
    <row r="649" spans="1:7" ht="20.100000000000001" customHeight="1">
      <c r="A649" s="1155">
        <v>42151</v>
      </c>
      <c r="B649" s="1156">
        <v>341</v>
      </c>
      <c r="C649" s="1157" t="s">
        <v>100</v>
      </c>
      <c r="D649" s="1157" t="s">
        <v>100</v>
      </c>
      <c r="E649" s="1157" t="s">
        <v>100</v>
      </c>
      <c r="F649" s="1165" t="s">
        <v>100</v>
      </c>
      <c r="G649" s="1165" t="s">
        <v>100</v>
      </c>
    </row>
    <row r="650" spans="1:7" ht="20.100000000000001" customHeight="1">
      <c r="A650" s="1155">
        <v>42152</v>
      </c>
      <c r="B650" s="1156">
        <v>339</v>
      </c>
      <c r="C650" s="1157" t="s">
        <v>100</v>
      </c>
      <c r="D650" s="1157" t="s">
        <v>100</v>
      </c>
      <c r="E650" s="1157" t="s">
        <v>100</v>
      </c>
      <c r="F650" s="1165" t="s">
        <v>100</v>
      </c>
      <c r="G650" s="1165" t="s">
        <v>100</v>
      </c>
    </row>
    <row r="651" spans="1:7" ht="20.100000000000001" customHeight="1">
      <c r="A651" s="1155">
        <v>42153</v>
      </c>
      <c r="B651" s="1156">
        <v>339</v>
      </c>
      <c r="C651" s="1157">
        <v>216.00000000000003</v>
      </c>
      <c r="D651" s="1157">
        <v>132</v>
      </c>
      <c r="E651" s="1157">
        <v>163.3333333333334</v>
      </c>
      <c r="F651" s="1165">
        <v>38.47413994851393</v>
      </c>
      <c r="G651" s="1165">
        <v>6.4370860927152318</v>
      </c>
    </row>
    <row r="652" spans="1:7" ht="20.100000000000001" customHeight="1">
      <c r="A652" s="1155">
        <v>42154</v>
      </c>
      <c r="B652" s="1156">
        <v>335</v>
      </c>
      <c r="C652" s="1157"/>
      <c r="D652" s="1157"/>
      <c r="E652" s="1157"/>
      <c r="F652" s="1158"/>
      <c r="G652" s="1158"/>
    </row>
    <row r="653" spans="1:7" ht="20.100000000000001" customHeight="1">
      <c r="A653" s="1155">
        <v>42155</v>
      </c>
      <c r="B653" s="1156">
        <v>337</v>
      </c>
      <c r="C653" s="1157"/>
      <c r="D653" s="1157"/>
      <c r="E653" s="1157"/>
      <c r="F653" s="1158"/>
      <c r="G653" s="1158"/>
    </row>
    <row r="654" spans="1:7" ht="20.100000000000001" customHeight="1">
      <c r="A654" s="1155">
        <v>42156</v>
      </c>
      <c r="B654" s="1156">
        <v>352</v>
      </c>
      <c r="C654" s="1164" t="s">
        <v>100</v>
      </c>
      <c r="D654" s="1157" t="s">
        <v>100</v>
      </c>
      <c r="E654" s="1157" t="s">
        <v>100</v>
      </c>
      <c r="F654" s="1165" t="s">
        <v>100</v>
      </c>
      <c r="G654" s="1165" t="s">
        <v>100</v>
      </c>
    </row>
    <row r="655" spans="1:7" ht="20.100000000000001" customHeight="1">
      <c r="A655" s="1155">
        <v>42157</v>
      </c>
      <c r="B655" s="1156">
        <v>361</v>
      </c>
      <c r="C655" s="1164" t="s">
        <v>100</v>
      </c>
      <c r="D655" s="1157" t="s">
        <v>100</v>
      </c>
      <c r="E655" s="1157" t="s">
        <v>100</v>
      </c>
      <c r="F655" s="1165" t="s">
        <v>100</v>
      </c>
      <c r="G655" s="1165" t="s">
        <v>100</v>
      </c>
    </row>
    <row r="656" spans="1:7" ht="20.100000000000001" customHeight="1">
      <c r="A656" s="1155">
        <v>42158</v>
      </c>
      <c r="B656" s="1156">
        <v>355</v>
      </c>
      <c r="C656" s="1164" t="s">
        <v>100</v>
      </c>
      <c r="D656" s="1157" t="s">
        <v>100</v>
      </c>
      <c r="E656" s="1157" t="s">
        <v>100</v>
      </c>
      <c r="F656" s="1165" t="s">
        <v>100</v>
      </c>
      <c r="G656" s="1165" t="s">
        <v>100</v>
      </c>
    </row>
    <row r="657" spans="1:7" ht="20.100000000000001" customHeight="1">
      <c r="A657" s="1155">
        <v>42159</v>
      </c>
      <c r="B657" s="1156">
        <v>352</v>
      </c>
      <c r="C657" s="1157" t="s">
        <v>100</v>
      </c>
      <c r="D657" s="1157" t="s">
        <v>100</v>
      </c>
      <c r="E657" s="1157" t="s">
        <v>100</v>
      </c>
      <c r="F657" s="1165" t="s">
        <v>100</v>
      </c>
      <c r="G657" s="1165" t="s">
        <v>100</v>
      </c>
    </row>
    <row r="658" spans="1:7" ht="20.100000000000001" customHeight="1">
      <c r="A658" s="1155">
        <v>42160</v>
      </c>
      <c r="B658" s="1156">
        <v>347</v>
      </c>
      <c r="C658" s="1157">
        <v>204.00000000000003</v>
      </c>
      <c r="D658" s="1157">
        <v>148</v>
      </c>
      <c r="E658" s="1157">
        <v>180.00000000000009</v>
      </c>
      <c r="F658" s="1165">
        <v>40.658397690927529</v>
      </c>
      <c r="G658" s="1165">
        <v>6.7576760987357014</v>
      </c>
    </row>
    <row r="659" spans="1:7" ht="20.100000000000001" customHeight="1">
      <c r="A659" s="1155">
        <v>42161</v>
      </c>
      <c r="B659" s="1156">
        <v>352</v>
      </c>
      <c r="C659" s="1157" t="s">
        <v>100</v>
      </c>
      <c r="D659" s="1157" t="s">
        <v>100</v>
      </c>
      <c r="E659" s="1157" t="s">
        <v>100</v>
      </c>
      <c r="F659" s="1165" t="s">
        <v>100</v>
      </c>
      <c r="G659" s="1165" t="s">
        <v>100</v>
      </c>
    </row>
    <row r="660" spans="1:7" ht="20.100000000000001" customHeight="1">
      <c r="A660" s="1155">
        <v>42162</v>
      </c>
      <c r="B660" s="1156">
        <v>353</v>
      </c>
      <c r="C660" s="1157" t="s">
        <v>100</v>
      </c>
      <c r="D660" s="1157" t="s">
        <v>100</v>
      </c>
      <c r="E660" s="1157" t="s">
        <v>100</v>
      </c>
      <c r="F660" s="1165" t="s">
        <v>100</v>
      </c>
      <c r="G660" s="1165" t="s">
        <v>100</v>
      </c>
    </row>
    <row r="661" spans="1:7" ht="20.100000000000001" customHeight="1">
      <c r="A661" s="1155">
        <v>42163</v>
      </c>
      <c r="B661" s="1156">
        <v>352</v>
      </c>
      <c r="C661" s="1157" t="s">
        <v>100</v>
      </c>
      <c r="D661" s="1157" t="s">
        <v>100</v>
      </c>
      <c r="E661" s="1157" t="s">
        <v>100</v>
      </c>
      <c r="F661" s="1165" t="s">
        <v>100</v>
      </c>
      <c r="G661" s="1165" t="s">
        <v>100</v>
      </c>
    </row>
    <row r="662" spans="1:7" ht="20.100000000000001" customHeight="1">
      <c r="A662" s="1155">
        <v>42164</v>
      </c>
      <c r="B662" s="1156">
        <v>350</v>
      </c>
      <c r="C662" s="1157" t="s">
        <v>100</v>
      </c>
      <c r="D662" s="1157" t="s">
        <v>100</v>
      </c>
      <c r="E662" s="1157" t="s">
        <v>100</v>
      </c>
      <c r="F662" s="1165" t="s">
        <v>100</v>
      </c>
      <c r="G662" s="1165" t="s">
        <v>100</v>
      </c>
    </row>
    <row r="663" spans="1:7" ht="20.100000000000001" customHeight="1">
      <c r="A663" s="1155">
        <v>42165</v>
      </c>
      <c r="B663" s="1156">
        <v>346</v>
      </c>
      <c r="C663" s="1157" t="s">
        <v>100</v>
      </c>
      <c r="D663" s="1157" t="s">
        <v>100</v>
      </c>
      <c r="E663" s="1157" t="s">
        <v>100</v>
      </c>
      <c r="F663" s="1165" t="s">
        <v>100</v>
      </c>
      <c r="G663" s="1165" t="s">
        <v>100</v>
      </c>
    </row>
    <row r="664" spans="1:7" ht="20.100000000000001" customHeight="1">
      <c r="A664" s="1155">
        <v>42166</v>
      </c>
      <c r="B664" s="1156">
        <v>347</v>
      </c>
      <c r="C664" s="1157" t="s">
        <v>100</v>
      </c>
      <c r="D664" s="1157" t="s">
        <v>100</v>
      </c>
      <c r="E664" s="1157" t="s">
        <v>100</v>
      </c>
      <c r="F664" s="1165" t="s">
        <v>100</v>
      </c>
      <c r="G664" s="1165" t="s">
        <v>100</v>
      </c>
    </row>
    <row r="665" spans="1:7" ht="20.100000000000001" customHeight="1">
      <c r="A665" s="1155">
        <v>42167</v>
      </c>
      <c r="B665" s="1156">
        <v>338</v>
      </c>
      <c r="C665" s="1157">
        <v>198.00000000000006</v>
      </c>
      <c r="D665" s="1157">
        <v>156.00000000000003</v>
      </c>
      <c r="E665" s="1157">
        <v>200.0000000000002</v>
      </c>
      <c r="F665" s="1165">
        <v>42.124970746548094</v>
      </c>
      <c r="G665" s="1165">
        <v>6.9202287778446712</v>
      </c>
    </row>
    <row r="666" spans="1:7" ht="20.100000000000001" customHeight="1">
      <c r="A666" s="1155">
        <v>42168</v>
      </c>
      <c r="B666" s="1156">
        <v>346</v>
      </c>
      <c r="C666" s="1157" t="s">
        <v>100</v>
      </c>
      <c r="D666" s="1157" t="s">
        <v>100</v>
      </c>
      <c r="E666" s="1157" t="s">
        <v>100</v>
      </c>
      <c r="F666" s="1165" t="s">
        <v>100</v>
      </c>
      <c r="G666" s="1165" t="s">
        <v>100</v>
      </c>
    </row>
    <row r="667" spans="1:7" ht="20.100000000000001" customHeight="1">
      <c r="A667" s="1155">
        <v>42169</v>
      </c>
      <c r="B667" s="1156">
        <v>346</v>
      </c>
      <c r="C667" s="1157" t="s">
        <v>100</v>
      </c>
      <c r="D667" s="1157" t="s">
        <v>100</v>
      </c>
      <c r="E667" s="1157" t="s">
        <v>100</v>
      </c>
      <c r="F667" s="1165" t="s">
        <v>100</v>
      </c>
      <c r="G667" s="1165" t="s">
        <v>100</v>
      </c>
    </row>
    <row r="668" spans="1:7" ht="20.100000000000001" customHeight="1">
      <c r="A668" s="1155">
        <v>42170</v>
      </c>
      <c r="B668" s="1156">
        <v>338</v>
      </c>
      <c r="C668" s="1157" t="s">
        <v>100</v>
      </c>
      <c r="D668" s="1157" t="s">
        <v>100</v>
      </c>
      <c r="E668" s="1157" t="s">
        <v>100</v>
      </c>
      <c r="F668" s="1165" t="s">
        <v>100</v>
      </c>
      <c r="G668" s="1165" t="s">
        <v>100</v>
      </c>
    </row>
    <row r="669" spans="1:7" ht="20.100000000000001" customHeight="1">
      <c r="A669" s="1155">
        <v>42171</v>
      </c>
      <c r="B669" s="1156">
        <v>273</v>
      </c>
      <c r="C669" s="1157" t="s">
        <v>100</v>
      </c>
      <c r="D669" s="1157" t="s">
        <v>100</v>
      </c>
      <c r="E669" s="1157" t="s">
        <v>100</v>
      </c>
      <c r="F669" s="1165" t="s">
        <v>100</v>
      </c>
      <c r="G669" s="1165" t="s">
        <v>100</v>
      </c>
    </row>
    <row r="670" spans="1:7" ht="20.100000000000001" customHeight="1">
      <c r="A670" s="1155">
        <v>42172</v>
      </c>
      <c r="B670" s="1156">
        <v>393</v>
      </c>
      <c r="C670" s="1157" t="s">
        <v>100</v>
      </c>
      <c r="D670" s="1157" t="s">
        <v>100</v>
      </c>
      <c r="E670" s="1157" t="s">
        <v>100</v>
      </c>
      <c r="F670" s="1165" t="s">
        <v>100</v>
      </c>
      <c r="G670" s="1165" t="s">
        <v>100</v>
      </c>
    </row>
    <row r="671" spans="1:7" ht="20.100000000000001" customHeight="1">
      <c r="A671" s="1155">
        <v>42173</v>
      </c>
      <c r="B671" s="1156">
        <v>379</v>
      </c>
      <c r="C671" s="1157" t="s">
        <v>100</v>
      </c>
      <c r="D671" s="1157" t="s">
        <v>100</v>
      </c>
      <c r="E671" s="1157" t="s">
        <v>100</v>
      </c>
      <c r="F671" s="1165" t="s">
        <v>100</v>
      </c>
      <c r="G671" s="1165" t="s">
        <v>100</v>
      </c>
    </row>
    <row r="672" spans="1:7" ht="20.100000000000001" customHeight="1">
      <c r="A672" s="1155">
        <v>42174</v>
      </c>
      <c r="B672" s="1156">
        <v>351</v>
      </c>
      <c r="C672" s="1157">
        <v>185.99999999999997</v>
      </c>
      <c r="D672" s="1157">
        <v>152</v>
      </c>
      <c r="E672" s="1157">
        <v>183.33333333333303</v>
      </c>
      <c r="F672" s="1165">
        <v>43.591543802168658</v>
      </c>
      <c r="G672" s="1165">
        <v>6.875075255869957</v>
      </c>
    </row>
    <row r="673" spans="1:7" ht="20.100000000000001" customHeight="1">
      <c r="A673" s="1155">
        <v>42175</v>
      </c>
      <c r="B673" s="1156">
        <v>370</v>
      </c>
      <c r="C673" s="1157" t="s">
        <v>100</v>
      </c>
      <c r="D673" s="1157" t="s">
        <v>100</v>
      </c>
      <c r="E673" s="1157" t="s">
        <v>100</v>
      </c>
      <c r="F673" s="1165" t="s">
        <v>100</v>
      </c>
      <c r="G673" s="1165" t="s">
        <v>100</v>
      </c>
    </row>
    <row r="674" spans="1:7" ht="20.100000000000001" customHeight="1">
      <c r="A674" s="1155">
        <v>42176</v>
      </c>
      <c r="B674" s="1156">
        <v>360</v>
      </c>
      <c r="C674" s="1157" t="s">
        <v>100</v>
      </c>
      <c r="D674" s="1157" t="s">
        <v>100</v>
      </c>
      <c r="E674" s="1157" t="s">
        <v>100</v>
      </c>
      <c r="F674" s="1165" t="s">
        <v>100</v>
      </c>
      <c r="G674" s="1165" t="s">
        <v>100</v>
      </c>
    </row>
    <row r="675" spans="1:7" ht="20.100000000000001" customHeight="1">
      <c r="A675" s="1155">
        <v>42177</v>
      </c>
      <c r="B675" s="1156">
        <v>366</v>
      </c>
      <c r="C675" s="1157" t="s">
        <v>100</v>
      </c>
      <c r="D675" s="1157" t="s">
        <v>100</v>
      </c>
      <c r="E675" s="1157" t="s">
        <v>100</v>
      </c>
      <c r="F675" s="1165" t="s">
        <v>100</v>
      </c>
      <c r="G675" s="1165" t="s">
        <v>100</v>
      </c>
    </row>
    <row r="676" spans="1:7" ht="20.100000000000001" customHeight="1">
      <c r="A676" s="1155">
        <v>42178</v>
      </c>
      <c r="B676" s="1156">
        <v>359</v>
      </c>
      <c r="C676" s="1157" t="s">
        <v>100</v>
      </c>
      <c r="D676" s="1157" t="s">
        <v>100</v>
      </c>
      <c r="E676" s="1157" t="s">
        <v>100</v>
      </c>
      <c r="F676" s="1165" t="s">
        <v>100</v>
      </c>
      <c r="G676" s="1165" t="s">
        <v>100</v>
      </c>
    </row>
    <row r="677" spans="1:7" ht="20.100000000000001" customHeight="1">
      <c r="A677" s="1155">
        <v>42179</v>
      </c>
      <c r="B677" s="1156">
        <v>362</v>
      </c>
      <c r="C677" s="1157" t="s">
        <v>100</v>
      </c>
      <c r="D677" s="1157" t="s">
        <v>100</v>
      </c>
      <c r="E677" s="1157" t="s">
        <v>100</v>
      </c>
      <c r="F677" s="1165" t="s">
        <v>100</v>
      </c>
      <c r="G677" s="1165" t="s">
        <v>100</v>
      </c>
    </row>
    <row r="678" spans="1:7" ht="20.100000000000001" customHeight="1">
      <c r="A678" s="1155">
        <v>42180</v>
      </c>
      <c r="B678" s="1156">
        <v>351</v>
      </c>
      <c r="C678" s="1157" t="s">
        <v>100</v>
      </c>
      <c r="D678" s="1157" t="s">
        <v>100</v>
      </c>
      <c r="E678" s="1157" t="s">
        <v>100</v>
      </c>
      <c r="F678" s="1165" t="s">
        <v>100</v>
      </c>
      <c r="G678" s="1165" t="s">
        <v>100</v>
      </c>
    </row>
    <row r="679" spans="1:7" ht="20.100000000000001" customHeight="1">
      <c r="A679" s="1155">
        <v>42181</v>
      </c>
      <c r="B679" s="1156">
        <v>350</v>
      </c>
      <c r="C679" s="1157">
        <v>180</v>
      </c>
      <c r="D679" s="1157">
        <v>143.99999999999997</v>
      </c>
      <c r="E679" s="1157">
        <v>176.66666666666663</v>
      </c>
      <c r="F679" s="1165">
        <v>43.653951166237619</v>
      </c>
      <c r="G679" s="1165">
        <v>6.4506321493076442</v>
      </c>
    </row>
    <row r="680" spans="1:7" ht="20.100000000000001" customHeight="1">
      <c r="A680" s="1155">
        <v>42182</v>
      </c>
      <c r="B680" s="1156">
        <v>359</v>
      </c>
      <c r="C680" s="1157" t="s">
        <v>100</v>
      </c>
      <c r="D680" s="1157" t="s">
        <v>100</v>
      </c>
      <c r="E680" s="1157" t="s">
        <v>100</v>
      </c>
      <c r="F680" s="1165" t="s">
        <v>100</v>
      </c>
      <c r="G680" s="1165" t="s">
        <v>100</v>
      </c>
    </row>
    <row r="681" spans="1:7" ht="20.100000000000001" customHeight="1">
      <c r="A681" s="1155">
        <v>42183</v>
      </c>
      <c r="B681" s="1156">
        <v>355</v>
      </c>
      <c r="C681" s="1157" t="s">
        <v>100</v>
      </c>
      <c r="D681" s="1157" t="s">
        <v>100</v>
      </c>
      <c r="E681" s="1157" t="s">
        <v>100</v>
      </c>
      <c r="F681" s="1165" t="s">
        <v>100</v>
      </c>
      <c r="G681" s="1165" t="s">
        <v>100</v>
      </c>
    </row>
    <row r="682" spans="1:7" ht="20.100000000000001" customHeight="1">
      <c r="A682" s="1155">
        <v>42184</v>
      </c>
      <c r="B682" s="1156">
        <v>361</v>
      </c>
      <c r="C682" s="1157" t="s">
        <v>100</v>
      </c>
      <c r="D682" s="1157" t="s">
        <v>100</v>
      </c>
      <c r="E682" s="1157" t="s">
        <v>100</v>
      </c>
      <c r="F682" s="1165" t="s">
        <v>100</v>
      </c>
      <c r="G682" s="1165" t="s">
        <v>100</v>
      </c>
    </row>
    <row r="683" spans="1:7" ht="20.100000000000001" customHeight="1">
      <c r="A683" s="1155">
        <v>42185</v>
      </c>
      <c r="B683" s="1156">
        <v>353</v>
      </c>
      <c r="C683" s="1157" t="s">
        <v>100</v>
      </c>
      <c r="D683" s="1157" t="s">
        <v>100</v>
      </c>
      <c r="E683" s="1157" t="s">
        <v>100</v>
      </c>
      <c r="F683" s="1165" t="s">
        <v>100</v>
      </c>
      <c r="G683" s="1165" t="s">
        <v>100</v>
      </c>
    </row>
    <row r="684" spans="1:7" ht="20.100000000000001" customHeight="1">
      <c r="A684" s="1155">
        <v>42186</v>
      </c>
      <c r="B684" s="1166">
        <v>355</v>
      </c>
      <c r="C684" s="1167" t="s">
        <v>100</v>
      </c>
      <c r="D684" s="1167" t="s">
        <v>100</v>
      </c>
      <c r="E684" s="1167" t="s">
        <v>100</v>
      </c>
      <c r="F684" s="1168" t="s">
        <v>100</v>
      </c>
      <c r="G684" s="1168" t="s">
        <v>100</v>
      </c>
    </row>
    <row r="685" spans="1:7" ht="20.100000000000001" customHeight="1">
      <c r="A685" s="1155">
        <v>42187</v>
      </c>
      <c r="B685" s="1166">
        <v>358</v>
      </c>
      <c r="C685" s="1169"/>
      <c r="D685" s="1169"/>
      <c r="E685" s="1169"/>
      <c r="F685" s="1168"/>
      <c r="G685" s="1168"/>
    </row>
    <row r="686" spans="1:7" ht="20.100000000000001" customHeight="1">
      <c r="A686" s="1155">
        <v>42188</v>
      </c>
      <c r="B686" s="1170">
        <v>355</v>
      </c>
      <c r="C686" s="1142">
        <v>197.99999999999994</v>
      </c>
      <c r="D686" s="1142">
        <v>164.00000000000003</v>
      </c>
      <c r="E686" s="1142">
        <v>190.00000000000037</v>
      </c>
      <c r="F686" s="1143">
        <v>42.530618612996335</v>
      </c>
      <c r="G686" s="1143">
        <v>6.6944611679711015</v>
      </c>
    </row>
    <row r="687" spans="1:7" ht="20.100000000000001" customHeight="1">
      <c r="A687" s="1155">
        <v>42189</v>
      </c>
      <c r="B687" s="1166">
        <v>353</v>
      </c>
      <c r="C687" s="1169"/>
      <c r="D687" s="1169"/>
      <c r="E687" s="1169"/>
      <c r="F687" s="1168"/>
      <c r="G687" s="1168"/>
    </row>
    <row r="688" spans="1:7" ht="20.100000000000001" customHeight="1">
      <c r="A688" s="1155">
        <v>42190</v>
      </c>
      <c r="B688" s="1166">
        <v>359</v>
      </c>
      <c r="C688" s="1169"/>
      <c r="D688" s="1169"/>
      <c r="E688" s="1169"/>
      <c r="F688" s="1168"/>
      <c r="G688" s="1168"/>
    </row>
    <row r="689" spans="1:7" ht="20.100000000000001" customHeight="1">
      <c r="A689" s="1155">
        <v>42191</v>
      </c>
      <c r="B689" s="1166">
        <v>354</v>
      </c>
      <c r="C689" s="1169"/>
      <c r="D689" s="1169"/>
      <c r="E689" s="1169"/>
      <c r="F689" s="1168"/>
      <c r="G689" s="1168"/>
    </row>
    <row r="690" spans="1:7" ht="20.100000000000001" customHeight="1">
      <c r="A690" s="1155">
        <v>42192</v>
      </c>
      <c r="B690" s="1166">
        <v>356</v>
      </c>
      <c r="C690" s="1169"/>
      <c r="D690" s="1169"/>
      <c r="E690" s="1169"/>
      <c r="F690" s="1168"/>
      <c r="G690" s="1168"/>
    </row>
    <row r="691" spans="1:7" ht="20.100000000000001" customHeight="1">
      <c r="A691" s="1155">
        <v>42193</v>
      </c>
      <c r="B691" s="1166">
        <v>351</v>
      </c>
      <c r="C691" s="1169"/>
      <c r="D691" s="1169"/>
      <c r="E691" s="1169"/>
      <c r="F691" s="1168"/>
      <c r="G691" s="1168"/>
    </row>
    <row r="692" spans="1:7" ht="20.100000000000001" customHeight="1">
      <c r="A692" s="1155">
        <v>42194</v>
      </c>
      <c r="B692" s="1166">
        <v>347</v>
      </c>
      <c r="C692" s="1169"/>
      <c r="D692" s="1169"/>
      <c r="E692" s="1169"/>
      <c r="F692" s="1168"/>
      <c r="G692" s="1168"/>
    </row>
    <row r="693" spans="1:7" ht="20.100000000000001" customHeight="1">
      <c r="A693" s="1155">
        <v>42195</v>
      </c>
      <c r="B693" s="1170">
        <v>362</v>
      </c>
      <c r="C693" s="1142">
        <v>173.99999999999997</v>
      </c>
      <c r="D693" s="1142">
        <v>148</v>
      </c>
      <c r="E693" s="1142">
        <v>173.33333333333368</v>
      </c>
      <c r="F693" s="1143">
        <v>40.564786644824089</v>
      </c>
      <c r="G693" s="1143">
        <v>5.7146297411198068</v>
      </c>
    </row>
    <row r="694" spans="1:7" ht="20.100000000000001" customHeight="1">
      <c r="A694" s="1155">
        <v>42196</v>
      </c>
      <c r="B694" s="1166">
        <v>358</v>
      </c>
      <c r="C694" s="1169"/>
      <c r="D694" s="1169"/>
      <c r="E694" s="1169"/>
      <c r="F694" s="1168"/>
      <c r="G694" s="1168"/>
    </row>
    <row r="695" spans="1:7" ht="20.100000000000001" customHeight="1">
      <c r="A695" s="1155">
        <v>42197</v>
      </c>
      <c r="B695" s="1166">
        <v>358</v>
      </c>
      <c r="C695" s="1169"/>
      <c r="D695" s="1169"/>
      <c r="E695" s="1169"/>
      <c r="F695" s="1168"/>
      <c r="G695" s="1168"/>
    </row>
    <row r="696" spans="1:7" ht="20.100000000000001" customHeight="1">
      <c r="A696" s="1155">
        <v>42198</v>
      </c>
      <c r="B696" s="1166">
        <v>370</v>
      </c>
      <c r="C696" s="1169"/>
      <c r="D696" s="1169"/>
      <c r="E696" s="1169"/>
      <c r="F696" s="1168"/>
      <c r="G696" s="1168"/>
    </row>
    <row r="697" spans="1:7" ht="20.100000000000001" customHeight="1">
      <c r="A697" s="1155">
        <v>42199</v>
      </c>
      <c r="B697" s="1166">
        <v>380</v>
      </c>
      <c r="C697" s="1169"/>
      <c r="D697" s="1169"/>
      <c r="E697" s="1169"/>
      <c r="F697" s="1168"/>
      <c r="G697" s="1168"/>
    </row>
    <row r="698" spans="1:7" ht="20.100000000000001" customHeight="1">
      <c r="A698" s="1155">
        <v>42200</v>
      </c>
      <c r="B698" s="1166">
        <v>380</v>
      </c>
      <c r="C698" s="1169"/>
      <c r="D698" s="1169"/>
      <c r="E698" s="1169"/>
      <c r="F698" s="1168"/>
      <c r="G698" s="1168"/>
    </row>
    <row r="699" spans="1:7" ht="20.100000000000001" customHeight="1">
      <c r="A699" s="1155">
        <v>42201</v>
      </c>
      <c r="B699" s="1166">
        <v>390</v>
      </c>
      <c r="C699" s="1169"/>
      <c r="D699" s="1169"/>
      <c r="E699" s="1169"/>
      <c r="F699" s="1168"/>
      <c r="G699" s="1168"/>
    </row>
    <row r="700" spans="1:7" ht="20.100000000000001" customHeight="1">
      <c r="A700" s="1155">
        <v>42202</v>
      </c>
      <c r="B700" s="1170">
        <v>385</v>
      </c>
      <c r="C700" s="1142">
        <v>155.99999999999997</v>
      </c>
      <c r="D700" s="1142">
        <v>156</v>
      </c>
      <c r="E700" s="1142">
        <v>183.33333333333351</v>
      </c>
      <c r="F700" s="1143">
        <v>41.625711833996412</v>
      </c>
      <c r="G700" s="1143">
        <v>6.1300421432871763</v>
      </c>
    </row>
    <row r="701" spans="1:7" ht="20.100000000000001" customHeight="1">
      <c r="A701" s="1155">
        <v>42203</v>
      </c>
      <c r="B701" s="1166">
        <v>396</v>
      </c>
      <c r="C701" s="1169"/>
      <c r="D701" s="1169"/>
      <c r="E701" s="1169"/>
      <c r="F701" s="1168"/>
      <c r="G701" s="1168"/>
    </row>
    <row r="702" spans="1:7" ht="20.100000000000001" customHeight="1">
      <c r="A702" s="1155">
        <v>42204</v>
      </c>
      <c r="B702" s="1166">
        <v>397</v>
      </c>
      <c r="C702" s="1169"/>
      <c r="D702" s="1169"/>
      <c r="E702" s="1169"/>
      <c r="F702" s="1168"/>
      <c r="G702" s="1168"/>
    </row>
    <row r="703" spans="1:7" ht="20.100000000000001" customHeight="1">
      <c r="A703" s="1155">
        <v>42205</v>
      </c>
      <c r="B703" s="1166">
        <v>409</v>
      </c>
      <c r="C703" s="1169"/>
      <c r="D703" s="1169"/>
      <c r="E703" s="1169"/>
      <c r="F703" s="1168"/>
      <c r="G703" s="1168"/>
    </row>
    <row r="704" spans="1:7" ht="20.100000000000001" customHeight="1">
      <c r="A704" s="1155">
        <v>42206</v>
      </c>
      <c r="B704" s="1166">
        <v>413</v>
      </c>
      <c r="C704" s="1169"/>
      <c r="D704" s="1169"/>
      <c r="E704" s="1169"/>
      <c r="F704" s="1168"/>
      <c r="G704" s="1168"/>
    </row>
    <row r="705" spans="1:7" ht="20.100000000000001" customHeight="1">
      <c r="A705" s="1155">
        <v>42207</v>
      </c>
      <c r="B705" s="1166">
        <v>369</v>
      </c>
      <c r="C705" s="1169"/>
      <c r="D705" s="1169"/>
      <c r="E705" s="1169"/>
      <c r="F705" s="1168"/>
      <c r="G705" s="1168"/>
    </row>
    <row r="706" spans="1:7" ht="20.100000000000001" customHeight="1">
      <c r="A706" s="1155">
        <v>42208</v>
      </c>
      <c r="B706" s="1166">
        <v>353</v>
      </c>
      <c r="C706" s="1169"/>
      <c r="D706" s="1169"/>
      <c r="E706" s="1169"/>
      <c r="F706" s="1168"/>
      <c r="G706" s="1168"/>
    </row>
    <row r="707" spans="1:7" ht="20.100000000000001" customHeight="1">
      <c r="A707" s="1155">
        <v>42209</v>
      </c>
      <c r="B707" s="1170">
        <v>352</v>
      </c>
      <c r="C707" s="1142">
        <v>138.00000000000006</v>
      </c>
      <c r="D707" s="1142">
        <v>128</v>
      </c>
      <c r="E707" s="1142">
        <v>136.66666666666688</v>
      </c>
      <c r="F707" s="1143">
        <v>40.533582962789602</v>
      </c>
      <c r="G707" s="1143">
        <v>6.3287176399759169</v>
      </c>
    </row>
    <row r="708" spans="1:7" ht="20.100000000000001" customHeight="1">
      <c r="A708" s="1155">
        <v>42210</v>
      </c>
      <c r="B708" s="1166">
        <v>368</v>
      </c>
      <c r="C708" s="1169"/>
      <c r="D708" s="1169"/>
      <c r="E708" s="1169"/>
      <c r="F708" s="1168"/>
      <c r="G708" s="1168"/>
    </row>
    <row r="709" spans="1:7" ht="20.100000000000001" customHeight="1">
      <c r="A709" s="1155">
        <v>42211</v>
      </c>
      <c r="B709" s="1166">
        <v>348</v>
      </c>
      <c r="C709" s="1169"/>
      <c r="D709" s="1169"/>
      <c r="E709" s="1169"/>
      <c r="F709" s="1168"/>
      <c r="G709" s="1168"/>
    </row>
    <row r="710" spans="1:7" ht="20.100000000000001" customHeight="1">
      <c r="A710" s="1155">
        <v>42212</v>
      </c>
      <c r="B710" s="1166">
        <v>355</v>
      </c>
      <c r="C710" s="1169"/>
      <c r="D710" s="1169"/>
      <c r="E710" s="1169"/>
      <c r="F710" s="1168"/>
      <c r="G710" s="1168"/>
    </row>
    <row r="711" spans="1:7" ht="20.100000000000001" customHeight="1">
      <c r="A711" s="1155">
        <v>42213</v>
      </c>
      <c r="B711" s="1166">
        <v>344</v>
      </c>
      <c r="C711" s="1169"/>
      <c r="D711" s="1169"/>
      <c r="E711" s="1169"/>
      <c r="F711" s="1168"/>
      <c r="G711" s="1168"/>
    </row>
    <row r="712" spans="1:7" ht="20.100000000000001" customHeight="1">
      <c r="A712" s="1155">
        <v>42214</v>
      </c>
      <c r="B712" s="1166">
        <v>0</v>
      </c>
      <c r="C712" s="1169"/>
      <c r="D712" s="1169"/>
      <c r="E712" s="1169"/>
      <c r="F712" s="1168"/>
      <c r="G712" s="1168"/>
    </row>
    <row r="713" spans="1:7" ht="20.100000000000001" customHeight="1">
      <c r="A713" s="1155">
        <v>42215</v>
      </c>
      <c r="B713" s="1166">
        <v>230</v>
      </c>
      <c r="C713" s="1169"/>
      <c r="D713" s="1169"/>
      <c r="E713" s="1169"/>
      <c r="F713" s="1168"/>
      <c r="G713" s="1168"/>
    </row>
    <row r="714" spans="1:7" ht="20.100000000000001" customHeight="1">
      <c r="A714" s="1155">
        <v>42216</v>
      </c>
      <c r="B714" s="1170">
        <v>392</v>
      </c>
      <c r="C714" s="1142">
        <v>131.99999999999994</v>
      </c>
      <c r="D714" s="1142">
        <v>123.99999999999999</v>
      </c>
      <c r="E714" s="1142">
        <v>133.33333333333346</v>
      </c>
      <c r="F714" s="1143">
        <v>36.040252749824482</v>
      </c>
      <c r="G714" s="1143">
        <v>6.1074653822998188</v>
      </c>
    </row>
    <row r="715" spans="1:7" ht="20.100000000000001" customHeight="1">
      <c r="A715" s="1155">
        <v>42217</v>
      </c>
      <c r="B715" s="1166">
        <v>402</v>
      </c>
      <c r="C715" s="1169"/>
      <c r="D715" s="1169"/>
      <c r="E715" s="1169"/>
      <c r="F715" s="1168"/>
      <c r="G715" s="1168"/>
    </row>
    <row r="716" spans="1:7" ht="20.100000000000001" customHeight="1">
      <c r="A716" s="1155">
        <v>42218</v>
      </c>
      <c r="B716" s="1166">
        <v>383</v>
      </c>
      <c r="C716" s="1169"/>
      <c r="D716" s="1169"/>
      <c r="E716" s="1169"/>
      <c r="F716" s="1168"/>
      <c r="G716" s="1168"/>
    </row>
    <row r="717" spans="1:7" ht="20.100000000000001" customHeight="1">
      <c r="A717" s="1155">
        <v>42219</v>
      </c>
      <c r="B717" s="1166">
        <v>353</v>
      </c>
      <c r="C717" s="1169"/>
      <c r="D717" s="1169"/>
      <c r="E717" s="1169"/>
      <c r="F717" s="1168"/>
      <c r="G717" s="1168"/>
    </row>
    <row r="718" spans="1:7" ht="20.100000000000001" customHeight="1">
      <c r="A718" s="1155">
        <v>42220</v>
      </c>
      <c r="B718" s="1166">
        <v>342</v>
      </c>
      <c r="C718" s="1169"/>
      <c r="D718" s="1169"/>
      <c r="E718" s="1169"/>
      <c r="F718" s="1168"/>
      <c r="G718" s="1168"/>
    </row>
    <row r="719" spans="1:7" ht="20.100000000000001" customHeight="1">
      <c r="A719" s="1155">
        <v>42221</v>
      </c>
      <c r="B719" s="1166">
        <v>329</v>
      </c>
      <c r="C719" s="1169"/>
      <c r="D719" s="1169"/>
      <c r="E719" s="1169"/>
      <c r="F719" s="1168"/>
      <c r="G719" s="1168"/>
    </row>
    <row r="720" spans="1:7" ht="20.100000000000001" customHeight="1">
      <c r="A720" s="1155">
        <v>42222</v>
      </c>
      <c r="B720" s="1166">
        <v>318</v>
      </c>
      <c r="C720" s="1169"/>
      <c r="D720" s="1169"/>
      <c r="E720" s="1169"/>
      <c r="F720" s="1168"/>
      <c r="G720" s="1168"/>
    </row>
    <row r="721" spans="1:7" ht="20.100000000000001" customHeight="1">
      <c r="A721" s="1155">
        <v>42223</v>
      </c>
      <c r="B721" s="1170">
        <v>360</v>
      </c>
      <c r="C721" s="1142">
        <v>125.99999999999997</v>
      </c>
      <c r="D721" s="1142">
        <v>116.00000000000003</v>
      </c>
      <c r="E721" s="1142">
        <v>126.6666666666666</v>
      </c>
      <c r="F721" s="1143">
        <v>35.447382791169353</v>
      </c>
      <c r="G721" s="1143">
        <v>5.9449127031908491</v>
      </c>
    </row>
    <row r="722" spans="1:7" ht="20.100000000000001" customHeight="1">
      <c r="A722" s="1155">
        <v>42224</v>
      </c>
      <c r="B722" s="1166">
        <v>358</v>
      </c>
      <c r="C722" s="1169" t="s">
        <v>100</v>
      </c>
      <c r="D722" s="1169" t="s">
        <v>100</v>
      </c>
      <c r="E722" s="1169" t="s">
        <v>100</v>
      </c>
      <c r="F722" s="1168" t="s">
        <v>100</v>
      </c>
      <c r="G722" s="1168" t="s">
        <v>100</v>
      </c>
    </row>
    <row r="723" spans="1:7" ht="20.100000000000001" customHeight="1">
      <c r="A723" s="1155">
        <v>42225</v>
      </c>
      <c r="B723" s="1166">
        <v>370</v>
      </c>
      <c r="C723" s="1169" t="s">
        <v>100</v>
      </c>
      <c r="D723" s="1169" t="s">
        <v>100</v>
      </c>
      <c r="E723" s="1169" t="s">
        <v>100</v>
      </c>
      <c r="F723" s="1168" t="s">
        <v>100</v>
      </c>
      <c r="G723" s="1168" t="s">
        <v>100</v>
      </c>
    </row>
    <row r="724" spans="1:7" ht="20.100000000000001" customHeight="1">
      <c r="A724" s="1155">
        <v>42226</v>
      </c>
      <c r="B724" s="1166">
        <v>363</v>
      </c>
      <c r="C724" s="1169" t="s">
        <v>100</v>
      </c>
      <c r="D724" s="1169" t="s">
        <v>100</v>
      </c>
      <c r="E724" s="1169" t="s">
        <v>100</v>
      </c>
      <c r="F724" s="1168" t="s">
        <v>100</v>
      </c>
      <c r="G724" s="1168" t="s">
        <v>100</v>
      </c>
    </row>
    <row r="725" spans="1:7" ht="20.100000000000001" customHeight="1">
      <c r="A725" s="1155">
        <v>42227</v>
      </c>
      <c r="B725" s="1166">
        <v>363</v>
      </c>
      <c r="C725" s="1169" t="s">
        <v>100</v>
      </c>
      <c r="D725" s="1169" t="s">
        <v>100</v>
      </c>
      <c r="E725" s="1169" t="s">
        <v>100</v>
      </c>
      <c r="F725" s="1168" t="s">
        <v>100</v>
      </c>
      <c r="G725" s="1168" t="s">
        <v>100</v>
      </c>
    </row>
    <row r="726" spans="1:7" ht="20.100000000000001" customHeight="1">
      <c r="A726" s="1155">
        <v>42228</v>
      </c>
      <c r="B726" s="1166">
        <v>368</v>
      </c>
      <c r="C726" s="1169" t="s">
        <v>100</v>
      </c>
      <c r="D726" s="1169" t="s">
        <v>100</v>
      </c>
      <c r="E726" s="1169" t="s">
        <v>100</v>
      </c>
      <c r="F726" s="1168" t="s">
        <v>100</v>
      </c>
      <c r="G726" s="1168" t="s">
        <v>100</v>
      </c>
    </row>
    <row r="727" spans="1:7" ht="20.100000000000001" customHeight="1">
      <c r="A727" s="1155">
        <v>42229</v>
      </c>
      <c r="B727" s="1166">
        <v>377</v>
      </c>
      <c r="C727" s="1169" t="s">
        <v>100</v>
      </c>
      <c r="D727" s="1169" t="s">
        <v>100</v>
      </c>
      <c r="E727" s="1169" t="s">
        <v>100</v>
      </c>
      <c r="F727" s="1168" t="s">
        <v>100</v>
      </c>
      <c r="G727" s="1168" t="s">
        <v>100</v>
      </c>
    </row>
    <row r="728" spans="1:7" ht="20.100000000000001" customHeight="1">
      <c r="A728" s="1155">
        <v>42230</v>
      </c>
      <c r="B728" s="1170">
        <v>375</v>
      </c>
      <c r="C728" s="1142">
        <v>120</v>
      </c>
      <c r="D728" s="1142">
        <v>108</v>
      </c>
      <c r="E728" s="1142">
        <v>120.0000000000002</v>
      </c>
      <c r="F728" s="1143">
        <v>34.386457601997037</v>
      </c>
      <c r="G728" s="1143">
        <v>5.3263094521372656</v>
      </c>
    </row>
    <row r="729" spans="1:7" ht="20.100000000000001" customHeight="1">
      <c r="A729" s="1155">
        <v>42231</v>
      </c>
      <c r="B729" s="1166">
        <v>361</v>
      </c>
      <c r="C729" s="1169" t="s">
        <v>100</v>
      </c>
      <c r="D729" s="1169" t="s">
        <v>100</v>
      </c>
      <c r="E729" s="1169" t="s">
        <v>100</v>
      </c>
      <c r="F729" s="1168" t="s">
        <v>100</v>
      </c>
      <c r="G729" s="1168" t="s">
        <v>100</v>
      </c>
    </row>
    <row r="730" spans="1:7" ht="20.100000000000001" customHeight="1">
      <c r="A730" s="1155">
        <v>42232</v>
      </c>
      <c r="B730" s="1166">
        <v>366</v>
      </c>
      <c r="C730" s="1169" t="s">
        <v>100</v>
      </c>
      <c r="D730" s="1169" t="s">
        <v>100</v>
      </c>
      <c r="E730" s="1169" t="s">
        <v>100</v>
      </c>
      <c r="F730" s="1168" t="s">
        <v>100</v>
      </c>
      <c r="G730" s="1168" t="s">
        <v>100</v>
      </c>
    </row>
    <row r="731" spans="1:7" ht="20.100000000000001" customHeight="1">
      <c r="A731" s="1155">
        <v>42233</v>
      </c>
      <c r="B731" s="1166">
        <v>367</v>
      </c>
      <c r="C731" s="1169" t="s">
        <v>100</v>
      </c>
      <c r="D731" s="1169" t="s">
        <v>100</v>
      </c>
      <c r="E731" s="1169" t="s">
        <v>100</v>
      </c>
      <c r="F731" s="1168" t="s">
        <v>100</v>
      </c>
      <c r="G731" s="1168" t="s">
        <v>100</v>
      </c>
    </row>
    <row r="732" spans="1:7" ht="20.100000000000001" customHeight="1">
      <c r="A732" s="1155">
        <v>42234</v>
      </c>
      <c r="B732" s="1166">
        <v>357</v>
      </c>
      <c r="C732" s="1169" t="s">
        <v>100</v>
      </c>
      <c r="D732" s="1169" t="s">
        <v>100</v>
      </c>
      <c r="E732" s="1169" t="s">
        <v>100</v>
      </c>
      <c r="F732" s="1168" t="s">
        <v>100</v>
      </c>
      <c r="G732" s="1168" t="s">
        <v>100</v>
      </c>
    </row>
    <row r="733" spans="1:7" ht="20.100000000000001" customHeight="1">
      <c r="A733" s="1155">
        <v>42235</v>
      </c>
      <c r="B733" s="1166">
        <v>345</v>
      </c>
      <c r="C733" s="1169" t="s">
        <v>100</v>
      </c>
      <c r="D733" s="1169" t="s">
        <v>100</v>
      </c>
      <c r="E733" s="1169" t="s">
        <v>100</v>
      </c>
      <c r="F733" s="1168" t="s">
        <v>100</v>
      </c>
      <c r="G733" s="1168" t="s">
        <v>100</v>
      </c>
    </row>
    <row r="734" spans="1:7" ht="20.100000000000001" customHeight="1">
      <c r="A734" s="1155">
        <v>42236</v>
      </c>
      <c r="B734" s="1166">
        <v>352</v>
      </c>
      <c r="C734" s="1169" t="s">
        <v>100</v>
      </c>
      <c r="D734" s="1169" t="s">
        <v>100</v>
      </c>
      <c r="E734" s="1169" t="s">
        <v>100</v>
      </c>
      <c r="F734" s="1168" t="s">
        <v>100</v>
      </c>
      <c r="G734" s="1168" t="s">
        <v>100</v>
      </c>
    </row>
    <row r="735" spans="1:7" ht="20.100000000000001" customHeight="1">
      <c r="A735" s="1155">
        <v>42237</v>
      </c>
      <c r="B735" s="1170">
        <v>454</v>
      </c>
      <c r="C735" s="1142">
        <v>113.99999999999997</v>
      </c>
      <c r="D735" s="1142">
        <v>112</v>
      </c>
      <c r="E735" s="1142">
        <v>126.6666666666666</v>
      </c>
      <c r="F735" s="1143">
        <v>31.95257040330759</v>
      </c>
      <c r="G735" s="1143">
        <v>5.1592414208308233</v>
      </c>
    </row>
    <row r="736" spans="1:7" ht="20.100000000000001" customHeight="1">
      <c r="A736" s="1155">
        <v>42238</v>
      </c>
      <c r="B736" s="1166">
        <v>355</v>
      </c>
      <c r="C736" s="1169" t="s">
        <v>100</v>
      </c>
      <c r="D736" s="1169" t="s">
        <v>100</v>
      </c>
      <c r="E736" s="1169" t="s">
        <v>100</v>
      </c>
      <c r="F736" s="1168" t="s">
        <v>100</v>
      </c>
      <c r="G736" s="1168" t="s">
        <v>100</v>
      </c>
    </row>
    <row r="737" spans="1:7" ht="20.100000000000001" customHeight="1">
      <c r="A737" s="1155">
        <v>42239</v>
      </c>
      <c r="B737" s="1166">
        <v>358</v>
      </c>
      <c r="C737" s="1169" t="s">
        <v>100</v>
      </c>
      <c r="D737" s="1169" t="s">
        <v>100</v>
      </c>
      <c r="E737" s="1169" t="s">
        <v>100</v>
      </c>
      <c r="F737" s="1168" t="s">
        <v>100</v>
      </c>
      <c r="G737" s="1168" t="s">
        <v>100</v>
      </c>
    </row>
    <row r="738" spans="1:7" ht="20.100000000000001" customHeight="1">
      <c r="A738" s="1155">
        <v>42240</v>
      </c>
      <c r="B738" s="1166">
        <v>360</v>
      </c>
      <c r="C738" s="1169" t="s">
        <v>100</v>
      </c>
      <c r="D738" s="1169" t="s">
        <v>100</v>
      </c>
      <c r="E738" s="1169" t="s">
        <v>100</v>
      </c>
      <c r="F738" s="1168" t="s">
        <v>100</v>
      </c>
      <c r="G738" s="1168" t="s">
        <v>100</v>
      </c>
    </row>
    <row r="739" spans="1:7" ht="20.100000000000001" customHeight="1">
      <c r="A739" s="1155">
        <v>42241</v>
      </c>
      <c r="B739" s="1166">
        <v>358</v>
      </c>
      <c r="C739" s="1169" t="s">
        <v>100</v>
      </c>
      <c r="D739" s="1169" t="s">
        <v>100</v>
      </c>
      <c r="E739" s="1169" t="s">
        <v>100</v>
      </c>
      <c r="F739" s="1168" t="s">
        <v>100</v>
      </c>
      <c r="G739" s="1168" t="s">
        <v>100</v>
      </c>
    </row>
    <row r="740" spans="1:7" ht="20.100000000000001" customHeight="1">
      <c r="A740" s="1155">
        <v>42242</v>
      </c>
      <c r="B740" s="1166">
        <v>367</v>
      </c>
      <c r="C740" s="1169" t="s">
        <v>100</v>
      </c>
      <c r="D740" s="1169" t="s">
        <v>100</v>
      </c>
      <c r="E740" s="1169" t="s">
        <v>100</v>
      </c>
      <c r="F740" s="1168" t="s">
        <v>100</v>
      </c>
      <c r="G740" s="1168" t="s">
        <v>100</v>
      </c>
    </row>
    <row r="741" spans="1:7" ht="20.100000000000001" customHeight="1">
      <c r="A741" s="1155">
        <v>42243</v>
      </c>
      <c r="B741" s="1166">
        <v>350</v>
      </c>
      <c r="C741" s="1169" t="s">
        <v>100</v>
      </c>
      <c r="D741" s="1169" t="s">
        <v>100</v>
      </c>
      <c r="E741" s="1169" t="s">
        <v>100</v>
      </c>
      <c r="F741" s="1168" t="s">
        <v>100</v>
      </c>
      <c r="G741" s="1168" t="s">
        <v>100</v>
      </c>
    </row>
    <row r="742" spans="1:7" ht="20.100000000000001" customHeight="1">
      <c r="A742" s="1155">
        <v>42244</v>
      </c>
      <c r="B742" s="1170">
        <v>258</v>
      </c>
      <c r="C742" s="1142">
        <v>108.00000000000004</v>
      </c>
      <c r="D742" s="1142">
        <v>108</v>
      </c>
      <c r="E742" s="1142">
        <v>116.66666666666679</v>
      </c>
      <c r="F742" s="1143">
        <v>29.362664794445742</v>
      </c>
      <c r="G742" s="1143">
        <v>4.9199277543648394</v>
      </c>
    </row>
    <row r="743" spans="1:7" ht="20.100000000000001" customHeight="1">
      <c r="A743" s="1155">
        <v>42245</v>
      </c>
      <c r="B743" s="1166">
        <v>369</v>
      </c>
      <c r="C743" s="1169" t="s">
        <v>100</v>
      </c>
      <c r="D743" s="1169" t="s">
        <v>100</v>
      </c>
      <c r="E743" s="1169" t="s">
        <v>100</v>
      </c>
      <c r="F743" s="1168" t="s">
        <v>100</v>
      </c>
      <c r="G743" s="1168" t="s">
        <v>100</v>
      </c>
    </row>
    <row r="744" spans="1:7" ht="20.100000000000001" customHeight="1">
      <c r="A744" s="1155">
        <v>42246</v>
      </c>
      <c r="B744" s="1166">
        <v>349</v>
      </c>
      <c r="C744" s="1169" t="s">
        <v>100</v>
      </c>
      <c r="D744" s="1169" t="s">
        <v>100</v>
      </c>
      <c r="E744" s="1169" t="s">
        <v>100</v>
      </c>
      <c r="F744" s="1168" t="s">
        <v>100</v>
      </c>
      <c r="G744" s="1168" t="s">
        <v>100</v>
      </c>
    </row>
    <row r="745" spans="1:7" ht="20.100000000000001" customHeight="1">
      <c r="A745" s="1155">
        <v>42247</v>
      </c>
      <c r="B745" s="1166">
        <v>361</v>
      </c>
      <c r="C745" s="1169" t="s">
        <v>100</v>
      </c>
      <c r="D745" s="1169" t="s">
        <v>100</v>
      </c>
      <c r="E745" s="1169" t="s">
        <v>100</v>
      </c>
      <c r="F745" s="1168" t="s">
        <v>100</v>
      </c>
      <c r="G745" s="1168" t="s">
        <v>100</v>
      </c>
    </row>
    <row r="746" spans="1:7" ht="20.100000000000001" customHeight="1">
      <c r="A746" s="1155">
        <v>42248</v>
      </c>
      <c r="B746" s="1166">
        <v>360</v>
      </c>
      <c r="C746" s="1169" t="s">
        <v>100</v>
      </c>
      <c r="D746" s="1169" t="s">
        <v>100</v>
      </c>
      <c r="E746" s="1169" t="s">
        <v>100</v>
      </c>
      <c r="F746" s="1168" t="s">
        <v>100</v>
      </c>
      <c r="G746" s="1168" t="s">
        <v>100</v>
      </c>
    </row>
    <row r="747" spans="1:7" ht="20.100000000000001" customHeight="1">
      <c r="A747" s="1155">
        <v>42249</v>
      </c>
      <c r="B747" s="1166">
        <v>270</v>
      </c>
      <c r="C747" s="1169" t="s">
        <v>100</v>
      </c>
      <c r="D747" s="1169" t="s">
        <v>100</v>
      </c>
      <c r="E747" s="1169" t="s">
        <v>100</v>
      </c>
      <c r="F747" s="1168" t="s">
        <v>100</v>
      </c>
      <c r="G747" s="1168" t="s">
        <v>100</v>
      </c>
    </row>
    <row r="748" spans="1:7" ht="20.100000000000001" customHeight="1">
      <c r="A748" s="1155">
        <v>42250</v>
      </c>
      <c r="B748" s="1166">
        <v>351</v>
      </c>
      <c r="C748" s="1169" t="s">
        <v>100</v>
      </c>
      <c r="D748" s="1169" t="s">
        <v>100</v>
      </c>
      <c r="E748" s="1169" t="s">
        <v>100</v>
      </c>
      <c r="F748" s="1168" t="s">
        <v>100</v>
      </c>
      <c r="G748" s="1168" t="s">
        <v>100</v>
      </c>
    </row>
    <row r="749" spans="1:7" ht="20.100000000000001" customHeight="1">
      <c r="A749" s="1155">
        <v>42251</v>
      </c>
      <c r="B749" s="1166">
        <v>368</v>
      </c>
      <c r="C749" s="1169">
        <v>222.00000000000006</v>
      </c>
      <c r="D749" s="1169">
        <v>124</v>
      </c>
      <c r="E749" s="1169">
        <v>196.66666666666677</v>
      </c>
      <c r="F749" s="1168">
        <v>39.503861455651759</v>
      </c>
      <c r="G749" s="1168">
        <v>4.9605659241420827</v>
      </c>
    </row>
    <row r="750" spans="1:7" ht="20.100000000000001" customHeight="1">
      <c r="A750" s="1155">
        <v>42252</v>
      </c>
      <c r="B750" s="1166">
        <v>368</v>
      </c>
      <c r="C750" s="1169" t="s">
        <v>100</v>
      </c>
      <c r="D750" s="1169" t="s">
        <v>100</v>
      </c>
      <c r="E750" s="1169" t="s">
        <v>100</v>
      </c>
      <c r="F750" s="1168" t="s">
        <v>100</v>
      </c>
      <c r="G750" s="1168" t="s">
        <v>100</v>
      </c>
    </row>
    <row r="751" spans="1:7" ht="20.100000000000001" customHeight="1">
      <c r="A751" s="1155">
        <v>42253</v>
      </c>
      <c r="B751" s="1166">
        <v>369</v>
      </c>
      <c r="C751" s="1169" t="s">
        <v>100</v>
      </c>
      <c r="D751" s="1169" t="s">
        <v>100</v>
      </c>
      <c r="E751" s="1169" t="s">
        <v>100</v>
      </c>
      <c r="F751" s="1168" t="s">
        <v>100</v>
      </c>
      <c r="G751" s="1168" t="s">
        <v>100</v>
      </c>
    </row>
    <row r="752" spans="1:7" ht="20.100000000000001" customHeight="1">
      <c r="A752" s="1155">
        <v>42254</v>
      </c>
      <c r="B752" s="1166">
        <v>374</v>
      </c>
      <c r="C752" s="1169" t="s">
        <v>100</v>
      </c>
      <c r="D752" s="1169" t="s">
        <v>100</v>
      </c>
      <c r="E752" s="1169" t="s">
        <v>100</v>
      </c>
      <c r="F752" s="1168" t="s">
        <v>100</v>
      </c>
      <c r="G752" s="1168" t="s">
        <v>100</v>
      </c>
    </row>
    <row r="753" spans="1:7" ht="20.100000000000001" customHeight="1">
      <c r="A753" s="1155">
        <v>42255</v>
      </c>
      <c r="B753" s="1166">
        <v>370</v>
      </c>
      <c r="C753" s="1169" t="s">
        <v>100</v>
      </c>
      <c r="D753" s="1169" t="s">
        <v>100</v>
      </c>
      <c r="E753" s="1169" t="s">
        <v>100</v>
      </c>
      <c r="F753" s="1168" t="s">
        <v>100</v>
      </c>
      <c r="G753" s="1168" t="s">
        <v>100</v>
      </c>
    </row>
    <row r="754" spans="1:7" ht="20.100000000000001" customHeight="1">
      <c r="A754" s="1155">
        <v>42256</v>
      </c>
      <c r="B754" s="1166">
        <v>371</v>
      </c>
      <c r="C754" s="1169" t="s">
        <v>100</v>
      </c>
      <c r="D754" s="1169" t="s">
        <v>100</v>
      </c>
      <c r="E754" s="1169" t="s">
        <v>100</v>
      </c>
      <c r="F754" s="1168" t="s">
        <v>100</v>
      </c>
      <c r="G754" s="1168" t="s">
        <v>100</v>
      </c>
    </row>
    <row r="755" spans="1:7" ht="20.100000000000001" customHeight="1">
      <c r="A755" s="1155">
        <v>42257</v>
      </c>
      <c r="B755" s="1166">
        <v>367</v>
      </c>
      <c r="C755" s="1169" t="s">
        <v>100</v>
      </c>
      <c r="D755" s="1169" t="s">
        <v>100</v>
      </c>
      <c r="E755" s="1169" t="s">
        <v>100</v>
      </c>
      <c r="F755" s="1168" t="s">
        <v>100</v>
      </c>
      <c r="G755" s="1168" t="s">
        <v>100</v>
      </c>
    </row>
    <row r="756" spans="1:7" ht="20.100000000000001" customHeight="1">
      <c r="A756" s="1155">
        <v>42258</v>
      </c>
      <c r="B756" s="1166">
        <v>369</v>
      </c>
      <c r="C756" s="1169">
        <v>215.99999999999997</v>
      </c>
      <c r="D756" s="1169">
        <v>128</v>
      </c>
      <c r="E756" s="1169">
        <v>193.33333333333334</v>
      </c>
      <c r="F756" s="1168">
        <v>41.781730244168806</v>
      </c>
      <c r="G756" s="1168">
        <v>5.0779650812763393</v>
      </c>
    </row>
    <row r="757" spans="1:7" ht="20.100000000000001" customHeight="1">
      <c r="A757" s="1155">
        <v>42259</v>
      </c>
      <c r="B757" s="1166">
        <v>371</v>
      </c>
      <c r="C757" s="1169" t="s">
        <v>100</v>
      </c>
      <c r="D757" s="1169" t="s">
        <v>100</v>
      </c>
      <c r="E757" s="1169" t="s">
        <v>100</v>
      </c>
      <c r="F757" s="1168" t="s">
        <v>100</v>
      </c>
      <c r="G757" s="1168" t="s">
        <v>100</v>
      </c>
    </row>
    <row r="758" spans="1:7" ht="20.100000000000001" customHeight="1">
      <c r="A758" s="1155">
        <v>42260</v>
      </c>
      <c r="B758" s="1166">
        <v>376</v>
      </c>
      <c r="C758" s="1169" t="s">
        <v>100</v>
      </c>
      <c r="D758" s="1169" t="s">
        <v>100</v>
      </c>
      <c r="E758" s="1169" t="s">
        <v>100</v>
      </c>
      <c r="F758" s="1168" t="s">
        <v>100</v>
      </c>
      <c r="G758" s="1168" t="s">
        <v>100</v>
      </c>
    </row>
    <row r="759" spans="1:7" ht="20.100000000000001" customHeight="1">
      <c r="A759" s="1155">
        <v>42261</v>
      </c>
      <c r="B759" s="1166">
        <v>373</v>
      </c>
      <c r="C759" s="1169" t="s">
        <v>100</v>
      </c>
      <c r="D759" s="1169" t="s">
        <v>100</v>
      </c>
      <c r="E759" s="1169" t="s">
        <v>100</v>
      </c>
      <c r="F759" s="1168" t="s">
        <v>100</v>
      </c>
      <c r="G759" s="1168" t="s">
        <v>100</v>
      </c>
    </row>
    <row r="760" spans="1:7" ht="20.100000000000001" customHeight="1">
      <c r="A760" s="1155">
        <v>42262</v>
      </c>
      <c r="B760" s="1166">
        <v>366</v>
      </c>
      <c r="C760" s="1169" t="s">
        <v>100</v>
      </c>
      <c r="D760" s="1169" t="s">
        <v>100</v>
      </c>
      <c r="E760" s="1169" t="s">
        <v>100</v>
      </c>
      <c r="F760" s="1168" t="s">
        <v>100</v>
      </c>
      <c r="G760" s="1168" t="s">
        <v>100</v>
      </c>
    </row>
    <row r="761" spans="1:7" ht="20.100000000000001" customHeight="1">
      <c r="A761" s="1155">
        <v>42263</v>
      </c>
      <c r="B761" s="1166">
        <v>361</v>
      </c>
      <c r="C761" s="1169" t="s">
        <v>100</v>
      </c>
      <c r="D761" s="1169" t="s">
        <v>100</v>
      </c>
      <c r="E761" s="1169" t="s">
        <v>100</v>
      </c>
      <c r="F761" s="1168" t="s">
        <v>100</v>
      </c>
      <c r="G761" s="1168" t="s">
        <v>100</v>
      </c>
    </row>
    <row r="762" spans="1:7" ht="20.100000000000001" customHeight="1">
      <c r="A762" s="1155">
        <v>42264</v>
      </c>
      <c r="B762" s="1166">
        <v>361</v>
      </c>
      <c r="C762" s="1169" t="s">
        <v>100</v>
      </c>
      <c r="D762" s="1169" t="s">
        <v>100</v>
      </c>
      <c r="E762" s="1169" t="s">
        <v>100</v>
      </c>
      <c r="F762" s="1168" t="s">
        <v>100</v>
      </c>
      <c r="G762" s="1168" t="s">
        <v>100</v>
      </c>
    </row>
    <row r="763" spans="1:7" ht="20.100000000000001" customHeight="1">
      <c r="A763" s="1155">
        <v>42265</v>
      </c>
      <c r="B763" s="1166">
        <v>361</v>
      </c>
      <c r="C763" s="1169">
        <v>203.99999999999997</v>
      </c>
      <c r="D763" s="1169">
        <v>136.00000000000003</v>
      </c>
      <c r="E763" s="1169">
        <v>189.99999999999989</v>
      </c>
      <c r="F763" s="1168">
        <v>38.286917856307042</v>
      </c>
      <c r="G763" s="1168">
        <v>5.9223359422034907</v>
      </c>
    </row>
    <row r="764" spans="1:7" ht="20.100000000000001" customHeight="1">
      <c r="A764" s="1155">
        <v>42266</v>
      </c>
      <c r="B764" s="1166">
        <v>359</v>
      </c>
      <c r="C764" s="1169" t="s">
        <v>100</v>
      </c>
      <c r="D764" s="1169" t="s">
        <v>100</v>
      </c>
      <c r="E764" s="1169" t="s">
        <v>100</v>
      </c>
      <c r="F764" s="1168" t="s">
        <v>100</v>
      </c>
      <c r="G764" s="1168" t="s">
        <v>100</v>
      </c>
    </row>
    <row r="765" spans="1:7" ht="20.100000000000001" customHeight="1">
      <c r="A765" s="1155">
        <v>42267</v>
      </c>
      <c r="B765" s="1166">
        <v>360</v>
      </c>
      <c r="C765" s="1169" t="s">
        <v>100</v>
      </c>
      <c r="D765" s="1169" t="s">
        <v>100</v>
      </c>
      <c r="E765" s="1169" t="s">
        <v>100</v>
      </c>
      <c r="F765" s="1168" t="s">
        <v>100</v>
      </c>
      <c r="G765" s="1168" t="s">
        <v>100</v>
      </c>
    </row>
    <row r="766" spans="1:7" ht="20.100000000000001" customHeight="1">
      <c r="A766" s="1155">
        <v>42268</v>
      </c>
      <c r="B766" s="1166">
        <v>360</v>
      </c>
      <c r="C766" s="1169" t="s">
        <v>100</v>
      </c>
      <c r="D766" s="1169" t="s">
        <v>100</v>
      </c>
      <c r="E766" s="1169" t="s">
        <v>100</v>
      </c>
      <c r="F766" s="1168" t="s">
        <v>100</v>
      </c>
      <c r="G766" s="1168" t="s">
        <v>100</v>
      </c>
    </row>
    <row r="767" spans="1:7" ht="20.100000000000001" customHeight="1">
      <c r="A767" s="1155">
        <v>42269</v>
      </c>
      <c r="B767" s="1166">
        <v>358</v>
      </c>
      <c r="C767" s="1169" t="s">
        <v>100</v>
      </c>
      <c r="D767" s="1169" t="s">
        <v>100</v>
      </c>
      <c r="E767" s="1169" t="s">
        <v>100</v>
      </c>
      <c r="F767" s="1168" t="s">
        <v>100</v>
      </c>
      <c r="G767" s="1168" t="s">
        <v>100</v>
      </c>
    </row>
    <row r="768" spans="1:7" ht="20.100000000000001" customHeight="1">
      <c r="A768" s="1155">
        <v>42270</v>
      </c>
      <c r="B768" s="1166">
        <v>252</v>
      </c>
      <c r="C768" s="1169" t="s">
        <v>100</v>
      </c>
      <c r="D768" s="1169" t="s">
        <v>100</v>
      </c>
      <c r="E768" s="1169" t="s">
        <v>100</v>
      </c>
      <c r="F768" s="1168" t="s">
        <v>100</v>
      </c>
      <c r="G768" s="1168" t="s">
        <v>100</v>
      </c>
    </row>
    <row r="769" spans="1:7" ht="20.100000000000001" customHeight="1">
      <c r="A769" s="1155">
        <v>42271</v>
      </c>
      <c r="B769" s="1166">
        <v>347</v>
      </c>
      <c r="C769" s="1169" t="s">
        <v>100</v>
      </c>
      <c r="D769" s="1169" t="s">
        <v>100</v>
      </c>
      <c r="E769" s="1169" t="s">
        <v>100</v>
      </c>
      <c r="F769" s="1168" t="s">
        <v>100</v>
      </c>
      <c r="G769" s="1168" t="s">
        <v>100</v>
      </c>
    </row>
    <row r="770" spans="1:7" ht="20.100000000000001" customHeight="1">
      <c r="A770" s="1155">
        <v>42272</v>
      </c>
      <c r="B770" s="1166">
        <v>352</v>
      </c>
      <c r="C770" s="1169">
        <v>222.00000000000006</v>
      </c>
      <c r="D770" s="1169">
        <v>132</v>
      </c>
      <c r="E770" s="1169">
        <v>193.33333333333334</v>
      </c>
      <c r="F770" s="1168">
        <v>41.282471331617131</v>
      </c>
      <c r="G770" s="1168">
        <v>5.8636363636363624</v>
      </c>
    </row>
    <row r="771" spans="1:7" ht="20.100000000000001" customHeight="1">
      <c r="A771" s="1155">
        <v>42273</v>
      </c>
      <c r="B771" s="1166">
        <v>364</v>
      </c>
      <c r="C771" s="1169" t="s">
        <v>100</v>
      </c>
      <c r="D771" s="1169" t="s">
        <v>100</v>
      </c>
      <c r="E771" s="1169" t="s">
        <v>100</v>
      </c>
      <c r="F771" s="1168" t="s">
        <v>100</v>
      </c>
      <c r="G771" s="1168" t="s">
        <v>100</v>
      </c>
    </row>
    <row r="772" spans="1:7" ht="20.100000000000001" customHeight="1">
      <c r="A772" s="1155">
        <v>42274</v>
      </c>
      <c r="B772" s="1166">
        <v>361</v>
      </c>
      <c r="C772" s="1169" t="s">
        <v>100</v>
      </c>
      <c r="D772" s="1169" t="s">
        <v>100</v>
      </c>
      <c r="E772" s="1169" t="s">
        <v>100</v>
      </c>
      <c r="F772" s="1168" t="s">
        <v>100</v>
      </c>
      <c r="G772" s="1168" t="s">
        <v>100</v>
      </c>
    </row>
    <row r="773" spans="1:7" ht="20.100000000000001" customHeight="1">
      <c r="A773" s="1155">
        <v>42275</v>
      </c>
      <c r="B773" s="1166">
        <v>364</v>
      </c>
      <c r="C773" s="1169" t="s">
        <v>100</v>
      </c>
      <c r="D773" s="1169" t="s">
        <v>100</v>
      </c>
      <c r="E773" s="1169" t="s">
        <v>100</v>
      </c>
      <c r="F773" s="1168" t="s">
        <v>100</v>
      </c>
      <c r="G773" s="1168" t="s">
        <v>100</v>
      </c>
    </row>
    <row r="774" spans="1:7" ht="20.100000000000001" customHeight="1">
      <c r="A774" s="1155">
        <v>42276</v>
      </c>
      <c r="B774" s="1166">
        <v>359</v>
      </c>
      <c r="C774" s="1169" t="s">
        <v>100</v>
      </c>
      <c r="D774" s="1169" t="s">
        <v>100</v>
      </c>
      <c r="E774" s="1169" t="s">
        <v>100</v>
      </c>
      <c r="F774" s="1168" t="s">
        <v>100</v>
      </c>
      <c r="G774" s="1168" t="s">
        <v>100</v>
      </c>
    </row>
    <row r="775" spans="1:7" ht="20.100000000000001" customHeight="1">
      <c r="A775" s="1155">
        <v>42277</v>
      </c>
      <c r="B775" s="1166">
        <v>357</v>
      </c>
      <c r="C775" s="1169" t="s">
        <v>100</v>
      </c>
      <c r="D775" s="1169" t="s">
        <v>100</v>
      </c>
      <c r="E775" s="1169" t="s">
        <v>100</v>
      </c>
      <c r="F775" s="1168" t="s">
        <v>100</v>
      </c>
      <c r="G775" s="1168" t="s">
        <v>100</v>
      </c>
    </row>
    <row r="776" spans="1:7" ht="20.100000000000001" customHeight="1">
      <c r="A776" s="1155">
        <v>42278</v>
      </c>
      <c r="B776" s="1166">
        <v>366</v>
      </c>
      <c r="C776" s="1169" t="s">
        <v>100</v>
      </c>
      <c r="D776" s="1169" t="s">
        <v>100</v>
      </c>
      <c r="E776" s="1169" t="s">
        <v>100</v>
      </c>
      <c r="F776" s="1168" t="s">
        <v>100</v>
      </c>
      <c r="G776" s="1168" t="s">
        <v>100</v>
      </c>
    </row>
    <row r="777" spans="1:7" ht="20.100000000000001" customHeight="1">
      <c r="A777" s="1155">
        <v>42279</v>
      </c>
      <c r="B777" s="1166">
        <v>366</v>
      </c>
      <c r="C777" s="1169">
        <v>210.00000000000006</v>
      </c>
      <c r="D777" s="1169">
        <v>140</v>
      </c>
      <c r="E777" s="1169">
        <v>176.66666666666663</v>
      </c>
      <c r="F777" s="1168">
        <v>46.711912005616661</v>
      </c>
      <c r="G777" s="1168">
        <v>4.721252257676098</v>
      </c>
    </row>
    <row r="778" spans="1:7" ht="20.100000000000001" customHeight="1">
      <c r="A778" s="1155">
        <v>42280</v>
      </c>
      <c r="B778" s="1166">
        <v>356</v>
      </c>
      <c r="C778" s="1169" t="s">
        <v>100</v>
      </c>
      <c r="D778" s="1169" t="s">
        <v>100</v>
      </c>
      <c r="E778" s="1169" t="s">
        <v>100</v>
      </c>
      <c r="F778" s="1168" t="s">
        <v>100</v>
      </c>
      <c r="G778" s="1168" t="s">
        <v>100</v>
      </c>
    </row>
    <row r="779" spans="1:7" ht="20.100000000000001" customHeight="1">
      <c r="A779" s="1155">
        <v>42281</v>
      </c>
      <c r="B779" s="1166">
        <v>363</v>
      </c>
      <c r="C779" s="1169" t="s">
        <v>100</v>
      </c>
      <c r="D779" s="1169" t="s">
        <v>100</v>
      </c>
      <c r="E779" s="1169" t="s">
        <v>100</v>
      </c>
      <c r="F779" s="1168" t="s">
        <v>100</v>
      </c>
      <c r="G779" s="1168" t="s">
        <v>100</v>
      </c>
    </row>
    <row r="780" spans="1:7" ht="20.100000000000001" customHeight="1">
      <c r="A780" s="1155">
        <v>42282</v>
      </c>
      <c r="B780" s="1166">
        <v>359</v>
      </c>
      <c r="C780" s="1169" t="s">
        <v>100</v>
      </c>
      <c r="D780" s="1169" t="s">
        <v>100</v>
      </c>
      <c r="E780" s="1169" t="s">
        <v>100</v>
      </c>
      <c r="F780" s="1168" t="s">
        <v>100</v>
      </c>
      <c r="G780" s="1168" t="s">
        <v>100</v>
      </c>
    </row>
    <row r="781" spans="1:7" ht="20.100000000000001" customHeight="1">
      <c r="A781" s="1155">
        <v>42283</v>
      </c>
      <c r="B781" s="1166">
        <v>358</v>
      </c>
      <c r="C781" s="1169" t="s">
        <v>100</v>
      </c>
      <c r="D781" s="1169" t="s">
        <v>100</v>
      </c>
      <c r="E781" s="1169" t="s">
        <v>100</v>
      </c>
      <c r="F781" s="1168" t="s">
        <v>100</v>
      </c>
      <c r="G781" s="1168" t="s">
        <v>100</v>
      </c>
    </row>
    <row r="782" spans="1:7" ht="20.100000000000001" customHeight="1">
      <c r="A782" s="1155">
        <v>42284</v>
      </c>
      <c r="B782" s="1166">
        <v>358</v>
      </c>
      <c r="C782" s="1169" t="s">
        <v>100</v>
      </c>
      <c r="D782" s="1169" t="s">
        <v>100</v>
      </c>
      <c r="E782" s="1169" t="s">
        <v>100</v>
      </c>
      <c r="F782" s="1168" t="s">
        <v>100</v>
      </c>
      <c r="G782" s="1168" t="s">
        <v>100</v>
      </c>
    </row>
    <row r="783" spans="1:7" ht="20.100000000000001" customHeight="1">
      <c r="A783" s="1155">
        <v>42285</v>
      </c>
      <c r="B783" s="1166">
        <v>360</v>
      </c>
      <c r="C783" s="1169" t="s">
        <v>100</v>
      </c>
      <c r="D783" s="1169" t="s">
        <v>100</v>
      </c>
      <c r="E783" s="1169" t="s">
        <v>100</v>
      </c>
      <c r="F783" s="1168" t="s">
        <v>100</v>
      </c>
      <c r="G783" s="1168" t="s">
        <v>100</v>
      </c>
    </row>
    <row r="784" spans="1:7" ht="20.100000000000001" customHeight="1">
      <c r="A784" s="1155">
        <v>42286</v>
      </c>
      <c r="B784" s="1166">
        <v>356</v>
      </c>
      <c r="C784" s="1169">
        <v>197.99999999999994</v>
      </c>
      <c r="D784" s="1169">
        <v>132</v>
      </c>
      <c r="E784" s="1169">
        <v>169.9999999999998</v>
      </c>
      <c r="F784" s="1168">
        <v>44.309228488961693</v>
      </c>
      <c r="G784" s="1168">
        <v>4.7393136664659838</v>
      </c>
    </row>
    <row r="785" spans="1:7" ht="20.100000000000001" customHeight="1">
      <c r="A785" s="1155">
        <v>42287</v>
      </c>
      <c r="B785" s="1166">
        <v>353</v>
      </c>
      <c r="C785" s="1169" t="s">
        <v>100</v>
      </c>
      <c r="D785" s="1169" t="s">
        <v>100</v>
      </c>
      <c r="E785" s="1169" t="s">
        <v>100</v>
      </c>
      <c r="F785" s="1168" t="s">
        <v>100</v>
      </c>
      <c r="G785" s="1168" t="s">
        <v>100</v>
      </c>
    </row>
    <row r="786" spans="1:7" ht="20.100000000000001" customHeight="1">
      <c r="A786" s="1155">
        <v>42288</v>
      </c>
      <c r="B786" s="1166">
        <v>359</v>
      </c>
      <c r="C786" s="1169" t="s">
        <v>100</v>
      </c>
      <c r="D786" s="1169" t="s">
        <v>100</v>
      </c>
      <c r="E786" s="1169" t="s">
        <v>100</v>
      </c>
      <c r="F786" s="1168" t="s">
        <v>100</v>
      </c>
      <c r="G786" s="1168" t="s">
        <v>100</v>
      </c>
    </row>
    <row r="787" spans="1:7" ht="20.100000000000001" customHeight="1">
      <c r="A787" s="1155">
        <v>42289</v>
      </c>
      <c r="B787" s="1166">
        <v>353</v>
      </c>
      <c r="C787" s="1169" t="s">
        <v>100</v>
      </c>
      <c r="D787" s="1169" t="s">
        <v>100</v>
      </c>
      <c r="E787" s="1169" t="s">
        <v>100</v>
      </c>
      <c r="F787" s="1168" t="s">
        <v>100</v>
      </c>
      <c r="G787" s="1168" t="s">
        <v>100</v>
      </c>
    </row>
    <row r="788" spans="1:7" ht="20.100000000000001" customHeight="1">
      <c r="A788" s="1155">
        <v>42290</v>
      </c>
      <c r="B788" s="1166">
        <v>358</v>
      </c>
      <c r="C788" s="1169" t="s">
        <v>100</v>
      </c>
      <c r="D788" s="1169" t="s">
        <v>100</v>
      </c>
      <c r="E788" s="1169" t="s">
        <v>100</v>
      </c>
      <c r="F788" s="1168" t="s">
        <v>100</v>
      </c>
      <c r="G788" s="1168" t="s">
        <v>100</v>
      </c>
    </row>
    <row r="789" spans="1:7" ht="20.100000000000001" customHeight="1">
      <c r="A789" s="1155">
        <v>42291</v>
      </c>
      <c r="B789" s="1166">
        <v>352</v>
      </c>
      <c r="C789" s="1169" t="s">
        <v>100</v>
      </c>
      <c r="D789" s="1169" t="s">
        <v>100</v>
      </c>
      <c r="E789" s="1169" t="s">
        <v>100</v>
      </c>
      <c r="F789" s="1168" t="s">
        <v>100</v>
      </c>
      <c r="G789" s="1168" t="s">
        <v>100</v>
      </c>
    </row>
    <row r="790" spans="1:7" ht="20.100000000000001" customHeight="1">
      <c r="A790" s="1155">
        <v>42292</v>
      </c>
      <c r="B790" s="1166">
        <v>345</v>
      </c>
      <c r="C790" s="1169" t="s">
        <v>100</v>
      </c>
      <c r="D790" s="1169" t="s">
        <v>100</v>
      </c>
      <c r="E790" s="1169" t="s">
        <v>100</v>
      </c>
      <c r="F790" s="1168" t="s">
        <v>100</v>
      </c>
      <c r="G790" s="1168" t="s">
        <v>100</v>
      </c>
    </row>
    <row r="791" spans="1:7" ht="20.100000000000001" customHeight="1">
      <c r="A791" s="1155">
        <v>42293</v>
      </c>
      <c r="B791" s="1166">
        <v>339</v>
      </c>
      <c r="C791" s="1169">
        <v>203.99999999999997</v>
      </c>
      <c r="D791" s="1169">
        <v>136.00000000000003</v>
      </c>
      <c r="E791" s="1169">
        <v>173.33333333333323</v>
      </c>
      <c r="F791" s="1168">
        <v>43.997191668616892</v>
      </c>
      <c r="G791" s="1168">
        <v>4.7799518362432272</v>
      </c>
    </row>
    <row r="792" spans="1:7" ht="20.100000000000001" customHeight="1">
      <c r="A792" s="1155">
        <v>42294</v>
      </c>
      <c r="B792" s="1166">
        <v>344</v>
      </c>
      <c r="C792" s="1169" t="s">
        <v>100</v>
      </c>
      <c r="D792" s="1169" t="s">
        <v>100</v>
      </c>
      <c r="E792" s="1169" t="s">
        <v>100</v>
      </c>
      <c r="F792" s="1168" t="s">
        <v>100</v>
      </c>
      <c r="G792" s="1168" t="s">
        <v>100</v>
      </c>
    </row>
    <row r="793" spans="1:7" ht="20.100000000000001" customHeight="1">
      <c r="A793" s="1155">
        <v>42295</v>
      </c>
      <c r="B793" s="1166">
        <v>336</v>
      </c>
      <c r="C793" s="1169" t="s">
        <v>100</v>
      </c>
      <c r="D793" s="1169" t="s">
        <v>100</v>
      </c>
      <c r="E793" s="1169" t="s">
        <v>100</v>
      </c>
      <c r="F793" s="1168" t="s">
        <v>100</v>
      </c>
      <c r="G793" s="1168" t="s">
        <v>100</v>
      </c>
    </row>
    <row r="794" spans="1:7" ht="20.100000000000001" customHeight="1">
      <c r="A794" s="1155">
        <v>42296</v>
      </c>
      <c r="B794" s="1166">
        <v>333</v>
      </c>
      <c r="C794" s="1169" t="s">
        <v>100</v>
      </c>
      <c r="D794" s="1169" t="s">
        <v>100</v>
      </c>
      <c r="E794" s="1169" t="s">
        <v>100</v>
      </c>
      <c r="F794" s="1168" t="s">
        <v>100</v>
      </c>
      <c r="G794" s="1168" t="s">
        <v>100</v>
      </c>
    </row>
    <row r="795" spans="1:7" ht="20.100000000000001" customHeight="1">
      <c r="A795" s="1155">
        <v>42297</v>
      </c>
      <c r="B795" s="1166">
        <v>348</v>
      </c>
      <c r="C795" s="1169" t="s">
        <v>100</v>
      </c>
      <c r="D795" s="1169" t="s">
        <v>100</v>
      </c>
      <c r="E795" s="1169" t="s">
        <v>100</v>
      </c>
      <c r="F795" s="1168" t="s">
        <v>100</v>
      </c>
      <c r="G795" s="1168" t="s">
        <v>100</v>
      </c>
    </row>
    <row r="796" spans="1:7" ht="20.100000000000001" customHeight="1">
      <c r="A796" s="1155">
        <v>42298</v>
      </c>
      <c r="B796" s="1166">
        <v>351</v>
      </c>
      <c r="C796" s="1169" t="s">
        <v>100</v>
      </c>
      <c r="D796" s="1169" t="s">
        <v>100</v>
      </c>
      <c r="E796" s="1169" t="s">
        <v>100</v>
      </c>
      <c r="F796" s="1168" t="s">
        <v>100</v>
      </c>
      <c r="G796" s="1168" t="s">
        <v>100</v>
      </c>
    </row>
    <row r="797" spans="1:7" ht="20.100000000000001" customHeight="1">
      <c r="A797" s="1155">
        <v>42299</v>
      </c>
      <c r="B797" s="1166">
        <v>343</v>
      </c>
      <c r="C797" s="1169" t="s">
        <v>100</v>
      </c>
      <c r="D797" s="1169" t="s">
        <v>100</v>
      </c>
      <c r="E797" s="1169" t="s">
        <v>100</v>
      </c>
      <c r="F797" s="1168" t="s">
        <v>100</v>
      </c>
      <c r="G797" s="1168" t="s">
        <v>100</v>
      </c>
    </row>
    <row r="798" spans="1:7" ht="20.100000000000001" customHeight="1">
      <c r="A798" s="1155">
        <v>42300</v>
      </c>
      <c r="B798" s="1166">
        <v>339</v>
      </c>
      <c r="C798" s="1169">
        <v>221.99999999999994</v>
      </c>
      <c r="D798" s="1169">
        <v>132</v>
      </c>
      <c r="E798" s="1169">
        <v>180.00000000000009</v>
      </c>
      <c r="F798" s="1168">
        <v>43.903580622513452</v>
      </c>
      <c r="G798" s="1168">
        <v>4.8205900060204687</v>
      </c>
    </row>
    <row r="799" spans="1:7" ht="20.100000000000001" customHeight="1">
      <c r="A799" s="1155">
        <v>42301</v>
      </c>
      <c r="B799" s="1166">
        <v>345</v>
      </c>
      <c r="C799" s="1169" t="s">
        <v>100</v>
      </c>
      <c r="D799" s="1169" t="s">
        <v>100</v>
      </c>
      <c r="E799" s="1169" t="s">
        <v>100</v>
      </c>
      <c r="F799" s="1168" t="s">
        <v>100</v>
      </c>
      <c r="G799" s="1168" t="s">
        <v>100</v>
      </c>
    </row>
    <row r="800" spans="1:7" ht="20.100000000000001" customHeight="1">
      <c r="A800" s="1155">
        <v>42302</v>
      </c>
      <c r="B800" s="1166">
        <v>344</v>
      </c>
      <c r="C800" s="1169" t="s">
        <v>100</v>
      </c>
      <c r="D800" s="1169" t="s">
        <v>100</v>
      </c>
      <c r="E800" s="1169" t="s">
        <v>100</v>
      </c>
      <c r="F800" s="1168" t="s">
        <v>100</v>
      </c>
      <c r="G800" s="1168" t="s">
        <v>100</v>
      </c>
    </row>
    <row r="801" spans="1:7" ht="20.100000000000001" customHeight="1">
      <c r="A801" s="1155">
        <v>42303</v>
      </c>
      <c r="B801" s="1166">
        <v>351</v>
      </c>
      <c r="C801" s="1169" t="s">
        <v>100</v>
      </c>
      <c r="D801" s="1169" t="s">
        <v>100</v>
      </c>
      <c r="E801" s="1169" t="s">
        <v>100</v>
      </c>
      <c r="F801" s="1168" t="s">
        <v>100</v>
      </c>
      <c r="G801" s="1168" t="s">
        <v>100</v>
      </c>
    </row>
    <row r="802" spans="1:7" ht="20.100000000000001" customHeight="1">
      <c r="A802" s="1155">
        <v>42304</v>
      </c>
      <c r="B802" s="1166">
        <v>336</v>
      </c>
      <c r="C802" s="1169" t="s">
        <v>100</v>
      </c>
      <c r="D802" s="1169" t="s">
        <v>100</v>
      </c>
      <c r="E802" s="1169" t="s">
        <v>100</v>
      </c>
      <c r="F802" s="1168" t="s">
        <v>100</v>
      </c>
      <c r="G802" s="1168" t="s">
        <v>100</v>
      </c>
    </row>
    <row r="803" spans="1:7" ht="20.100000000000001" customHeight="1">
      <c r="A803" s="1155">
        <v>42305</v>
      </c>
      <c r="B803" s="1166">
        <v>232</v>
      </c>
      <c r="C803" s="1169" t="s">
        <v>100</v>
      </c>
      <c r="D803" s="1169" t="s">
        <v>100</v>
      </c>
      <c r="E803" s="1169" t="s">
        <v>100</v>
      </c>
      <c r="F803" s="1168" t="s">
        <v>100</v>
      </c>
      <c r="G803" s="1168" t="s">
        <v>100</v>
      </c>
    </row>
    <row r="804" spans="1:7" ht="20.100000000000001" customHeight="1">
      <c r="A804" s="1155">
        <v>42306</v>
      </c>
      <c r="B804" s="1166">
        <v>341</v>
      </c>
      <c r="C804" s="1169" t="s">
        <v>100</v>
      </c>
      <c r="D804" s="1169" t="s">
        <v>100</v>
      </c>
      <c r="E804" s="1169" t="s">
        <v>100</v>
      </c>
      <c r="F804" s="1168" t="s">
        <v>100</v>
      </c>
      <c r="G804" s="1168" t="s">
        <v>100</v>
      </c>
    </row>
    <row r="805" spans="1:7" ht="20.100000000000001" customHeight="1">
      <c r="A805" s="1155">
        <v>42307</v>
      </c>
      <c r="B805" s="1166">
        <v>342</v>
      </c>
      <c r="C805" s="1169">
        <v>215.99999999999997</v>
      </c>
      <c r="D805" s="1169">
        <v>140</v>
      </c>
      <c r="E805" s="1169">
        <v>176.66666666666663</v>
      </c>
      <c r="F805" s="1168">
        <v>45.682190498478818</v>
      </c>
      <c r="G805" s="1168">
        <v>4.752859723058398</v>
      </c>
    </row>
    <row r="806" spans="1:7" ht="20.100000000000001" customHeight="1">
      <c r="A806" s="1155">
        <v>42308</v>
      </c>
      <c r="B806" s="1166">
        <v>350</v>
      </c>
      <c r="C806" s="1169" t="s">
        <v>100</v>
      </c>
      <c r="D806" s="1169" t="s">
        <v>100</v>
      </c>
      <c r="E806" s="1169" t="s">
        <v>100</v>
      </c>
      <c r="F806" s="1168" t="s">
        <v>100</v>
      </c>
      <c r="G806" s="1168" t="s">
        <v>100</v>
      </c>
    </row>
    <row r="807" spans="1:7" ht="20.100000000000001" customHeight="1">
      <c r="A807" s="1155">
        <v>42309</v>
      </c>
      <c r="B807" s="1166">
        <v>354</v>
      </c>
      <c r="C807" s="1169" t="s">
        <v>100</v>
      </c>
      <c r="D807" s="1169" t="s">
        <v>100</v>
      </c>
      <c r="E807" s="1169" t="s">
        <v>100</v>
      </c>
      <c r="F807" s="1168" t="s">
        <v>100</v>
      </c>
      <c r="G807" s="1168" t="s">
        <v>100</v>
      </c>
    </row>
    <row r="808" spans="1:7" ht="20.100000000000001" customHeight="1">
      <c r="A808" s="1155">
        <v>42310</v>
      </c>
      <c r="B808" s="1166">
        <v>351</v>
      </c>
      <c r="C808" s="1169" t="s">
        <v>100</v>
      </c>
      <c r="D808" s="1169" t="s">
        <v>100</v>
      </c>
      <c r="E808" s="1169" t="s">
        <v>100</v>
      </c>
      <c r="F808" s="1168" t="s">
        <v>100</v>
      </c>
      <c r="G808" s="1168" t="s">
        <v>100</v>
      </c>
    </row>
    <row r="809" spans="1:7" ht="20.100000000000001" customHeight="1">
      <c r="A809" s="1155">
        <v>42311</v>
      </c>
      <c r="B809" s="1166">
        <v>353</v>
      </c>
      <c r="C809" s="1169" t="s">
        <v>100</v>
      </c>
      <c r="D809" s="1169" t="s">
        <v>100</v>
      </c>
      <c r="E809" s="1169" t="s">
        <v>100</v>
      </c>
      <c r="F809" s="1168" t="s">
        <v>100</v>
      </c>
      <c r="G809" s="1168" t="s">
        <v>100</v>
      </c>
    </row>
    <row r="810" spans="1:7" ht="20.100000000000001" customHeight="1">
      <c r="A810" s="1155">
        <v>42312</v>
      </c>
      <c r="B810" s="1166">
        <v>344</v>
      </c>
      <c r="C810" s="1169" t="s">
        <v>100</v>
      </c>
      <c r="D810" s="1169" t="s">
        <v>100</v>
      </c>
      <c r="E810" s="1169" t="s">
        <v>100</v>
      </c>
      <c r="F810" s="1168" t="s">
        <v>100</v>
      </c>
      <c r="G810" s="1168" t="s">
        <v>100</v>
      </c>
    </row>
    <row r="811" spans="1:7" ht="20.100000000000001" customHeight="1">
      <c r="A811" s="1155">
        <v>42313</v>
      </c>
      <c r="B811" s="1166">
        <v>342</v>
      </c>
      <c r="C811" s="1169" t="s">
        <v>100</v>
      </c>
      <c r="D811" s="1169" t="s">
        <v>100</v>
      </c>
      <c r="E811" s="1169" t="s">
        <v>100</v>
      </c>
      <c r="F811" s="1168" t="s">
        <v>100</v>
      </c>
      <c r="G811" s="1168" t="s">
        <v>100</v>
      </c>
    </row>
    <row r="812" spans="1:7" ht="20.100000000000001" customHeight="1">
      <c r="A812" s="1155">
        <v>42314</v>
      </c>
      <c r="B812" s="1166">
        <v>341</v>
      </c>
      <c r="C812" s="1169">
        <v>203.99999999999997</v>
      </c>
      <c r="D812" s="1169">
        <v>128</v>
      </c>
      <c r="E812" s="1169">
        <v>173.33333333333368</v>
      </c>
      <c r="F812" s="1168">
        <v>46.399875185271867</v>
      </c>
      <c r="G812" s="1168">
        <v>4.7664057796508121</v>
      </c>
    </row>
    <row r="813" spans="1:7" ht="20.100000000000001" customHeight="1">
      <c r="A813" s="1155">
        <v>42315</v>
      </c>
      <c r="B813" s="1166">
        <v>337</v>
      </c>
      <c r="C813" s="1169" t="s">
        <v>100</v>
      </c>
      <c r="D813" s="1169" t="s">
        <v>100</v>
      </c>
      <c r="E813" s="1169" t="s">
        <v>100</v>
      </c>
      <c r="F813" s="1168" t="s">
        <v>100</v>
      </c>
      <c r="G813" s="1168" t="s">
        <v>100</v>
      </c>
    </row>
    <row r="814" spans="1:7" ht="20.100000000000001" customHeight="1">
      <c r="A814" s="1155">
        <v>42316</v>
      </c>
      <c r="B814" s="1166">
        <v>345</v>
      </c>
      <c r="C814" s="1169" t="s">
        <v>100</v>
      </c>
      <c r="D814" s="1169" t="s">
        <v>100</v>
      </c>
      <c r="E814" s="1169" t="s">
        <v>100</v>
      </c>
      <c r="F814" s="1168" t="s">
        <v>100</v>
      </c>
      <c r="G814" s="1168" t="s">
        <v>100</v>
      </c>
    </row>
    <row r="815" spans="1:7" ht="20.100000000000001" customHeight="1">
      <c r="A815" s="1155">
        <v>42317</v>
      </c>
      <c r="B815" s="1166">
        <v>343</v>
      </c>
      <c r="C815" s="1169" t="s">
        <v>100</v>
      </c>
      <c r="D815" s="1169" t="s">
        <v>100</v>
      </c>
      <c r="E815" s="1169" t="s">
        <v>100</v>
      </c>
      <c r="F815" s="1168" t="s">
        <v>100</v>
      </c>
      <c r="G815" s="1168" t="s">
        <v>100</v>
      </c>
    </row>
    <row r="816" spans="1:7" ht="20.100000000000001" customHeight="1">
      <c r="A816" s="1155">
        <v>42318</v>
      </c>
      <c r="B816" s="1166">
        <v>354</v>
      </c>
      <c r="C816" s="1169" t="s">
        <v>100</v>
      </c>
      <c r="D816" s="1169" t="s">
        <v>100</v>
      </c>
      <c r="E816" s="1169" t="s">
        <v>100</v>
      </c>
      <c r="F816" s="1168" t="s">
        <v>100</v>
      </c>
      <c r="G816" s="1168" t="s">
        <v>100</v>
      </c>
    </row>
    <row r="817" spans="1:7" ht="20.100000000000001" customHeight="1">
      <c r="A817" s="1155">
        <v>42319</v>
      </c>
      <c r="B817" s="1166">
        <v>346</v>
      </c>
      <c r="C817" s="1169" t="s">
        <v>100</v>
      </c>
      <c r="D817" s="1169" t="s">
        <v>100</v>
      </c>
      <c r="E817" s="1169" t="s">
        <v>100</v>
      </c>
      <c r="F817" s="1168" t="s">
        <v>100</v>
      </c>
      <c r="G817" s="1168" t="s">
        <v>100</v>
      </c>
    </row>
    <row r="818" spans="1:7" ht="20.100000000000001" customHeight="1">
      <c r="A818" s="1155">
        <v>42320</v>
      </c>
      <c r="B818" s="1166">
        <v>347</v>
      </c>
      <c r="C818" s="1169" t="s">
        <v>100</v>
      </c>
      <c r="D818" s="1169" t="s">
        <v>100</v>
      </c>
      <c r="E818" s="1169" t="s">
        <v>100</v>
      </c>
      <c r="F818" s="1168" t="s">
        <v>100</v>
      </c>
      <c r="G818" s="1168" t="s">
        <v>100</v>
      </c>
    </row>
    <row r="819" spans="1:7" ht="20.100000000000001" customHeight="1">
      <c r="A819" s="1155">
        <v>42321</v>
      </c>
      <c r="B819" s="1166">
        <v>354</v>
      </c>
      <c r="C819" s="1169">
        <v>210</v>
      </c>
      <c r="D819" s="1169">
        <v>132</v>
      </c>
      <c r="E819" s="1169">
        <v>176.66666666666663</v>
      </c>
      <c r="F819" s="1168">
        <v>46.680708323582181</v>
      </c>
      <c r="G819" s="1168">
        <v>4.7799518362432272</v>
      </c>
    </row>
    <row r="820" spans="1:7" ht="20.100000000000001" customHeight="1">
      <c r="A820" s="1155">
        <v>42322</v>
      </c>
      <c r="B820" s="1166">
        <v>347</v>
      </c>
      <c r="C820" s="1169" t="s">
        <v>100</v>
      </c>
      <c r="D820" s="1169" t="s">
        <v>100</v>
      </c>
      <c r="E820" s="1169" t="s">
        <v>100</v>
      </c>
      <c r="F820" s="1168" t="s">
        <v>100</v>
      </c>
      <c r="G820" s="1168" t="s">
        <v>100</v>
      </c>
    </row>
    <row r="821" spans="1:7" ht="20.100000000000001" customHeight="1">
      <c r="A821" s="1155">
        <v>42323</v>
      </c>
      <c r="B821" s="1166">
        <v>349</v>
      </c>
      <c r="C821" s="1169" t="s">
        <v>100</v>
      </c>
      <c r="D821" s="1169" t="s">
        <v>100</v>
      </c>
      <c r="E821" s="1169" t="s">
        <v>100</v>
      </c>
      <c r="F821" s="1168" t="s">
        <v>100</v>
      </c>
      <c r="G821" s="1168" t="s">
        <v>100</v>
      </c>
    </row>
    <row r="822" spans="1:7" ht="20.100000000000001" customHeight="1">
      <c r="A822" s="1155">
        <v>42324</v>
      </c>
      <c r="B822" s="1166">
        <v>340</v>
      </c>
      <c r="C822" s="1169" t="s">
        <v>100</v>
      </c>
      <c r="D822" s="1169" t="s">
        <v>100</v>
      </c>
      <c r="E822" s="1169" t="s">
        <v>100</v>
      </c>
      <c r="F822" s="1168" t="s">
        <v>100</v>
      </c>
      <c r="G822" s="1168" t="s">
        <v>100</v>
      </c>
    </row>
    <row r="823" spans="1:7" ht="20.100000000000001" customHeight="1">
      <c r="A823" s="1155">
        <v>42325</v>
      </c>
      <c r="B823" s="1166">
        <v>338</v>
      </c>
      <c r="C823" s="1169" t="s">
        <v>100</v>
      </c>
      <c r="D823" s="1169" t="s">
        <v>100</v>
      </c>
      <c r="E823" s="1169" t="s">
        <v>100</v>
      </c>
      <c r="F823" s="1168" t="s">
        <v>100</v>
      </c>
      <c r="G823" s="1168" t="s">
        <v>100</v>
      </c>
    </row>
    <row r="824" spans="1:7" ht="20.100000000000001" customHeight="1">
      <c r="A824" s="1155">
        <v>42326</v>
      </c>
      <c r="B824" s="1166">
        <v>351</v>
      </c>
      <c r="C824" s="1169" t="s">
        <v>100</v>
      </c>
      <c r="D824" s="1169" t="s">
        <v>100</v>
      </c>
      <c r="E824" s="1169" t="s">
        <v>100</v>
      </c>
      <c r="F824" s="1168" t="s">
        <v>100</v>
      </c>
      <c r="G824" s="1168" t="s">
        <v>100</v>
      </c>
    </row>
    <row r="825" spans="1:7" ht="20.100000000000001" customHeight="1">
      <c r="A825" s="1155">
        <v>42327</v>
      </c>
      <c r="B825" s="1166">
        <v>349</v>
      </c>
      <c r="C825" s="1169" t="s">
        <v>100</v>
      </c>
      <c r="D825" s="1169" t="s">
        <v>100</v>
      </c>
      <c r="E825" s="1169" t="s">
        <v>100</v>
      </c>
      <c r="F825" s="1168" t="s">
        <v>100</v>
      </c>
      <c r="G825" s="1168" t="s">
        <v>100</v>
      </c>
    </row>
    <row r="826" spans="1:7" ht="20.100000000000001" customHeight="1">
      <c r="A826" s="1155">
        <v>42328</v>
      </c>
      <c r="B826" s="1166">
        <v>349</v>
      </c>
      <c r="C826" s="1169">
        <v>215.99999999999997</v>
      </c>
      <c r="D826" s="1169">
        <v>140</v>
      </c>
      <c r="E826" s="1169">
        <v>186.66666666666649</v>
      </c>
      <c r="F826" s="1168">
        <v>47.055152507995942</v>
      </c>
      <c r="G826" s="1168">
        <v>4.7934978928356404</v>
      </c>
    </row>
    <row r="827" spans="1:7" ht="20.100000000000001" customHeight="1">
      <c r="A827" s="1155">
        <v>42329</v>
      </c>
      <c r="B827" s="1166">
        <v>351</v>
      </c>
      <c r="C827" s="1169" t="s">
        <v>100</v>
      </c>
      <c r="D827" s="1169" t="s">
        <v>100</v>
      </c>
      <c r="E827" s="1169" t="s">
        <v>100</v>
      </c>
      <c r="F827" s="1168" t="s">
        <v>100</v>
      </c>
      <c r="G827" s="1168" t="s">
        <v>100</v>
      </c>
    </row>
    <row r="828" spans="1:7" ht="20.100000000000001" customHeight="1">
      <c r="A828" s="1155">
        <v>42330</v>
      </c>
      <c r="B828" s="1166">
        <v>345</v>
      </c>
      <c r="C828" s="1169" t="s">
        <v>100</v>
      </c>
      <c r="D828" s="1169" t="s">
        <v>100</v>
      </c>
      <c r="E828" s="1169" t="s">
        <v>100</v>
      </c>
      <c r="F828" s="1168" t="s">
        <v>100</v>
      </c>
      <c r="G828" s="1168" t="s">
        <v>100</v>
      </c>
    </row>
    <row r="829" spans="1:7" ht="20.100000000000001" customHeight="1">
      <c r="A829" s="1155">
        <v>42331</v>
      </c>
      <c r="B829" s="1166">
        <v>344</v>
      </c>
      <c r="C829" s="1169" t="s">
        <v>100</v>
      </c>
      <c r="D829" s="1169" t="s">
        <v>100</v>
      </c>
      <c r="E829" s="1169" t="s">
        <v>100</v>
      </c>
      <c r="F829" s="1168" t="s">
        <v>100</v>
      </c>
      <c r="G829" s="1168" t="s">
        <v>100</v>
      </c>
    </row>
    <row r="830" spans="1:7" ht="20.100000000000001" customHeight="1">
      <c r="A830" s="1155">
        <v>42332</v>
      </c>
      <c r="B830" s="1166">
        <v>354</v>
      </c>
      <c r="C830" s="1169" t="s">
        <v>100</v>
      </c>
      <c r="D830" s="1169" t="s">
        <v>100</v>
      </c>
      <c r="E830" s="1169" t="s">
        <v>100</v>
      </c>
      <c r="F830" s="1168" t="s">
        <v>100</v>
      </c>
      <c r="G830" s="1168" t="s">
        <v>100</v>
      </c>
    </row>
    <row r="831" spans="1:7" ht="20.100000000000001" customHeight="1">
      <c r="A831" s="1155">
        <v>42333</v>
      </c>
      <c r="B831" s="1166">
        <v>235</v>
      </c>
      <c r="C831" s="1169" t="s">
        <v>100</v>
      </c>
      <c r="D831" s="1169" t="s">
        <v>100</v>
      </c>
      <c r="E831" s="1169" t="s">
        <v>100</v>
      </c>
      <c r="F831" s="1168" t="s">
        <v>100</v>
      </c>
      <c r="G831" s="1168" t="s">
        <v>100</v>
      </c>
    </row>
    <row r="832" spans="1:7" ht="20.100000000000001" customHeight="1">
      <c r="A832" s="1155">
        <v>42334</v>
      </c>
      <c r="B832" s="1166">
        <v>392</v>
      </c>
      <c r="C832" s="1169" t="s">
        <v>100</v>
      </c>
      <c r="D832" s="1169" t="s">
        <v>100</v>
      </c>
      <c r="E832" s="1169" t="s">
        <v>100</v>
      </c>
      <c r="F832" s="1168" t="s">
        <v>100</v>
      </c>
      <c r="G832" s="1168" t="s">
        <v>100</v>
      </c>
    </row>
    <row r="833" spans="1:7" ht="20.100000000000001" customHeight="1">
      <c r="A833" s="1155">
        <v>42335</v>
      </c>
      <c r="B833" s="1166">
        <v>378</v>
      </c>
      <c r="C833" s="1169">
        <v>197.99999999999994</v>
      </c>
      <c r="D833" s="1169">
        <v>136</v>
      </c>
      <c r="E833" s="1169">
        <v>176.66666666666663</v>
      </c>
      <c r="F833" s="1168">
        <v>45.713394180513298</v>
      </c>
      <c r="G833" s="1168">
        <v>4.8070439494280555</v>
      </c>
    </row>
    <row r="834" spans="1:7" ht="20.100000000000001" customHeight="1">
      <c r="A834" s="1155">
        <v>42336</v>
      </c>
      <c r="B834" s="1166">
        <v>386</v>
      </c>
      <c r="C834" s="1169" t="s">
        <v>100</v>
      </c>
      <c r="D834" s="1169" t="s">
        <v>100</v>
      </c>
      <c r="E834" s="1169" t="s">
        <v>100</v>
      </c>
      <c r="F834" s="1168" t="s">
        <v>100</v>
      </c>
      <c r="G834" s="1168" t="s">
        <v>100</v>
      </c>
    </row>
    <row r="835" spans="1:7" ht="20.100000000000001" customHeight="1">
      <c r="A835" s="1155">
        <v>42337</v>
      </c>
      <c r="B835" s="1166">
        <v>389</v>
      </c>
      <c r="C835" s="1169" t="s">
        <v>100</v>
      </c>
      <c r="D835" s="1169" t="s">
        <v>100</v>
      </c>
      <c r="E835" s="1169" t="s">
        <v>100</v>
      </c>
      <c r="F835" s="1168" t="s">
        <v>100</v>
      </c>
      <c r="G835" s="1168" t="s">
        <v>100</v>
      </c>
    </row>
    <row r="836" spans="1:7" ht="20.100000000000001" customHeight="1">
      <c r="A836" s="1155">
        <v>42338</v>
      </c>
      <c r="B836" s="1166">
        <v>340</v>
      </c>
      <c r="C836" s="1169" t="s">
        <v>100</v>
      </c>
      <c r="D836" s="1169" t="s">
        <v>100</v>
      </c>
      <c r="E836" s="1169" t="s">
        <v>100</v>
      </c>
      <c r="F836" s="1168" t="s">
        <v>100</v>
      </c>
      <c r="G836" s="1168" t="s">
        <v>100</v>
      </c>
    </row>
    <row r="837" spans="1:7" ht="20.100000000000001" customHeight="1">
      <c r="A837" s="1155">
        <v>42339</v>
      </c>
      <c r="B837" s="1166">
        <v>338</v>
      </c>
      <c r="C837" s="1169" t="s">
        <v>100</v>
      </c>
      <c r="D837" s="1169" t="s">
        <v>100</v>
      </c>
      <c r="E837" s="1169" t="s">
        <v>100</v>
      </c>
      <c r="F837" s="1168" t="s">
        <v>100</v>
      </c>
      <c r="G837" s="1168" t="s">
        <v>100</v>
      </c>
    </row>
    <row r="838" spans="1:7" ht="20.100000000000001" customHeight="1">
      <c r="A838" s="1155">
        <v>42340</v>
      </c>
      <c r="B838" s="1166">
        <v>338</v>
      </c>
      <c r="C838" s="1169" t="s">
        <v>100</v>
      </c>
      <c r="D838" s="1169" t="s">
        <v>100</v>
      </c>
      <c r="E838" s="1169" t="s">
        <v>100</v>
      </c>
      <c r="F838" s="1168" t="s">
        <v>100</v>
      </c>
      <c r="G838" s="1168" t="s">
        <v>100</v>
      </c>
    </row>
    <row r="839" spans="1:7" ht="20.100000000000001" customHeight="1">
      <c r="A839" s="1155">
        <v>42341</v>
      </c>
      <c r="B839" s="1166">
        <v>339</v>
      </c>
      <c r="C839" s="1169" t="s">
        <v>100</v>
      </c>
      <c r="D839" s="1169" t="s">
        <v>100</v>
      </c>
      <c r="E839" s="1169" t="s">
        <v>100</v>
      </c>
      <c r="F839" s="1168" t="s">
        <v>100</v>
      </c>
      <c r="G839" s="1168" t="s">
        <v>100</v>
      </c>
    </row>
    <row r="840" spans="1:7" ht="20.100000000000001" customHeight="1">
      <c r="A840" s="1155">
        <v>42342</v>
      </c>
      <c r="B840" s="1166">
        <v>339</v>
      </c>
      <c r="C840" s="1169">
        <v>209.99999999999994</v>
      </c>
      <c r="D840" s="1169">
        <v>152</v>
      </c>
      <c r="E840" s="1169">
        <v>176.66666666666711</v>
      </c>
      <c r="F840" s="1168">
        <v>46.025431000858106</v>
      </c>
      <c r="G840" s="1168">
        <v>4.7438290186634555</v>
      </c>
    </row>
    <row r="841" spans="1:7" ht="20.100000000000001" customHeight="1">
      <c r="A841" s="1155">
        <v>42343</v>
      </c>
      <c r="B841" s="1166">
        <v>332</v>
      </c>
      <c r="C841" s="1169" t="s">
        <v>100</v>
      </c>
      <c r="D841" s="1169" t="s">
        <v>100</v>
      </c>
      <c r="E841" s="1169" t="s">
        <v>100</v>
      </c>
      <c r="F841" s="1168" t="s">
        <v>100</v>
      </c>
      <c r="G841" s="1168" t="s">
        <v>100</v>
      </c>
    </row>
    <row r="842" spans="1:7" ht="20.100000000000001" customHeight="1">
      <c r="A842" s="1155">
        <v>42344</v>
      </c>
      <c r="B842" s="1166">
        <v>346</v>
      </c>
      <c r="C842" s="1169" t="s">
        <v>100</v>
      </c>
      <c r="D842" s="1169" t="s">
        <v>100</v>
      </c>
      <c r="E842" s="1169" t="s">
        <v>100</v>
      </c>
      <c r="F842" s="1168" t="s">
        <v>100</v>
      </c>
      <c r="G842" s="1168" t="s">
        <v>100</v>
      </c>
    </row>
    <row r="843" spans="1:7" ht="20.100000000000001" customHeight="1">
      <c r="A843" s="1155">
        <v>42345</v>
      </c>
      <c r="B843" s="1166">
        <v>341</v>
      </c>
      <c r="C843" s="1169" t="s">
        <v>100</v>
      </c>
      <c r="D843" s="1169" t="s">
        <v>100</v>
      </c>
      <c r="E843" s="1169" t="s">
        <v>100</v>
      </c>
      <c r="F843" s="1168" t="s">
        <v>100</v>
      </c>
      <c r="G843" s="1168" t="s">
        <v>100</v>
      </c>
    </row>
    <row r="844" spans="1:7" ht="20.100000000000001" customHeight="1">
      <c r="A844" s="1155">
        <v>42346</v>
      </c>
      <c r="B844" s="1166">
        <v>328</v>
      </c>
      <c r="C844" s="1169" t="s">
        <v>100</v>
      </c>
      <c r="D844" s="1169" t="s">
        <v>100</v>
      </c>
      <c r="E844" s="1169" t="s">
        <v>100</v>
      </c>
      <c r="F844" s="1168" t="s">
        <v>100</v>
      </c>
      <c r="G844" s="1168" t="s">
        <v>100</v>
      </c>
    </row>
    <row r="845" spans="1:7" ht="20.100000000000001" customHeight="1">
      <c r="A845" s="1155">
        <v>42347</v>
      </c>
      <c r="B845" s="1166">
        <v>230</v>
      </c>
      <c r="C845" s="1169" t="s">
        <v>100</v>
      </c>
      <c r="D845" s="1169" t="s">
        <v>100</v>
      </c>
      <c r="E845" s="1169" t="s">
        <v>100</v>
      </c>
      <c r="F845" s="1168" t="s">
        <v>100</v>
      </c>
      <c r="G845" s="1168" t="s">
        <v>100</v>
      </c>
    </row>
    <row r="846" spans="1:7" ht="20.100000000000001" customHeight="1">
      <c r="A846" s="1155">
        <v>42348</v>
      </c>
      <c r="B846" s="1166">
        <v>344</v>
      </c>
      <c r="C846" s="1169" t="s">
        <v>100</v>
      </c>
      <c r="D846" s="1169" t="s">
        <v>100</v>
      </c>
      <c r="E846" s="1169" t="s">
        <v>100</v>
      </c>
      <c r="F846" s="1168" t="s">
        <v>100</v>
      </c>
      <c r="G846" s="1168" t="s">
        <v>100</v>
      </c>
    </row>
    <row r="847" spans="1:7" ht="20.100000000000001" customHeight="1">
      <c r="A847" s="1155">
        <v>42349</v>
      </c>
      <c r="B847" s="1166">
        <v>342</v>
      </c>
      <c r="C847" s="1169">
        <v>198</v>
      </c>
      <c r="D847" s="1169">
        <v>140</v>
      </c>
      <c r="E847" s="1169">
        <v>170.00000000000026</v>
      </c>
      <c r="F847" s="1168">
        <v>45.557375770340904</v>
      </c>
      <c r="G847" s="1168">
        <v>4.6625526791089698</v>
      </c>
    </row>
    <row r="848" spans="1:7" ht="20.100000000000001" customHeight="1">
      <c r="A848" s="1155">
        <v>42350</v>
      </c>
      <c r="B848" s="1166">
        <v>351</v>
      </c>
      <c r="C848" s="1169" t="s">
        <v>100</v>
      </c>
      <c r="D848" s="1169" t="s">
        <v>100</v>
      </c>
      <c r="E848" s="1169" t="s">
        <v>100</v>
      </c>
      <c r="F848" s="1168" t="s">
        <v>100</v>
      </c>
      <c r="G848" s="1168" t="s">
        <v>100</v>
      </c>
    </row>
    <row r="849" spans="1:7" ht="20.100000000000001" customHeight="1">
      <c r="A849" s="1155">
        <v>42351</v>
      </c>
      <c r="B849" s="1166">
        <v>351</v>
      </c>
      <c r="C849" s="1169" t="s">
        <v>100</v>
      </c>
      <c r="D849" s="1169" t="s">
        <v>100</v>
      </c>
      <c r="E849" s="1169" t="s">
        <v>100</v>
      </c>
      <c r="F849" s="1168" t="s">
        <v>100</v>
      </c>
      <c r="G849" s="1168" t="s">
        <v>100</v>
      </c>
    </row>
    <row r="850" spans="1:7" ht="20.100000000000001" customHeight="1">
      <c r="A850" s="1155">
        <v>42352</v>
      </c>
      <c r="B850" s="1166">
        <v>338</v>
      </c>
      <c r="C850" s="1169" t="s">
        <v>100</v>
      </c>
      <c r="D850" s="1169" t="s">
        <v>100</v>
      </c>
      <c r="E850" s="1169" t="s">
        <v>100</v>
      </c>
      <c r="F850" s="1168" t="s">
        <v>100</v>
      </c>
      <c r="G850" s="1168" t="s">
        <v>100</v>
      </c>
    </row>
    <row r="851" spans="1:7" ht="20.100000000000001" customHeight="1">
      <c r="A851" s="1155">
        <v>42353</v>
      </c>
      <c r="B851" s="1166">
        <v>337</v>
      </c>
      <c r="C851" s="1169" t="s">
        <v>100</v>
      </c>
      <c r="D851" s="1169" t="s">
        <v>100</v>
      </c>
      <c r="E851" s="1169" t="s">
        <v>100</v>
      </c>
      <c r="F851" s="1168" t="s">
        <v>100</v>
      </c>
      <c r="G851" s="1168" t="s">
        <v>100</v>
      </c>
    </row>
    <row r="852" spans="1:7" ht="20.100000000000001" customHeight="1">
      <c r="A852" s="1155">
        <v>42354</v>
      </c>
      <c r="B852" s="1166">
        <v>327</v>
      </c>
      <c r="C852" s="1169" t="s">
        <v>100</v>
      </c>
      <c r="D852" s="1169" t="s">
        <v>100</v>
      </c>
      <c r="E852" s="1169" t="s">
        <v>100</v>
      </c>
      <c r="F852" s="1168" t="s">
        <v>100</v>
      </c>
      <c r="G852" s="1168" t="s">
        <v>100</v>
      </c>
    </row>
    <row r="853" spans="1:7" ht="20.100000000000001" customHeight="1">
      <c r="A853" s="1155">
        <v>42355</v>
      </c>
      <c r="B853" s="1166">
        <v>335</v>
      </c>
      <c r="C853" s="1169" t="s">
        <v>100</v>
      </c>
      <c r="D853" s="1169" t="s">
        <v>100</v>
      </c>
      <c r="E853" s="1169" t="s">
        <v>100</v>
      </c>
      <c r="F853" s="1168" t="s">
        <v>100</v>
      </c>
      <c r="G853" s="1168" t="s">
        <v>100</v>
      </c>
    </row>
    <row r="854" spans="1:7" ht="20.100000000000001" customHeight="1">
      <c r="A854" s="1155">
        <v>42356</v>
      </c>
      <c r="B854" s="1166">
        <v>334</v>
      </c>
      <c r="C854" s="1169">
        <v>215.99999999999997</v>
      </c>
      <c r="D854" s="1169">
        <v>144</v>
      </c>
      <c r="E854" s="1169">
        <v>173.33333333333323</v>
      </c>
      <c r="F854" s="1168">
        <v>46.743115687651141</v>
      </c>
      <c r="G854" s="1168">
        <v>4.784467188440698</v>
      </c>
    </row>
    <row r="855" spans="1:7" ht="20.100000000000001" customHeight="1">
      <c r="A855" s="1155">
        <v>42357</v>
      </c>
      <c r="B855" s="1166">
        <v>336</v>
      </c>
      <c r="C855" s="1169" t="s">
        <v>100</v>
      </c>
      <c r="D855" s="1169" t="s">
        <v>100</v>
      </c>
      <c r="E855" s="1169" t="s">
        <v>100</v>
      </c>
      <c r="F855" s="1168" t="s">
        <v>100</v>
      </c>
      <c r="G855" s="1168" t="s">
        <v>100</v>
      </c>
    </row>
    <row r="856" spans="1:7" ht="20.100000000000001" customHeight="1">
      <c r="A856" s="1155">
        <v>42358</v>
      </c>
      <c r="B856" s="1166">
        <v>336</v>
      </c>
      <c r="C856" s="1169" t="s">
        <v>100</v>
      </c>
      <c r="D856" s="1169" t="s">
        <v>100</v>
      </c>
      <c r="E856" s="1169" t="s">
        <v>100</v>
      </c>
      <c r="F856" s="1168" t="s">
        <v>100</v>
      </c>
      <c r="G856" s="1168" t="s">
        <v>100</v>
      </c>
    </row>
    <row r="857" spans="1:7" ht="20.100000000000001" customHeight="1">
      <c r="A857" s="1155">
        <v>42359</v>
      </c>
      <c r="B857" s="1166">
        <v>328</v>
      </c>
      <c r="C857" s="1169" t="s">
        <v>100</v>
      </c>
      <c r="D857" s="1169" t="s">
        <v>100</v>
      </c>
      <c r="E857" s="1169" t="s">
        <v>100</v>
      </c>
      <c r="F857" s="1168" t="s">
        <v>100</v>
      </c>
      <c r="G857" s="1168" t="s">
        <v>100</v>
      </c>
    </row>
    <row r="858" spans="1:7" ht="20.100000000000001" customHeight="1">
      <c r="A858" s="1155">
        <v>42360</v>
      </c>
      <c r="B858" s="1166">
        <v>346</v>
      </c>
      <c r="C858" s="1169" t="s">
        <v>100</v>
      </c>
      <c r="D858" s="1169" t="s">
        <v>100</v>
      </c>
      <c r="E858" s="1169" t="s">
        <v>100</v>
      </c>
      <c r="F858" s="1168" t="s">
        <v>100</v>
      </c>
      <c r="G858" s="1168" t="s">
        <v>100</v>
      </c>
    </row>
    <row r="859" spans="1:7" ht="20.100000000000001" customHeight="1">
      <c r="A859" s="1155">
        <v>42361</v>
      </c>
      <c r="B859" s="1166">
        <v>310</v>
      </c>
      <c r="C859" s="1169" t="s">
        <v>100</v>
      </c>
      <c r="D859" s="1169" t="s">
        <v>100</v>
      </c>
      <c r="E859" s="1169" t="s">
        <v>100</v>
      </c>
      <c r="F859" s="1168" t="s">
        <v>100</v>
      </c>
      <c r="G859" s="1168" t="s">
        <v>100</v>
      </c>
    </row>
    <row r="860" spans="1:7" ht="20.100000000000001" customHeight="1">
      <c r="A860" s="1155">
        <v>42362</v>
      </c>
      <c r="B860" s="1166">
        <v>338</v>
      </c>
      <c r="C860" s="1169" t="s">
        <v>100</v>
      </c>
      <c r="D860" s="1169" t="s">
        <v>100</v>
      </c>
      <c r="E860" s="1169" t="s">
        <v>100</v>
      </c>
      <c r="F860" s="1168" t="s">
        <v>100</v>
      </c>
      <c r="G860" s="1168" t="s">
        <v>100</v>
      </c>
    </row>
    <row r="861" spans="1:7" ht="20.100000000000001" customHeight="1">
      <c r="A861" s="1155">
        <v>42363</v>
      </c>
      <c r="B861" s="1166">
        <v>337</v>
      </c>
      <c r="C861" s="1169">
        <v>210</v>
      </c>
      <c r="D861" s="1169">
        <v>148</v>
      </c>
      <c r="E861" s="1169">
        <v>180.00000000000009</v>
      </c>
      <c r="F861" s="1168">
        <v>46.618300959513228</v>
      </c>
      <c r="G861" s="1168">
        <v>4.7393136664659838</v>
      </c>
    </row>
    <row r="862" spans="1:7" ht="20.100000000000001" customHeight="1">
      <c r="A862" s="1155">
        <v>42364</v>
      </c>
      <c r="B862" s="1166">
        <v>336</v>
      </c>
      <c r="C862" s="1169" t="s">
        <v>100</v>
      </c>
      <c r="D862" s="1169" t="s">
        <v>100</v>
      </c>
      <c r="E862" s="1169" t="s">
        <v>100</v>
      </c>
      <c r="F862" s="1168" t="s">
        <v>100</v>
      </c>
      <c r="G862" s="1168" t="s">
        <v>100</v>
      </c>
    </row>
    <row r="863" spans="1:7" ht="20.100000000000001" customHeight="1">
      <c r="A863" s="1155">
        <v>42365</v>
      </c>
      <c r="B863" s="1166">
        <v>334</v>
      </c>
      <c r="C863" s="1169" t="s">
        <v>100</v>
      </c>
      <c r="D863" s="1169" t="s">
        <v>100</v>
      </c>
      <c r="E863" s="1169" t="s">
        <v>100</v>
      </c>
      <c r="F863" s="1168" t="s">
        <v>100</v>
      </c>
      <c r="G863" s="1168" t="s">
        <v>100</v>
      </c>
    </row>
    <row r="864" spans="1:7" ht="20.100000000000001" customHeight="1">
      <c r="A864" s="1155">
        <v>42366</v>
      </c>
      <c r="B864" s="1166">
        <v>332</v>
      </c>
      <c r="C864" s="1169" t="s">
        <v>100</v>
      </c>
      <c r="D864" s="1169" t="s">
        <v>100</v>
      </c>
      <c r="E864" s="1169" t="s">
        <v>100</v>
      </c>
      <c r="F864" s="1168" t="s">
        <v>100</v>
      </c>
      <c r="G864" s="1168" t="s">
        <v>100</v>
      </c>
    </row>
    <row r="865" spans="1:7" ht="20.100000000000001" customHeight="1">
      <c r="A865" s="1155">
        <v>42367</v>
      </c>
      <c r="B865" s="1166">
        <v>330</v>
      </c>
      <c r="C865" s="1169" t="s">
        <v>100</v>
      </c>
      <c r="D865" s="1169" t="s">
        <v>100</v>
      </c>
      <c r="E865" s="1169" t="s">
        <v>100</v>
      </c>
      <c r="F865" s="1168" t="s">
        <v>100</v>
      </c>
      <c r="G865" s="1168" t="s">
        <v>100</v>
      </c>
    </row>
    <row r="866" spans="1:7" ht="20.100000000000001" customHeight="1">
      <c r="A866" s="1155">
        <v>42368</v>
      </c>
      <c r="B866" s="1166">
        <v>335</v>
      </c>
      <c r="C866" s="1169" t="s">
        <v>100</v>
      </c>
      <c r="D866" s="1169" t="s">
        <v>100</v>
      </c>
      <c r="E866" s="1169" t="s">
        <v>100</v>
      </c>
      <c r="F866" s="1168" t="s">
        <v>100</v>
      </c>
      <c r="G866" s="1168" t="s">
        <v>100</v>
      </c>
    </row>
    <row r="867" spans="1:7" ht="20.100000000000001" customHeight="1">
      <c r="A867" s="1155">
        <v>42369</v>
      </c>
      <c r="B867" s="1166">
        <v>334</v>
      </c>
      <c r="C867" s="1169" t="s">
        <v>100</v>
      </c>
      <c r="D867" s="1169" t="s">
        <v>100</v>
      </c>
      <c r="E867" s="1169" t="s">
        <v>100</v>
      </c>
      <c r="F867" s="1168" t="s">
        <v>100</v>
      </c>
      <c r="G867" s="1168" t="s">
        <v>100</v>
      </c>
    </row>
    <row r="868" spans="1:7" ht="20.100000000000001" customHeight="1">
      <c r="A868" s="1150" t="s">
        <v>1695</v>
      </c>
      <c r="B868" s="1146">
        <f t="shared" ref="B868:G868" si="2">AVERAGE(B503:B867)</f>
        <v>340.10410958904112</v>
      </c>
      <c r="C868" s="1147">
        <f t="shared" si="2"/>
        <v>193.92857142857142</v>
      </c>
      <c r="D868" s="1147">
        <f t="shared" si="2"/>
        <v>139.64285714285714</v>
      </c>
      <c r="E868" s="1147">
        <f t="shared" si="2"/>
        <v>182.79761904761909</v>
      </c>
      <c r="F868" s="1148">
        <f t="shared" si="2"/>
        <v>40.5659010620396</v>
      </c>
      <c r="G868" s="1148">
        <f t="shared" si="2"/>
        <v>5.8287230153952025</v>
      </c>
    </row>
    <row r="869" spans="1:7">
      <c r="A869" s="1149"/>
      <c r="B869" s="1149"/>
      <c r="C869" s="1149"/>
      <c r="D869" s="1149"/>
      <c r="E869" s="1149"/>
      <c r="F869" s="1149"/>
      <c r="G869" s="1149"/>
    </row>
    <row r="870" spans="1:7">
      <c r="A870" s="2201" t="s">
        <v>1696</v>
      </c>
      <c r="B870" s="2201"/>
      <c r="C870" s="2201"/>
      <c r="D870" s="2201"/>
      <c r="E870" s="2201"/>
      <c r="F870" s="2201"/>
      <c r="G870" s="2201"/>
    </row>
    <row r="871" spans="1:7">
      <c r="A871" s="2201"/>
      <c r="B871" s="2201"/>
      <c r="C871" s="2201"/>
      <c r="D871" s="2201"/>
      <c r="E871" s="2201"/>
      <c r="F871" s="2201"/>
      <c r="G871" s="2201"/>
    </row>
    <row r="872" spans="1:7">
      <c r="A872" s="1150" t="s">
        <v>1690</v>
      </c>
      <c r="B872" s="1151" t="s">
        <v>1691</v>
      </c>
      <c r="C872" s="1162" t="s">
        <v>414</v>
      </c>
      <c r="D872" s="1162" t="s">
        <v>415</v>
      </c>
      <c r="E872" s="1162" t="s">
        <v>416</v>
      </c>
      <c r="F872" s="1163" t="s">
        <v>417</v>
      </c>
      <c r="G872" s="1163" t="s">
        <v>418</v>
      </c>
    </row>
    <row r="873" spans="1:7" ht="19.5" customHeight="1">
      <c r="A873" s="1155">
        <v>42370</v>
      </c>
      <c r="B873" s="1166">
        <v>325</v>
      </c>
      <c r="C873" s="1169">
        <v>209.99999999999994</v>
      </c>
      <c r="D873" s="1169">
        <v>140</v>
      </c>
      <c r="E873" s="1169">
        <v>169.9999999999998</v>
      </c>
      <c r="F873" s="1168">
        <v>40.065527732272407</v>
      </c>
      <c r="G873" s="1168">
        <v>4.5767609873570123</v>
      </c>
    </row>
    <row r="874" spans="1:7" ht="19.5" customHeight="1">
      <c r="A874" s="1155">
        <v>42371</v>
      </c>
      <c r="B874" s="1166">
        <v>327</v>
      </c>
      <c r="C874" s="1169" t="s">
        <v>100</v>
      </c>
      <c r="D874" s="1169" t="s">
        <v>100</v>
      </c>
      <c r="E874" s="1169" t="s">
        <v>100</v>
      </c>
      <c r="F874" s="1168" t="s">
        <v>100</v>
      </c>
      <c r="G874" s="1168" t="s">
        <v>100</v>
      </c>
    </row>
    <row r="875" spans="1:7" ht="19.5" customHeight="1">
      <c r="A875" s="1155">
        <v>42372</v>
      </c>
      <c r="B875" s="1166">
        <v>329</v>
      </c>
      <c r="C875" s="1169" t="s">
        <v>100</v>
      </c>
      <c r="D875" s="1169" t="s">
        <v>100</v>
      </c>
      <c r="E875" s="1169" t="s">
        <v>100</v>
      </c>
      <c r="F875" s="1168" t="s">
        <v>100</v>
      </c>
      <c r="G875" s="1168" t="s">
        <v>100</v>
      </c>
    </row>
    <row r="876" spans="1:7" ht="19.5" customHeight="1">
      <c r="A876" s="1155">
        <v>42373</v>
      </c>
      <c r="B876" s="1166">
        <v>329</v>
      </c>
      <c r="C876" s="1169" t="s">
        <v>100</v>
      </c>
      <c r="D876" s="1169" t="s">
        <v>100</v>
      </c>
      <c r="E876" s="1169" t="s">
        <v>100</v>
      </c>
      <c r="F876" s="1168" t="s">
        <v>100</v>
      </c>
      <c r="G876" s="1168" t="s">
        <v>100</v>
      </c>
    </row>
    <row r="877" spans="1:7" ht="19.5" customHeight="1">
      <c r="A877" s="1155">
        <v>42374</v>
      </c>
      <c r="B877" s="1166">
        <v>325</v>
      </c>
      <c r="C877" s="1169" t="s">
        <v>100</v>
      </c>
      <c r="D877" s="1169" t="s">
        <v>100</v>
      </c>
      <c r="E877" s="1169" t="s">
        <v>100</v>
      </c>
      <c r="F877" s="1168" t="s">
        <v>100</v>
      </c>
      <c r="G877" s="1168" t="s">
        <v>100</v>
      </c>
    </row>
    <row r="878" spans="1:7" ht="19.5" customHeight="1">
      <c r="A878" s="1155">
        <v>42375</v>
      </c>
      <c r="B878" s="1166">
        <v>333</v>
      </c>
      <c r="C878" s="1169" t="s">
        <v>100</v>
      </c>
      <c r="D878" s="1169" t="s">
        <v>100</v>
      </c>
      <c r="E878" s="1169" t="s">
        <v>100</v>
      </c>
      <c r="F878" s="1168" t="s">
        <v>100</v>
      </c>
      <c r="G878" s="1168" t="s">
        <v>100</v>
      </c>
    </row>
    <row r="879" spans="1:7" ht="19.5" customHeight="1">
      <c r="A879" s="1155">
        <v>42376</v>
      </c>
      <c r="B879" s="1166">
        <v>339</v>
      </c>
      <c r="C879" s="1169" t="s">
        <v>100</v>
      </c>
      <c r="D879" s="1169" t="s">
        <v>100</v>
      </c>
      <c r="E879" s="1169" t="s">
        <v>100</v>
      </c>
      <c r="F879" s="1168" t="s">
        <v>100</v>
      </c>
      <c r="G879" s="1168" t="s">
        <v>100</v>
      </c>
    </row>
    <row r="880" spans="1:7" ht="19.5" customHeight="1">
      <c r="A880" s="1155">
        <v>42377</v>
      </c>
      <c r="B880" s="1166">
        <v>319</v>
      </c>
      <c r="C880" s="1169">
        <v>203.99999999999997</v>
      </c>
      <c r="D880" s="1169">
        <v>136</v>
      </c>
      <c r="E880" s="1169">
        <v>163.3333333333334</v>
      </c>
      <c r="F880" s="1168">
        <v>39.753490911927607</v>
      </c>
      <c r="G880" s="1168">
        <v>4.5586995785671274</v>
      </c>
    </row>
    <row r="881" spans="1:7" ht="19.5" customHeight="1">
      <c r="A881" s="1155">
        <v>42378</v>
      </c>
      <c r="B881" s="1166">
        <v>333</v>
      </c>
      <c r="C881" s="1169" t="s">
        <v>100</v>
      </c>
      <c r="D881" s="1169" t="s">
        <v>100</v>
      </c>
      <c r="E881" s="1169" t="s">
        <v>100</v>
      </c>
      <c r="F881" s="1168" t="s">
        <v>100</v>
      </c>
      <c r="G881" s="1168" t="s">
        <v>100</v>
      </c>
    </row>
    <row r="882" spans="1:7" ht="19.5" customHeight="1">
      <c r="A882" s="1155">
        <v>42379</v>
      </c>
      <c r="B882" s="1166">
        <v>327</v>
      </c>
      <c r="C882" s="1169" t="s">
        <v>100</v>
      </c>
      <c r="D882" s="1169" t="s">
        <v>100</v>
      </c>
      <c r="E882" s="1169" t="s">
        <v>100</v>
      </c>
      <c r="F882" s="1168" t="s">
        <v>100</v>
      </c>
      <c r="G882" s="1168" t="s">
        <v>100</v>
      </c>
    </row>
    <row r="883" spans="1:7" ht="19.5" customHeight="1">
      <c r="A883" s="1155">
        <v>42380</v>
      </c>
      <c r="B883" s="1166">
        <v>111</v>
      </c>
      <c r="C883" s="1169" t="s">
        <v>100</v>
      </c>
      <c r="D883" s="1169" t="s">
        <v>100</v>
      </c>
      <c r="E883" s="1169" t="s">
        <v>100</v>
      </c>
      <c r="F883" s="1168" t="s">
        <v>100</v>
      </c>
      <c r="G883" s="1168" t="s">
        <v>100</v>
      </c>
    </row>
    <row r="884" spans="1:7" ht="19.5" customHeight="1">
      <c r="A884" s="1155">
        <v>42381</v>
      </c>
      <c r="B884" s="1166">
        <v>253</v>
      </c>
      <c r="C884" s="1169" t="s">
        <v>100</v>
      </c>
      <c r="D884" s="1169" t="s">
        <v>100</v>
      </c>
      <c r="E884" s="1169" t="s">
        <v>100</v>
      </c>
      <c r="F884" s="1168" t="s">
        <v>100</v>
      </c>
      <c r="G884" s="1168" t="s">
        <v>100</v>
      </c>
    </row>
    <row r="885" spans="1:7" ht="19.5" customHeight="1">
      <c r="A885" s="1155">
        <v>42382</v>
      </c>
      <c r="B885" s="1166">
        <v>325</v>
      </c>
      <c r="C885" s="1169" t="s">
        <v>100</v>
      </c>
      <c r="D885" s="1169" t="s">
        <v>100</v>
      </c>
      <c r="E885" s="1169" t="s">
        <v>100</v>
      </c>
      <c r="F885" s="1168" t="s">
        <v>100</v>
      </c>
      <c r="G885" s="1168" t="s">
        <v>100</v>
      </c>
    </row>
    <row r="886" spans="1:7" ht="19.5" customHeight="1">
      <c r="A886" s="1155">
        <v>42383</v>
      </c>
      <c r="B886" s="1166">
        <v>333</v>
      </c>
      <c r="C886" s="1169" t="s">
        <v>100</v>
      </c>
      <c r="D886" s="1169" t="s">
        <v>100</v>
      </c>
      <c r="E886" s="1169" t="s">
        <v>100</v>
      </c>
      <c r="F886" s="1168" t="s">
        <v>100</v>
      </c>
      <c r="G886" s="1168" t="s">
        <v>100</v>
      </c>
    </row>
    <row r="887" spans="1:7" ht="19.5" customHeight="1">
      <c r="A887" s="1155">
        <v>42384</v>
      </c>
      <c r="B887" s="1166">
        <v>323</v>
      </c>
      <c r="C887" s="1169">
        <v>203.99999999999997</v>
      </c>
      <c r="D887" s="1169">
        <v>132</v>
      </c>
      <c r="E887" s="1169">
        <v>159.99999999999997</v>
      </c>
      <c r="F887" s="1168">
        <v>37.7252515796864</v>
      </c>
      <c r="G887" s="1168">
        <v>4.5993377483443707</v>
      </c>
    </row>
    <row r="888" spans="1:7" ht="19.5" customHeight="1">
      <c r="A888" s="1155">
        <v>42385</v>
      </c>
      <c r="B888" s="1166">
        <v>314</v>
      </c>
      <c r="C888" s="1169" t="s">
        <v>100</v>
      </c>
      <c r="D888" s="1169" t="s">
        <v>100</v>
      </c>
      <c r="E888" s="1169" t="s">
        <v>100</v>
      </c>
      <c r="F888" s="1168" t="s">
        <v>100</v>
      </c>
      <c r="G888" s="1168" t="s">
        <v>100</v>
      </c>
    </row>
    <row r="889" spans="1:7" ht="19.5" customHeight="1">
      <c r="A889" s="1155">
        <v>42386</v>
      </c>
      <c r="B889" s="1166">
        <v>319</v>
      </c>
      <c r="C889" s="1169" t="s">
        <v>100</v>
      </c>
      <c r="D889" s="1169" t="s">
        <v>100</v>
      </c>
      <c r="E889" s="1169" t="s">
        <v>100</v>
      </c>
      <c r="F889" s="1168" t="s">
        <v>100</v>
      </c>
      <c r="G889" s="1168" t="s">
        <v>100</v>
      </c>
    </row>
    <row r="890" spans="1:7" ht="19.5" customHeight="1">
      <c r="A890" s="1155">
        <v>42387</v>
      </c>
      <c r="B890" s="1166">
        <v>317</v>
      </c>
      <c r="C890" s="1169" t="s">
        <v>100</v>
      </c>
      <c r="D890" s="1169" t="s">
        <v>100</v>
      </c>
      <c r="E890" s="1169" t="s">
        <v>100</v>
      </c>
      <c r="F890" s="1168" t="s">
        <v>100</v>
      </c>
      <c r="G890" s="1168" t="s">
        <v>100</v>
      </c>
    </row>
    <row r="891" spans="1:7" ht="19.5" customHeight="1">
      <c r="A891" s="1155">
        <v>42388</v>
      </c>
      <c r="B891" s="1166">
        <v>317</v>
      </c>
      <c r="C891" s="1169" t="s">
        <v>100</v>
      </c>
      <c r="D891" s="1169" t="s">
        <v>100</v>
      </c>
      <c r="E891" s="1169" t="s">
        <v>100</v>
      </c>
      <c r="F891" s="1168" t="s">
        <v>100</v>
      </c>
      <c r="G891" s="1168" t="s">
        <v>100</v>
      </c>
    </row>
    <row r="892" spans="1:7" ht="19.5" customHeight="1">
      <c r="A892" s="1155">
        <v>42389</v>
      </c>
      <c r="B892" s="1166">
        <v>318</v>
      </c>
      <c r="C892" s="1169" t="s">
        <v>100</v>
      </c>
      <c r="D892" s="1169" t="s">
        <v>100</v>
      </c>
      <c r="E892" s="1169" t="s">
        <v>100</v>
      </c>
      <c r="F892" s="1168" t="s">
        <v>100</v>
      </c>
      <c r="G892" s="1168" t="s">
        <v>100</v>
      </c>
    </row>
    <row r="893" spans="1:7" ht="19.5" customHeight="1">
      <c r="A893" s="1155">
        <v>42390</v>
      </c>
      <c r="B893" s="1166">
        <v>315</v>
      </c>
      <c r="C893" s="1169" t="s">
        <v>100</v>
      </c>
      <c r="D893" s="1169" t="s">
        <v>100</v>
      </c>
      <c r="E893" s="1169" t="s">
        <v>100</v>
      </c>
      <c r="F893" s="1168" t="s">
        <v>100</v>
      </c>
      <c r="G893" s="1168" t="s">
        <v>100</v>
      </c>
    </row>
    <row r="894" spans="1:7" ht="19.5" customHeight="1">
      <c r="A894" s="1155">
        <v>42391</v>
      </c>
      <c r="B894" s="1166">
        <v>313</v>
      </c>
      <c r="C894" s="1169">
        <v>210</v>
      </c>
      <c r="D894" s="1169">
        <v>136</v>
      </c>
      <c r="E894" s="1169">
        <v>166.66666666666683</v>
      </c>
      <c r="F894" s="1168">
        <v>37.63164053358296</v>
      </c>
      <c r="G894" s="1168">
        <v>4.5812763395544849</v>
      </c>
    </row>
    <row r="895" spans="1:7" ht="19.5" customHeight="1">
      <c r="A895" s="1155">
        <v>42392</v>
      </c>
      <c r="B895" s="1166">
        <v>322</v>
      </c>
      <c r="C895" s="1169" t="s">
        <v>100</v>
      </c>
      <c r="D895" s="1169" t="s">
        <v>100</v>
      </c>
      <c r="E895" s="1169" t="s">
        <v>100</v>
      </c>
      <c r="F895" s="1168" t="s">
        <v>100</v>
      </c>
      <c r="G895" s="1168" t="s">
        <v>100</v>
      </c>
    </row>
    <row r="896" spans="1:7" ht="19.5" customHeight="1">
      <c r="A896" s="1155">
        <v>42393</v>
      </c>
      <c r="B896" s="1166">
        <v>319</v>
      </c>
      <c r="C896" s="1169" t="s">
        <v>100</v>
      </c>
      <c r="D896" s="1169" t="s">
        <v>100</v>
      </c>
      <c r="E896" s="1169" t="s">
        <v>100</v>
      </c>
      <c r="F896" s="1168" t="s">
        <v>100</v>
      </c>
      <c r="G896" s="1168" t="s">
        <v>100</v>
      </c>
    </row>
    <row r="897" spans="1:7" ht="19.5" customHeight="1">
      <c r="A897" s="1155">
        <v>42394</v>
      </c>
      <c r="B897" s="1166">
        <v>319</v>
      </c>
      <c r="C897" s="1169" t="s">
        <v>100</v>
      </c>
      <c r="D897" s="1169" t="s">
        <v>100</v>
      </c>
      <c r="E897" s="1169" t="s">
        <v>100</v>
      </c>
      <c r="F897" s="1168" t="s">
        <v>100</v>
      </c>
      <c r="G897" s="1168" t="s">
        <v>100</v>
      </c>
    </row>
    <row r="898" spans="1:7" ht="19.5" customHeight="1">
      <c r="A898" s="1155">
        <v>42395</v>
      </c>
      <c r="B898" s="1166">
        <v>336</v>
      </c>
      <c r="C898" s="1169" t="s">
        <v>100</v>
      </c>
      <c r="D898" s="1169" t="s">
        <v>100</v>
      </c>
      <c r="E898" s="1169" t="s">
        <v>100</v>
      </c>
      <c r="F898" s="1168" t="s">
        <v>100</v>
      </c>
      <c r="G898" s="1168" t="s">
        <v>100</v>
      </c>
    </row>
    <row r="899" spans="1:7" ht="19.5" customHeight="1">
      <c r="A899" s="1155">
        <v>42396</v>
      </c>
      <c r="B899" s="1166">
        <v>201</v>
      </c>
      <c r="C899" s="1169" t="s">
        <v>100</v>
      </c>
      <c r="D899" s="1169" t="s">
        <v>100</v>
      </c>
      <c r="E899" s="1169" t="s">
        <v>100</v>
      </c>
      <c r="F899" s="1168" t="s">
        <v>100</v>
      </c>
      <c r="G899" s="1168" t="s">
        <v>100</v>
      </c>
    </row>
    <row r="900" spans="1:7" ht="19.5" customHeight="1">
      <c r="A900" s="1155">
        <v>42397</v>
      </c>
      <c r="B900" s="1166">
        <v>320</v>
      </c>
      <c r="C900" s="1169" t="s">
        <v>100</v>
      </c>
      <c r="D900" s="1169" t="s">
        <v>100</v>
      </c>
      <c r="E900" s="1169" t="s">
        <v>100</v>
      </c>
      <c r="F900" s="1168" t="s">
        <v>100</v>
      </c>
      <c r="G900" s="1168" t="s">
        <v>100</v>
      </c>
    </row>
    <row r="901" spans="1:7" ht="19.5" customHeight="1">
      <c r="A901" s="1155">
        <v>42398</v>
      </c>
      <c r="B901" s="1166">
        <v>325</v>
      </c>
      <c r="C901" s="1169">
        <v>215.99999999999997</v>
      </c>
      <c r="D901" s="1169">
        <v>143.99999999999997</v>
      </c>
      <c r="E901" s="1169">
        <v>173.33333333333323</v>
      </c>
      <c r="F901" s="1168">
        <v>37.47562212341056</v>
      </c>
      <c r="G901" s="1168">
        <v>4.6083684527393132</v>
      </c>
    </row>
    <row r="902" spans="1:7" ht="19.5" customHeight="1">
      <c r="A902" s="1155">
        <v>42399</v>
      </c>
      <c r="B902" s="1166">
        <v>328</v>
      </c>
      <c r="C902" s="1169" t="s">
        <v>100</v>
      </c>
      <c r="D902" s="1169" t="s">
        <v>100</v>
      </c>
      <c r="E902" s="1169" t="s">
        <v>100</v>
      </c>
      <c r="F902" s="1168" t="s">
        <v>100</v>
      </c>
      <c r="G902" s="1168" t="s">
        <v>100</v>
      </c>
    </row>
    <row r="903" spans="1:7" ht="19.5" customHeight="1">
      <c r="A903" s="1155">
        <v>42400</v>
      </c>
      <c r="B903" s="1166">
        <v>332</v>
      </c>
      <c r="C903" s="1169" t="s">
        <v>100</v>
      </c>
      <c r="D903" s="1169" t="s">
        <v>100</v>
      </c>
      <c r="E903" s="1169" t="s">
        <v>100</v>
      </c>
      <c r="F903" s="1168" t="s">
        <v>100</v>
      </c>
      <c r="G903" s="1168" t="s">
        <v>100</v>
      </c>
    </row>
    <row r="904" spans="1:7" ht="19.5" customHeight="1">
      <c r="A904" s="1155">
        <v>42401</v>
      </c>
      <c r="B904" s="1166">
        <v>254</v>
      </c>
      <c r="C904" s="1169" t="s">
        <v>100</v>
      </c>
      <c r="D904" s="1169" t="s">
        <v>100</v>
      </c>
      <c r="E904" s="1169" t="s">
        <v>100</v>
      </c>
      <c r="F904" s="1168" t="s">
        <v>100</v>
      </c>
      <c r="G904" s="1168" t="s">
        <v>100</v>
      </c>
    </row>
    <row r="905" spans="1:7" ht="19.5" customHeight="1">
      <c r="A905" s="1155">
        <v>42402</v>
      </c>
      <c r="B905" s="1166">
        <v>307</v>
      </c>
      <c r="C905" s="1169" t="s">
        <v>100</v>
      </c>
      <c r="D905" s="1169" t="s">
        <v>100</v>
      </c>
      <c r="E905" s="1169" t="s">
        <v>100</v>
      </c>
      <c r="F905" s="1168" t="s">
        <v>100</v>
      </c>
      <c r="G905" s="1168" t="s">
        <v>100</v>
      </c>
    </row>
    <row r="906" spans="1:7" ht="19.5" customHeight="1">
      <c r="A906" s="1155">
        <v>42403</v>
      </c>
      <c r="B906" s="1166">
        <v>309</v>
      </c>
      <c r="C906" s="1169" t="s">
        <v>100</v>
      </c>
      <c r="D906" s="1169" t="s">
        <v>100</v>
      </c>
      <c r="E906" s="1169" t="s">
        <v>100</v>
      </c>
      <c r="F906" s="1168" t="s">
        <v>100</v>
      </c>
      <c r="G906" s="1168" t="s">
        <v>100</v>
      </c>
    </row>
    <row r="907" spans="1:7" ht="19.5" customHeight="1">
      <c r="A907" s="1155">
        <v>42404</v>
      </c>
      <c r="B907" s="1166">
        <v>315</v>
      </c>
      <c r="C907" s="1169" t="s">
        <v>100</v>
      </c>
      <c r="D907" s="1169" t="s">
        <v>100</v>
      </c>
      <c r="E907" s="1169" t="s">
        <v>100</v>
      </c>
      <c r="F907" s="1168" t="s">
        <v>100</v>
      </c>
      <c r="G907" s="1168" t="s">
        <v>100</v>
      </c>
    </row>
    <row r="908" spans="1:7" ht="19.5" customHeight="1">
      <c r="A908" s="1155">
        <v>42405</v>
      </c>
      <c r="B908" s="1166">
        <v>319</v>
      </c>
      <c r="C908" s="1169">
        <v>210</v>
      </c>
      <c r="D908" s="1169">
        <v>140</v>
      </c>
      <c r="E908" s="1169">
        <v>176.66666666666663</v>
      </c>
      <c r="F908" s="1168">
        <v>37.69404789765192</v>
      </c>
      <c r="G908" s="1168">
        <v>4.6309452137266698</v>
      </c>
    </row>
    <row r="909" spans="1:7" ht="19.5" customHeight="1">
      <c r="A909" s="1155">
        <v>42406</v>
      </c>
      <c r="B909" s="1166">
        <v>313</v>
      </c>
      <c r="C909" s="1169" t="s">
        <v>100</v>
      </c>
      <c r="D909" s="1169" t="s">
        <v>100</v>
      </c>
      <c r="E909" s="1169" t="s">
        <v>100</v>
      </c>
      <c r="F909" s="1168" t="s">
        <v>100</v>
      </c>
      <c r="G909" s="1168" t="s">
        <v>100</v>
      </c>
    </row>
    <row r="910" spans="1:7" ht="19.5" customHeight="1">
      <c r="A910" s="1155">
        <v>42407</v>
      </c>
      <c r="B910" s="1166">
        <v>316</v>
      </c>
      <c r="C910" s="1169" t="s">
        <v>100</v>
      </c>
      <c r="D910" s="1169" t="s">
        <v>100</v>
      </c>
      <c r="E910" s="1169" t="s">
        <v>100</v>
      </c>
      <c r="F910" s="1168" t="s">
        <v>100</v>
      </c>
      <c r="G910" s="1168" t="s">
        <v>100</v>
      </c>
    </row>
    <row r="911" spans="1:7" ht="19.5" customHeight="1">
      <c r="A911" s="1155">
        <v>42408</v>
      </c>
      <c r="B911" s="1166">
        <v>306</v>
      </c>
      <c r="C911" s="1169" t="s">
        <v>100</v>
      </c>
      <c r="D911" s="1169" t="s">
        <v>100</v>
      </c>
      <c r="E911" s="1169" t="s">
        <v>100</v>
      </c>
      <c r="F911" s="1168" t="s">
        <v>100</v>
      </c>
      <c r="G911" s="1168" t="s">
        <v>100</v>
      </c>
    </row>
    <row r="912" spans="1:7" ht="19.5" customHeight="1">
      <c r="A912" s="1155">
        <v>42409</v>
      </c>
      <c r="B912" s="1166">
        <v>318</v>
      </c>
      <c r="C912" s="1169" t="s">
        <v>100</v>
      </c>
      <c r="D912" s="1169" t="s">
        <v>100</v>
      </c>
      <c r="E912" s="1169" t="s">
        <v>100</v>
      </c>
      <c r="F912" s="1168" t="s">
        <v>100</v>
      </c>
      <c r="G912" s="1168" t="s">
        <v>100</v>
      </c>
    </row>
    <row r="913" spans="1:7" ht="19.5" customHeight="1">
      <c r="A913" s="1155">
        <v>42410</v>
      </c>
      <c r="B913" s="1166">
        <v>313</v>
      </c>
      <c r="C913" s="1169" t="s">
        <v>100</v>
      </c>
      <c r="D913" s="1169" t="s">
        <v>100</v>
      </c>
      <c r="E913" s="1169" t="s">
        <v>100</v>
      </c>
      <c r="F913" s="1168" t="s">
        <v>100</v>
      </c>
      <c r="G913" s="1168" t="s">
        <v>100</v>
      </c>
    </row>
    <row r="914" spans="1:7" ht="19.5" customHeight="1">
      <c r="A914" s="1155">
        <v>42411</v>
      </c>
      <c r="B914" s="1166">
        <v>312</v>
      </c>
      <c r="C914" s="1169" t="s">
        <v>100</v>
      </c>
      <c r="D914" s="1169" t="s">
        <v>100</v>
      </c>
      <c r="E914" s="1169" t="s">
        <v>100</v>
      </c>
      <c r="F914" s="1168" t="s">
        <v>100</v>
      </c>
      <c r="G914" s="1168" t="s">
        <v>100</v>
      </c>
    </row>
    <row r="915" spans="1:7" ht="19.5" customHeight="1">
      <c r="A915" s="1155">
        <v>42412</v>
      </c>
      <c r="B915" s="1166">
        <v>317</v>
      </c>
      <c r="C915" s="1169">
        <v>221.99999999999994</v>
      </c>
      <c r="D915" s="1169">
        <v>136.00000000000003</v>
      </c>
      <c r="E915" s="1169">
        <v>173.33333333333368</v>
      </c>
      <c r="F915" s="1168">
        <v>38.099695764100169</v>
      </c>
      <c r="G915" s="1168">
        <v>4.5541842263696566</v>
      </c>
    </row>
    <row r="916" spans="1:7" ht="19.5" customHeight="1">
      <c r="A916" s="1155">
        <v>42413</v>
      </c>
      <c r="B916" s="1166">
        <v>312</v>
      </c>
      <c r="C916" s="1169" t="s">
        <v>100</v>
      </c>
      <c r="D916" s="1169" t="s">
        <v>100</v>
      </c>
      <c r="E916" s="1169" t="s">
        <v>100</v>
      </c>
      <c r="F916" s="1168" t="s">
        <v>100</v>
      </c>
      <c r="G916" s="1168" t="s">
        <v>100</v>
      </c>
    </row>
    <row r="917" spans="1:7" ht="19.5" customHeight="1">
      <c r="A917" s="1155">
        <v>42414</v>
      </c>
      <c r="B917" s="1166">
        <v>314</v>
      </c>
      <c r="C917" s="1169" t="s">
        <v>100</v>
      </c>
      <c r="D917" s="1169" t="s">
        <v>100</v>
      </c>
      <c r="E917" s="1169" t="s">
        <v>100</v>
      </c>
      <c r="F917" s="1168" t="s">
        <v>100</v>
      </c>
      <c r="G917" s="1168" t="s">
        <v>100</v>
      </c>
    </row>
    <row r="918" spans="1:7" ht="19.5" customHeight="1">
      <c r="A918" s="1155">
        <v>42415</v>
      </c>
      <c r="B918" s="1166">
        <v>313</v>
      </c>
      <c r="C918" s="1169" t="s">
        <v>100</v>
      </c>
      <c r="D918" s="1169" t="s">
        <v>100</v>
      </c>
      <c r="E918" s="1169" t="s">
        <v>100</v>
      </c>
      <c r="F918" s="1168" t="s">
        <v>100</v>
      </c>
      <c r="G918" s="1168" t="s">
        <v>100</v>
      </c>
    </row>
    <row r="919" spans="1:7" ht="19.5" customHeight="1">
      <c r="A919" s="1155">
        <v>42416</v>
      </c>
      <c r="B919" s="1166">
        <v>312</v>
      </c>
      <c r="C919" s="1169" t="s">
        <v>100</v>
      </c>
      <c r="D919" s="1169" t="s">
        <v>100</v>
      </c>
      <c r="E919" s="1169" t="s">
        <v>100</v>
      </c>
      <c r="F919" s="1168" t="s">
        <v>100</v>
      </c>
      <c r="G919" s="1168" t="s">
        <v>100</v>
      </c>
    </row>
    <row r="920" spans="1:7" ht="19.5" customHeight="1">
      <c r="A920" s="1155">
        <v>42417</v>
      </c>
      <c r="B920" s="1166">
        <v>307</v>
      </c>
      <c r="C920" s="1169" t="s">
        <v>100</v>
      </c>
      <c r="D920" s="1169" t="s">
        <v>100</v>
      </c>
      <c r="E920" s="1169" t="s">
        <v>100</v>
      </c>
      <c r="F920" s="1168" t="s">
        <v>100</v>
      </c>
      <c r="G920" s="1168" t="s">
        <v>100</v>
      </c>
    </row>
    <row r="921" spans="1:7" ht="19.5" customHeight="1">
      <c r="A921" s="1155">
        <v>42418</v>
      </c>
      <c r="B921" s="1166">
        <v>311</v>
      </c>
      <c r="C921" s="1169" t="s">
        <v>100</v>
      </c>
      <c r="D921" s="1169" t="s">
        <v>100</v>
      </c>
      <c r="E921" s="1169" t="s">
        <v>100</v>
      </c>
      <c r="F921" s="1168" t="s">
        <v>100</v>
      </c>
      <c r="G921" s="1168" t="s">
        <v>100</v>
      </c>
    </row>
    <row r="922" spans="1:7" ht="19.5" customHeight="1">
      <c r="A922" s="1155">
        <v>42419</v>
      </c>
      <c r="B922" s="1166">
        <v>300</v>
      </c>
      <c r="C922" s="1169">
        <v>215.99999999999997</v>
      </c>
      <c r="D922" s="1169">
        <v>143.99999999999997</v>
      </c>
      <c r="E922" s="1169">
        <v>180.00000000000009</v>
      </c>
      <c r="F922" s="1168">
        <v>38.879787814962171</v>
      </c>
      <c r="G922" s="1168">
        <v>4.6986754966887414</v>
      </c>
    </row>
    <row r="923" spans="1:7" ht="19.5" customHeight="1">
      <c r="A923" s="1155">
        <v>42420</v>
      </c>
      <c r="B923" s="1166">
        <v>309</v>
      </c>
      <c r="C923" s="1169" t="s">
        <v>100</v>
      </c>
      <c r="D923" s="1169" t="s">
        <v>100</v>
      </c>
      <c r="E923" s="1169" t="s">
        <v>100</v>
      </c>
      <c r="F923" s="1168" t="s">
        <v>100</v>
      </c>
      <c r="G923" s="1168" t="s">
        <v>100</v>
      </c>
    </row>
    <row r="924" spans="1:7" ht="19.5" customHeight="1">
      <c r="A924" s="1155">
        <v>42421</v>
      </c>
      <c r="B924" s="1166">
        <v>310</v>
      </c>
      <c r="C924" s="1169" t="s">
        <v>100</v>
      </c>
      <c r="D924" s="1169" t="s">
        <v>100</v>
      </c>
      <c r="E924" s="1169" t="s">
        <v>100</v>
      </c>
      <c r="F924" s="1168" t="s">
        <v>100</v>
      </c>
      <c r="G924" s="1168" t="s">
        <v>100</v>
      </c>
    </row>
    <row r="925" spans="1:7" ht="19.5" customHeight="1">
      <c r="A925" s="1155">
        <v>42422</v>
      </c>
      <c r="B925" s="1166">
        <v>310</v>
      </c>
      <c r="C925" s="1169" t="s">
        <v>100</v>
      </c>
      <c r="D925" s="1169" t="s">
        <v>100</v>
      </c>
      <c r="E925" s="1169" t="s">
        <v>100</v>
      </c>
      <c r="F925" s="1168" t="s">
        <v>100</v>
      </c>
      <c r="G925" s="1168" t="s">
        <v>100</v>
      </c>
    </row>
    <row r="926" spans="1:7" ht="19.5" customHeight="1">
      <c r="A926" s="1155">
        <v>42423</v>
      </c>
      <c r="B926" s="1166">
        <v>307</v>
      </c>
      <c r="C926" s="1169" t="s">
        <v>100</v>
      </c>
      <c r="D926" s="1169" t="s">
        <v>100</v>
      </c>
      <c r="E926" s="1169" t="s">
        <v>100</v>
      </c>
      <c r="F926" s="1168" t="s">
        <v>100</v>
      </c>
      <c r="G926" s="1168" t="s">
        <v>100</v>
      </c>
    </row>
    <row r="927" spans="1:7" ht="19.5" customHeight="1">
      <c r="A927" s="1155">
        <v>42424</v>
      </c>
      <c r="B927" s="1166">
        <v>210</v>
      </c>
      <c r="C927" s="1169" t="s">
        <v>100</v>
      </c>
      <c r="D927" s="1169" t="s">
        <v>100</v>
      </c>
      <c r="E927" s="1169" t="s">
        <v>100</v>
      </c>
      <c r="F927" s="1168" t="s">
        <v>100</v>
      </c>
      <c r="G927" s="1168" t="s">
        <v>100</v>
      </c>
    </row>
    <row r="928" spans="1:7" ht="19.5" customHeight="1">
      <c r="A928" s="1155">
        <v>42425</v>
      </c>
      <c r="B928" s="1166">
        <v>307</v>
      </c>
      <c r="C928" s="1169" t="s">
        <v>100</v>
      </c>
      <c r="D928" s="1169" t="s">
        <v>100</v>
      </c>
      <c r="E928" s="1169" t="s">
        <v>100</v>
      </c>
      <c r="F928" s="1168" t="s">
        <v>100</v>
      </c>
      <c r="G928" s="1168" t="s">
        <v>100</v>
      </c>
    </row>
    <row r="929" spans="1:7" ht="19.5" customHeight="1">
      <c r="A929" s="1155">
        <v>42426</v>
      </c>
      <c r="B929" s="1166">
        <v>313</v>
      </c>
      <c r="C929" s="1169">
        <v>203.99999999999997</v>
      </c>
      <c r="D929" s="1169">
        <v>140</v>
      </c>
      <c r="E929" s="1169">
        <v>176.66666666666711</v>
      </c>
      <c r="F929" s="1168">
        <v>38.973398861065597</v>
      </c>
      <c r="G929" s="1168">
        <v>4.6625526791089698</v>
      </c>
    </row>
    <row r="930" spans="1:7" ht="19.5" customHeight="1">
      <c r="A930" s="1155">
        <v>42427</v>
      </c>
      <c r="B930" s="1166">
        <v>309</v>
      </c>
      <c r="C930" s="1169" t="s">
        <v>100</v>
      </c>
      <c r="D930" s="1169" t="s">
        <v>100</v>
      </c>
      <c r="E930" s="1169" t="s">
        <v>100</v>
      </c>
      <c r="F930" s="1168" t="s">
        <v>100</v>
      </c>
      <c r="G930" s="1168" t="s">
        <v>100</v>
      </c>
    </row>
    <row r="931" spans="1:7" ht="19.5" customHeight="1">
      <c r="A931" s="1155">
        <v>42428</v>
      </c>
      <c r="B931" s="1166">
        <v>314</v>
      </c>
      <c r="C931" s="1169" t="s">
        <v>100</v>
      </c>
      <c r="D931" s="1169" t="s">
        <v>100</v>
      </c>
      <c r="E931" s="1169" t="s">
        <v>100</v>
      </c>
      <c r="F931" s="1168" t="s">
        <v>100</v>
      </c>
      <c r="G931" s="1168" t="s">
        <v>100</v>
      </c>
    </row>
    <row r="932" spans="1:7" ht="19.5" customHeight="1">
      <c r="A932" s="1155">
        <v>42429</v>
      </c>
      <c r="B932" s="1166">
        <v>311</v>
      </c>
      <c r="C932" s="1169" t="s">
        <v>100</v>
      </c>
      <c r="D932" s="1169" t="s">
        <v>100</v>
      </c>
      <c r="E932" s="1169" t="s">
        <v>100</v>
      </c>
      <c r="F932" s="1168" t="s">
        <v>100</v>
      </c>
      <c r="G932" s="1168" t="s">
        <v>100</v>
      </c>
    </row>
    <row r="933" spans="1:7" ht="19.5" customHeight="1">
      <c r="A933" s="1155">
        <v>42430</v>
      </c>
      <c r="B933" s="1166">
        <v>316</v>
      </c>
      <c r="C933" s="1171" t="s">
        <v>100</v>
      </c>
      <c r="D933" s="1171" t="s">
        <v>100</v>
      </c>
      <c r="E933" s="1171" t="s">
        <v>100</v>
      </c>
      <c r="F933" s="1168" t="s">
        <v>100</v>
      </c>
      <c r="G933" s="1168" t="s">
        <v>100</v>
      </c>
    </row>
    <row r="934" spans="1:7" ht="19.5" customHeight="1">
      <c r="A934" s="1155">
        <v>42431</v>
      </c>
      <c r="B934" s="1166">
        <v>310</v>
      </c>
      <c r="C934" s="1171" t="s">
        <v>100</v>
      </c>
      <c r="D934" s="1171" t="s">
        <v>100</v>
      </c>
      <c r="E934" s="1171" t="s">
        <v>100</v>
      </c>
      <c r="F934" s="1168" t="s">
        <v>100</v>
      </c>
      <c r="G934" s="1168" t="s">
        <v>100</v>
      </c>
    </row>
    <row r="935" spans="1:7" ht="19.5" customHeight="1">
      <c r="A935" s="1155">
        <v>42432</v>
      </c>
      <c r="B935" s="1166">
        <v>308</v>
      </c>
      <c r="C935" s="1171" t="s">
        <v>100</v>
      </c>
      <c r="D935" s="1171" t="s">
        <v>100</v>
      </c>
      <c r="E935" s="1171" t="s">
        <v>100</v>
      </c>
      <c r="F935" s="1168" t="s">
        <v>100</v>
      </c>
      <c r="G935" s="1168" t="s">
        <v>100</v>
      </c>
    </row>
    <row r="936" spans="1:7" ht="19.5" customHeight="1">
      <c r="A936" s="1155">
        <v>42433</v>
      </c>
      <c r="B936" s="1166">
        <v>313</v>
      </c>
      <c r="C936" s="1171">
        <v>215.99999999999997</v>
      </c>
      <c r="D936" s="1171">
        <v>143.99999999999997</v>
      </c>
      <c r="E936" s="1171">
        <v>193.3333333333338</v>
      </c>
      <c r="F936" s="1168">
        <v>39.722287229893119</v>
      </c>
      <c r="G936" s="1168">
        <v>4.6806140878988556</v>
      </c>
    </row>
    <row r="937" spans="1:7" ht="19.5" customHeight="1">
      <c r="A937" s="1155">
        <v>42434</v>
      </c>
      <c r="B937" s="1166">
        <v>313</v>
      </c>
      <c r="C937" s="1171" t="s">
        <v>100</v>
      </c>
      <c r="D937" s="1171" t="s">
        <v>100</v>
      </c>
      <c r="E937" s="1171" t="s">
        <v>100</v>
      </c>
      <c r="F937" s="1168" t="s">
        <v>100</v>
      </c>
      <c r="G937" s="1168" t="s">
        <v>100</v>
      </c>
    </row>
    <row r="938" spans="1:7" ht="19.5" customHeight="1">
      <c r="A938" s="1155">
        <v>42435</v>
      </c>
      <c r="B938" s="1166">
        <v>310</v>
      </c>
      <c r="C938" s="1171" t="s">
        <v>100</v>
      </c>
      <c r="D938" s="1171" t="s">
        <v>100</v>
      </c>
      <c r="E938" s="1171" t="s">
        <v>100</v>
      </c>
      <c r="F938" s="1168" t="s">
        <v>100</v>
      </c>
      <c r="G938" s="1168" t="s">
        <v>100</v>
      </c>
    </row>
    <row r="939" spans="1:7" ht="19.5" customHeight="1">
      <c r="A939" s="1155">
        <v>42436</v>
      </c>
      <c r="B939" s="1166">
        <v>309</v>
      </c>
      <c r="C939" s="1171" t="s">
        <v>100</v>
      </c>
      <c r="D939" s="1171" t="s">
        <v>100</v>
      </c>
      <c r="E939" s="1171" t="s">
        <v>100</v>
      </c>
      <c r="F939" s="1168" t="s">
        <v>100</v>
      </c>
      <c r="G939" s="1168" t="s">
        <v>100</v>
      </c>
    </row>
    <row r="940" spans="1:7" ht="19.5" customHeight="1">
      <c r="A940" s="1155">
        <v>42437</v>
      </c>
      <c r="B940" s="1166">
        <v>310</v>
      </c>
      <c r="C940" s="1171" t="s">
        <v>100</v>
      </c>
      <c r="D940" s="1171" t="s">
        <v>100</v>
      </c>
      <c r="E940" s="1171" t="s">
        <v>100</v>
      </c>
      <c r="F940" s="1168" t="s">
        <v>100</v>
      </c>
      <c r="G940" s="1168" t="s">
        <v>100</v>
      </c>
    </row>
    <row r="941" spans="1:7" ht="19.5" customHeight="1">
      <c r="A941" s="1155">
        <v>42438</v>
      </c>
      <c r="B941" s="1166">
        <v>308</v>
      </c>
      <c r="C941" s="1171" t="s">
        <v>100</v>
      </c>
      <c r="D941" s="1171" t="s">
        <v>100</v>
      </c>
      <c r="E941" s="1171" t="s">
        <v>100</v>
      </c>
      <c r="F941" s="1168" t="s">
        <v>100</v>
      </c>
      <c r="G941" s="1168" t="s">
        <v>100</v>
      </c>
    </row>
    <row r="942" spans="1:7" ht="19.5" customHeight="1">
      <c r="A942" s="1155">
        <v>42439</v>
      </c>
      <c r="B942" s="1166">
        <v>306</v>
      </c>
      <c r="C942" s="1171" t="s">
        <v>100</v>
      </c>
      <c r="D942" s="1171" t="s">
        <v>100</v>
      </c>
      <c r="E942" s="1171" t="s">
        <v>100</v>
      </c>
      <c r="F942" s="1168" t="s">
        <v>100</v>
      </c>
      <c r="G942" s="1168" t="s">
        <v>100</v>
      </c>
    </row>
    <row r="943" spans="1:7" ht="19.5" customHeight="1">
      <c r="A943" s="1155">
        <v>42440</v>
      </c>
      <c r="B943" s="1166">
        <v>303</v>
      </c>
      <c r="C943" s="1171">
        <v>245.99999999999997</v>
      </c>
      <c r="D943" s="1171">
        <v>156</v>
      </c>
      <c r="E943" s="1171">
        <v>213.33333333333346</v>
      </c>
      <c r="F943" s="1168">
        <v>39.9095093221</v>
      </c>
      <c r="G943" s="1168">
        <v>4.721252257676098</v>
      </c>
    </row>
    <row r="944" spans="1:7" ht="19.5" customHeight="1">
      <c r="A944" s="1155">
        <v>42441</v>
      </c>
      <c r="B944" s="1166">
        <v>306</v>
      </c>
      <c r="C944" s="1171" t="s">
        <v>100</v>
      </c>
      <c r="D944" s="1171" t="s">
        <v>100</v>
      </c>
      <c r="E944" s="1171" t="s">
        <v>100</v>
      </c>
      <c r="F944" s="1168" t="s">
        <v>100</v>
      </c>
      <c r="G944" s="1168" t="s">
        <v>100</v>
      </c>
    </row>
    <row r="945" spans="1:7" ht="19.5" customHeight="1">
      <c r="A945" s="1155">
        <v>42442</v>
      </c>
      <c r="B945" s="1166">
        <v>302</v>
      </c>
      <c r="C945" s="1171" t="s">
        <v>100</v>
      </c>
      <c r="D945" s="1171" t="s">
        <v>100</v>
      </c>
      <c r="E945" s="1171" t="s">
        <v>100</v>
      </c>
      <c r="F945" s="1168" t="s">
        <v>100</v>
      </c>
      <c r="G945" s="1168" t="s">
        <v>100</v>
      </c>
    </row>
    <row r="946" spans="1:7" ht="19.5" customHeight="1">
      <c r="A946" s="1155">
        <v>42443</v>
      </c>
      <c r="B946" s="1166">
        <v>304</v>
      </c>
      <c r="C946" s="1171" t="s">
        <v>100</v>
      </c>
      <c r="D946" s="1171" t="s">
        <v>100</v>
      </c>
      <c r="E946" s="1171" t="s">
        <v>100</v>
      </c>
      <c r="F946" s="1168" t="s">
        <v>100</v>
      </c>
      <c r="G946" s="1168" t="s">
        <v>100</v>
      </c>
    </row>
    <row r="947" spans="1:7" ht="19.5" customHeight="1">
      <c r="A947" s="1155">
        <v>42444</v>
      </c>
      <c r="B947" s="1166">
        <v>16</v>
      </c>
      <c r="C947" s="1171" t="s">
        <v>100</v>
      </c>
      <c r="D947" s="1171" t="s">
        <v>100</v>
      </c>
      <c r="E947" s="1171" t="s">
        <v>100</v>
      </c>
      <c r="F947" s="1168" t="s">
        <v>100</v>
      </c>
      <c r="G947" s="1168" t="s">
        <v>100</v>
      </c>
    </row>
    <row r="948" spans="1:7" ht="19.5" customHeight="1">
      <c r="A948" s="1155">
        <v>42445</v>
      </c>
      <c r="B948" s="1166">
        <v>0</v>
      </c>
      <c r="C948" s="1171" t="s">
        <v>100</v>
      </c>
      <c r="D948" s="1171" t="s">
        <v>100</v>
      </c>
      <c r="E948" s="1171" t="s">
        <v>100</v>
      </c>
      <c r="F948" s="1168" t="s">
        <v>100</v>
      </c>
      <c r="G948" s="1168" t="s">
        <v>100</v>
      </c>
    </row>
    <row r="949" spans="1:7" ht="19.5" customHeight="1">
      <c r="A949" s="1155">
        <v>42446</v>
      </c>
      <c r="B949" s="1166">
        <v>178</v>
      </c>
      <c r="C949" s="1171" t="s">
        <v>100</v>
      </c>
      <c r="D949" s="1171" t="s">
        <v>100</v>
      </c>
      <c r="E949" s="1171" t="s">
        <v>100</v>
      </c>
      <c r="F949" s="1168" t="s">
        <v>100</v>
      </c>
      <c r="G949" s="1168" t="s">
        <v>100</v>
      </c>
    </row>
    <row r="950" spans="1:7" ht="19.5" customHeight="1">
      <c r="A950" s="1155">
        <v>42447</v>
      </c>
      <c r="B950" s="1166">
        <v>295</v>
      </c>
      <c r="C950" s="1171">
        <v>239.99999999999994</v>
      </c>
      <c r="D950" s="1171">
        <v>164</v>
      </c>
      <c r="E950" s="1171">
        <v>219.99999999999983</v>
      </c>
      <c r="F950" s="1168">
        <v>40.065527732272407</v>
      </c>
      <c r="G950" s="1168">
        <v>4.7483443708609263</v>
      </c>
    </row>
    <row r="951" spans="1:7" ht="19.5" customHeight="1">
      <c r="A951" s="1155">
        <v>42448</v>
      </c>
      <c r="B951" s="1166">
        <v>306</v>
      </c>
      <c r="C951" s="1171" t="s">
        <v>100</v>
      </c>
      <c r="D951" s="1169"/>
      <c r="E951" s="1171" t="s">
        <v>100</v>
      </c>
      <c r="F951" s="1168" t="s">
        <v>100</v>
      </c>
      <c r="G951" s="1168" t="s">
        <v>100</v>
      </c>
    </row>
    <row r="952" spans="1:7" ht="19.5" customHeight="1">
      <c r="A952" s="1155">
        <v>42449</v>
      </c>
      <c r="B952" s="1166">
        <v>318</v>
      </c>
      <c r="C952" s="1171" t="s">
        <v>100</v>
      </c>
      <c r="D952" s="1171" t="s">
        <v>100</v>
      </c>
      <c r="E952" s="1171" t="s">
        <v>100</v>
      </c>
      <c r="F952" s="1168" t="s">
        <v>100</v>
      </c>
      <c r="G952" s="1168" t="s">
        <v>100</v>
      </c>
    </row>
    <row r="953" spans="1:7" ht="19.5" customHeight="1">
      <c r="A953" s="1155">
        <v>42450</v>
      </c>
      <c r="B953" s="1166">
        <v>318</v>
      </c>
      <c r="C953" s="1171" t="s">
        <v>100</v>
      </c>
      <c r="D953" s="1171" t="s">
        <v>100</v>
      </c>
      <c r="E953" s="1171" t="s">
        <v>100</v>
      </c>
      <c r="F953" s="1168" t="s">
        <v>100</v>
      </c>
      <c r="G953" s="1168" t="s">
        <v>100</v>
      </c>
    </row>
    <row r="954" spans="1:7" ht="19.5" customHeight="1">
      <c r="A954" s="1155">
        <v>42451</v>
      </c>
      <c r="B954" s="1166">
        <v>317</v>
      </c>
      <c r="C954" s="1171" t="s">
        <v>100</v>
      </c>
      <c r="D954" s="1171" t="s">
        <v>100</v>
      </c>
      <c r="E954" s="1171" t="s">
        <v>100</v>
      </c>
      <c r="F954" s="1168" t="s">
        <v>100</v>
      </c>
      <c r="G954" s="1168" t="s">
        <v>100</v>
      </c>
    </row>
    <row r="955" spans="1:7" ht="19.5" customHeight="1">
      <c r="A955" s="1155">
        <v>42452</v>
      </c>
      <c r="B955" s="1166">
        <v>328</v>
      </c>
      <c r="C955" s="1171" t="s">
        <v>100</v>
      </c>
      <c r="D955" s="1171" t="s">
        <v>100</v>
      </c>
      <c r="E955" s="1171" t="s">
        <v>100</v>
      </c>
      <c r="F955" s="1168" t="s">
        <v>100</v>
      </c>
      <c r="G955" s="1168" t="s">
        <v>100</v>
      </c>
    </row>
    <row r="956" spans="1:7" ht="19.5" customHeight="1">
      <c r="A956" s="1155">
        <v>42453</v>
      </c>
      <c r="B956" s="1166">
        <v>313</v>
      </c>
      <c r="C956" s="1171" t="s">
        <v>100</v>
      </c>
      <c r="D956" s="1171" t="s">
        <v>100</v>
      </c>
      <c r="E956" s="1171" t="s">
        <v>100</v>
      </c>
      <c r="F956" s="1168" t="s">
        <v>100</v>
      </c>
      <c r="G956" s="1168" t="s">
        <v>100</v>
      </c>
    </row>
    <row r="957" spans="1:7" ht="19.5" customHeight="1">
      <c r="A957" s="1155">
        <v>42454</v>
      </c>
      <c r="B957" s="1166">
        <v>313</v>
      </c>
      <c r="C957" s="1171">
        <v>233.99999999999997</v>
      </c>
      <c r="D957" s="1171">
        <v>172</v>
      </c>
      <c r="E957" s="1171">
        <v>226.66666666666671</v>
      </c>
      <c r="F957" s="1168">
        <v>40.315157188548248</v>
      </c>
      <c r="G957" s="1168">
        <v>4.7709211318482838</v>
      </c>
    </row>
    <row r="958" spans="1:7" ht="19.5" customHeight="1">
      <c r="A958" s="1155">
        <v>42455</v>
      </c>
      <c r="B958" s="1166">
        <v>320</v>
      </c>
      <c r="C958" s="1171" t="s">
        <v>100</v>
      </c>
      <c r="D958" s="1171" t="s">
        <v>100</v>
      </c>
      <c r="E958" s="1171" t="s">
        <v>100</v>
      </c>
      <c r="F958" s="1168" t="s">
        <v>100</v>
      </c>
      <c r="G958" s="1168" t="s">
        <v>100</v>
      </c>
    </row>
    <row r="959" spans="1:7" ht="19.5" customHeight="1">
      <c r="A959" s="1155">
        <v>42456</v>
      </c>
      <c r="B959" s="1166">
        <v>327</v>
      </c>
      <c r="C959" s="1171" t="s">
        <v>100</v>
      </c>
      <c r="D959" s="1171" t="s">
        <v>100</v>
      </c>
      <c r="E959" s="1171" t="s">
        <v>100</v>
      </c>
      <c r="F959" s="1168" t="s">
        <v>100</v>
      </c>
      <c r="G959" s="1168" t="s">
        <v>100</v>
      </c>
    </row>
    <row r="960" spans="1:7" ht="19.5" customHeight="1">
      <c r="A960" s="1155">
        <v>42457</v>
      </c>
      <c r="B960" s="1166">
        <v>310</v>
      </c>
      <c r="C960" s="1171" t="s">
        <v>100</v>
      </c>
      <c r="D960" s="1171" t="s">
        <v>100</v>
      </c>
      <c r="E960" s="1171" t="s">
        <v>100</v>
      </c>
      <c r="F960" s="1168" t="s">
        <v>100</v>
      </c>
      <c r="G960" s="1168" t="s">
        <v>100</v>
      </c>
    </row>
    <row r="961" spans="1:7" ht="19.5" customHeight="1">
      <c r="A961" s="1155">
        <v>42458</v>
      </c>
      <c r="B961" s="1166">
        <v>319</v>
      </c>
      <c r="C961" s="1171" t="s">
        <v>100</v>
      </c>
      <c r="D961" s="1171" t="s">
        <v>100</v>
      </c>
      <c r="E961" s="1171" t="s">
        <v>100</v>
      </c>
      <c r="F961" s="1168" t="s">
        <v>100</v>
      </c>
      <c r="G961" s="1168" t="s">
        <v>100</v>
      </c>
    </row>
    <row r="962" spans="1:7" ht="19.5" customHeight="1">
      <c r="A962" s="1155">
        <v>42459</v>
      </c>
      <c r="B962" s="1166">
        <v>317</v>
      </c>
      <c r="C962" s="1171" t="s">
        <v>100</v>
      </c>
      <c r="D962" s="1171" t="s">
        <v>100</v>
      </c>
      <c r="E962" s="1171" t="s">
        <v>100</v>
      </c>
      <c r="F962" s="1168" t="s">
        <v>100</v>
      </c>
      <c r="G962" s="1168" t="s">
        <v>100</v>
      </c>
    </row>
    <row r="963" spans="1:7" ht="19.5" customHeight="1">
      <c r="A963" s="1155">
        <v>42460</v>
      </c>
      <c r="B963" s="1166">
        <v>311</v>
      </c>
      <c r="C963" s="1171" t="s">
        <v>100</v>
      </c>
      <c r="D963" s="1171" t="s">
        <v>100</v>
      </c>
      <c r="E963" s="1171" t="s">
        <v>100</v>
      </c>
      <c r="F963" s="1168" t="s">
        <v>100</v>
      </c>
      <c r="G963" s="1168" t="s">
        <v>100</v>
      </c>
    </row>
    <row r="964" spans="1:7" ht="19.5" customHeight="1">
      <c r="A964" s="1155">
        <v>42461</v>
      </c>
      <c r="B964" s="1166">
        <v>307</v>
      </c>
      <c r="C964" s="1171">
        <v>245.99999999999997</v>
      </c>
      <c r="D964" s="1171">
        <v>176</v>
      </c>
      <c r="E964" s="1171">
        <v>240.0000000000004</v>
      </c>
      <c r="F964" s="1168">
        <v>40.034324050237927</v>
      </c>
      <c r="G964" s="1168">
        <v>4.784467188440698</v>
      </c>
    </row>
    <row r="965" spans="1:7" ht="19.5" customHeight="1">
      <c r="A965" s="1155">
        <v>42462</v>
      </c>
      <c r="B965" s="1166">
        <v>309</v>
      </c>
      <c r="C965" s="1171" t="s">
        <v>100</v>
      </c>
      <c r="D965" s="1171" t="s">
        <v>100</v>
      </c>
      <c r="E965" s="1171" t="s">
        <v>100</v>
      </c>
      <c r="F965" s="1168" t="s">
        <v>100</v>
      </c>
      <c r="G965" s="1168" t="s">
        <v>100</v>
      </c>
    </row>
    <row r="966" spans="1:7" ht="19.5" customHeight="1">
      <c r="A966" s="1155">
        <v>42463</v>
      </c>
      <c r="B966" s="1166">
        <v>308</v>
      </c>
      <c r="C966" s="1171" t="s">
        <v>100</v>
      </c>
      <c r="D966" s="1171" t="s">
        <v>100</v>
      </c>
      <c r="E966" s="1171" t="s">
        <v>100</v>
      </c>
      <c r="F966" s="1168" t="s">
        <v>100</v>
      </c>
      <c r="G966" s="1168" t="s">
        <v>100</v>
      </c>
    </row>
    <row r="967" spans="1:7" ht="19.5" customHeight="1">
      <c r="A967" s="1155">
        <v>42464</v>
      </c>
      <c r="B967" s="1166">
        <v>302</v>
      </c>
      <c r="C967" s="1171" t="s">
        <v>100</v>
      </c>
      <c r="D967" s="1171" t="s">
        <v>100</v>
      </c>
      <c r="E967" s="1171" t="s">
        <v>100</v>
      </c>
      <c r="F967" s="1168" t="s">
        <v>100</v>
      </c>
      <c r="G967" s="1168" t="s">
        <v>100</v>
      </c>
    </row>
    <row r="968" spans="1:7" ht="19.5" customHeight="1">
      <c r="A968" s="1155">
        <v>42465</v>
      </c>
      <c r="B968" s="1166">
        <v>306</v>
      </c>
      <c r="C968" s="1171" t="s">
        <v>100</v>
      </c>
      <c r="D968" s="1171" t="s">
        <v>100</v>
      </c>
      <c r="E968" s="1171" t="s">
        <v>100</v>
      </c>
      <c r="F968" s="1168" t="s">
        <v>100</v>
      </c>
      <c r="G968" s="1168" t="s">
        <v>100</v>
      </c>
    </row>
    <row r="969" spans="1:7" ht="19.5" customHeight="1">
      <c r="A969" s="1155">
        <v>42466</v>
      </c>
      <c r="B969" s="1166">
        <v>304</v>
      </c>
      <c r="C969" s="1171" t="s">
        <v>100</v>
      </c>
      <c r="D969" s="1171" t="s">
        <v>100</v>
      </c>
      <c r="E969" s="1171" t="s">
        <v>100</v>
      </c>
      <c r="F969" s="1168" t="s">
        <v>100</v>
      </c>
      <c r="G969" s="1168" t="s">
        <v>100</v>
      </c>
    </row>
    <row r="970" spans="1:7" ht="19.5" customHeight="1">
      <c r="A970" s="1155">
        <v>42467</v>
      </c>
      <c r="B970" s="1166">
        <v>303</v>
      </c>
      <c r="C970" s="1171" t="s">
        <v>100</v>
      </c>
      <c r="D970" s="1171" t="s">
        <v>100</v>
      </c>
      <c r="E970" s="1171" t="s">
        <v>100</v>
      </c>
      <c r="F970" s="1168" t="s">
        <v>100</v>
      </c>
      <c r="G970" s="1168" t="s">
        <v>100</v>
      </c>
    </row>
    <row r="971" spans="1:7" ht="19.5" customHeight="1">
      <c r="A971" s="1155">
        <v>42468</v>
      </c>
      <c r="B971" s="1166">
        <v>303</v>
      </c>
      <c r="C971" s="1171">
        <v>257.99999999999994</v>
      </c>
      <c r="D971" s="1171">
        <v>180</v>
      </c>
      <c r="E971" s="1171">
        <v>213.33333333333346</v>
      </c>
      <c r="F971" s="1168">
        <v>40.221546142444808</v>
      </c>
      <c r="G971" s="1168">
        <v>4.7980132450331121</v>
      </c>
    </row>
    <row r="972" spans="1:7" ht="19.5" customHeight="1">
      <c r="A972" s="1155">
        <v>42469</v>
      </c>
      <c r="B972" s="1166">
        <v>312</v>
      </c>
      <c r="C972" s="1171" t="s">
        <v>100</v>
      </c>
      <c r="D972" s="1171" t="s">
        <v>100</v>
      </c>
      <c r="E972" s="1171" t="s">
        <v>100</v>
      </c>
      <c r="F972" s="1168" t="s">
        <v>100</v>
      </c>
      <c r="G972" s="1168" t="s">
        <v>100</v>
      </c>
    </row>
    <row r="973" spans="1:7" ht="19.5" customHeight="1">
      <c r="A973" s="1155">
        <v>42470</v>
      </c>
      <c r="B973" s="1166">
        <v>306</v>
      </c>
      <c r="C973" s="1171" t="s">
        <v>100</v>
      </c>
      <c r="D973" s="1171" t="s">
        <v>100</v>
      </c>
      <c r="E973" s="1171" t="s">
        <v>100</v>
      </c>
      <c r="F973" s="1168" t="s">
        <v>100</v>
      </c>
      <c r="G973" s="1168" t="s">
        <v>100</v>
      </c>
    </row>
    <row r="974" spans="1:7" ht="19.5" customHeight="1">
      <c r="A974" s="1155">
        <v>42471</v>
      </c>
      <c r="B974" s="1166">
        <v>309</v>
      </c>
      <c r="C974" s="1171" t="s">
        <v>100</v>
      </c>
      <c r="D974" s="1171" t="s">
        <v>100</v>
      </c>
      <c r="E974" s="1171" t="s">
        <v>100</v>
      </c>
      <c r="F974" s="1168" t="s">
        <v>100</v>
      </c>
      <c r="G974" s="1168" t="s">
        <v>100</v>
      </c>
    </row>
    <row r="975" spans="1:7" ht="19.5" customHeight="1">
      <c r="A975" s="1155">
        <v>42472</v>
      </c>
      <c r="B975" s="1166">
        <v>309</v>
      </c>
      <c r="C975" s="1171" t="s">
        <v>100</v>
      </c>
      <c r="D975" s="1171" t="s">
        <v>100</v>
      </c>
      <c r="E975" s="1171" t="s">
        <v>100</v>
      </c>
      <c r="F975" s="1168" t="s">
        <v>100</v>
      </c>
      <c r="G975" s="1168" t="s">
        <v>100</v>
      </c>
    </row>
    <row r="976" spans="1:7" ht="19.5" customHeight="1">
      <c r="A976" s="1155">
        <v>42473</v>
      </c>
      <c r="B976" s="1166">
        <v>172</v>
      </c>
      <c r="C976" s="1171" t="s">
        <v>100</v>
      </c>
      <c r="D976" s="1171" t="s">
        <v>100</v>
      </c>
      <c r="E976" s="1171" t="s">
        <v>100</v>
      </c>
      <c r="F976" s="1168" t="s">
        <v>100</v>
      </c>
      <c r="G976" s="1168" t="s">
        <v>100</v>
      </c>
    </row>
    <row r="977" spans="1:7" ht="19.5" customHeight="1">
      <c r="A977" s="1155">
        <v>42474</v>
      </c>
      <c r="B977" s="1166">
        <v>0</v>
      </c>
      <c r="C977" s="1171" t="s">
        <v>100</v>
      </c>
      <c r="D977" s="1171" t="s">
        <v>100</v>
      </c>
      <c r="E977" s="1171" t="s">
        <v>100</v>
      </c>
      <c r="F977" s="1168" t="s">
        <v>100</v>
      </c>
      <c r="G977" s="1168" t="s">
        <v>100</v>
      </c>
    </row>
    <row r="978" spans="1:7" ht="19.5" customHeight="1">
      <c r="A978" s="1155">
        <v>42475</v>
      </c>
      <c r="B978" s="1166">
        <v>264</v>
      </c>
      <c r="C978" s="1171">
        <v>270.00000000000006</v>
      </c>
      <c r="D978" s="1171">
        <v>184.00000000000003</v>
      </c>
      <c r="E978" s="1171">
        <v>219.99999999999983</v>
      </c>
      <c r="F978" s="1168">
        <v>41.001638193306817</v>
      </c>
      <c r="G978" s="1168">
        <v>4.9154124021673695</v>
      </c>
    </row>
    <row r="979" spans="1:7" ht="19.5" customHeight="1">
      <c r="A979" s="1155">
        <v>42476</v>
      </c>
      <c r="B979" s="1166">
        <v>0</v>
      </c>
      <c r="C979" s="1171" t="s">
        <v>100</v>
      </c>
      <c r="D979" s="1171" t="s">
        <v>100</v>
      </c>
      <c r="E979" s="1171" t="s">
        <v>100</v>
      </c>
      <c r="F979" s="1168" t="s">
        <v>100</v>
      </c>
      <c r="G979" s="1168" t="s">
        <v>100</v>
      </c>
    </row>
    <row r="980" spans="1:7" ht="19.5" customHeight="1">
      <c r="A980" s="1155">
        <v>42477</v>
      </c>
      <c r="B980" s="1166">
        <v>275</v>
      </c>
      <c r="C980" s="1171" t="s">
        <v>100</v>
      </c>
      <c r="D980" s="1171" t="s">
        <v>100</v>
      </c>
      <c r="E980" s="1171" t="s">
        <v>100</v>
      </c>
      <c r="F980" s="1168" t="s">
        <v>100</v>
      </c>
      <c r="G980" s="1168" t="s">
        <v>100</v>
      </c>
    </row>
    <row r="981" spans="1:7" ht="19.5" customHeight="1">
      <c r="A981" s="1155">
        <v>42478</v>
      </c>
      <c r="B981" s="1166">
        <v>314</v>
      </c>
      <c r="C981" s="1171" t="s">
        <v>100</v>
      </c>
      <c r="D981" s="1171" t="s">
        <v>100</v>
      </c>
      <c r="E981" s="1171" t="s">
        <v>100</v>
      </c>
      <c r="F981" s="1168" t="s">
        <v>100</v>
      </c>
      <c r="G981" s="1168" t="s">
        <v>100</v>
      </c>
    </row>
    <row r="982" spans="1:7" ht="19.5" customHeight="1">
      <c r="A982" s="1155">
        <v>42479</v>
      </c>
      <c r="B982" s="1166">
        <v>322</v>
      </c>
      <c r="C982" s="1171" t="s">
        <v>100</v>
      </c>
      <c r="D982" s="1171" t="s">
        <v>100</v>
      </c>
      <c r="E982" s="1171" t="s">
        <v>100</v>
      </c>
      <c r="F982" s="1168" t="s">
        <v>100</v>
      </c>
      <c r="G982" s="1168" t="s">
        <v>100</v>
      </c>
    </row>
    <row r="983" spans="1:7" ht="19.5" customHeight="1">
      <c r="A983" s="1155">
        <v>42480</v>
      </c>
      <c r="B983" s="1166">
        <v>321</v>
      </c>
      <c r="C983" s="1171" t="s">
        <v>100</v>
      </c>
      <c r="D983" s="1171" t="s">
        <v>100</v>
      </c>
      <c r="E983" s="1171" t="s">
        <v>100</v>
      </c>
      <c r="F983" s="1168" t="s">
        <v>100</v>
      </c>
      <c r="G983" s="1168" t="s">
        <v>100</v>
      </c>
    </row>
    <row r="984" spans="1:7" ht="19.5" customHeight="1">
      <c r="A984" s="1155">
        <v>42481</v>
      </c>
      <c r="B984" s="1166">
        <v>319</v>
      </c>
      <c r="C984" s="1171" t="s">
        <v>100</v>
      </c>
      <c r="D984" s="1171" t="s">
        <v>100</v>
      </c>
      <c r="E984" s="1171" t="s">
        <v>100</v>
      </c>
      <c r="F984" s="1168" t="s">
        <v>100</v>
      </c>
      <c r="G984" s="1168" t="s">
        <v>100</v>
      </c>
    </row>
    <row r="985" spans="1:7" ht="19.5" customHeight="1">
      <c r="A985" s="1155">
        <v>42482</v>
      </c>
      <c r="B985" s="1166">
        <v>312</v>
      </c>
      <c r="C985" s="1171">
        <v>245.99999999999997</v>
      </c>
      <c r="D985" s="1171">
        <v>188</v>
      </c>
      <c r="E985" s="1171">
        <v>226.66666666666671</v>
      </c>
      <c r="F985" s="1168">
        <v>41.532100787892972</v>
      </c>
      <c r="G985" s="1168">
        <v>4.9379891631547252</v>
      </c>
    </row>
    <row r="986" spans="1:7" ht="19.5" customHeight="1">
      <c r="A986" s="1155">
        <v>42483</v>
      </c>
      <c r="B986" s="1166">
        <v>316</v>
      </c>
      <c r="C986" s="1171" t="s">
        <v>100</v>
      </c>
      <c r="D986" s="1171" t="s">
        <v>100</v>
      </c>
      <c r="E986" s="1171" t="s">
        <v>100</v>
      </c>
      <c r="F986" s="1168" t="s">
        <v>100</v>
      </c>
      <c r="G986" s="1168" t="s">
        <v>100</v>
      </c>
    </row>
    <row r="987" spans="1:7" ht="19.5" customHeight="1">
      <c r="A987" s="1155">
        <v>42484</v>
      </c>
      <c r="B987" s="1166">
        <v>317</v>
      </c>
      <c r="C987" s="1171" t="s">
        <v>100</v>
      </c>
      <c r="D987" s="1171" t="s">
        <v>100</v>
      </c>
      <c r="E987" s="1171" t="s">
        <v>100</v>
      </c>
      <c r="F987" s="1168" t="s">
        <v>100</v>
      </c>
      <c r="G987" s="1168" t="s">
        <v>100</v>
      </c>
    </row>
    <row r="988" spans="1:7" ht="19.5" customHeight="1">
      <c r="A988" s="1155">
        <v>42485</v>
      </c>
      <c r="B988" s="1166">
        <v>312</v>
      </c>
      <c r="C988" s="1171" t="s">
        <v>100</v>
      </c>
      <c r="D988" s="1171" t="s">
        <v>100</v>
      </c>
      <c r="E988" s="1171" t="s">
        <v>100</v>
      </c>
      <c r="F988" s="1168" t="s">
        <v>100</v>
      </c>
      <c r="G988" s="1168" t="s">
        <v>100</v>
      </c>
    </row>
    <row r="989" spans="1:7" ht="19.5" customHeight="1">
      <c r="A989" s="1155">
        <v>42486</v>
      </c>
      <c r="B989" s="1166">
        <v>318</v>
      </c>
      <c r="C989" s="1171" t="s">
        <v>100</v>
      </c>
      <c r="D989" s="1171" t="s">
        <v>100</v>
      </c>
      <c r="E989" s="1171" t="s">
        <v>100</v>
      </c>
      <c r="F989" s="1168" t="s">
        <v>100</v>
      </c>
      <c r="G989" s="1168" t="s">
        <v>100</v>
      </c>
    </row>
    <row r="990" spans="1:7" ht="19.5" customHeight="1">
      <c r="A990" s="1155">
        <v>42487</v>
      </c>
      <c r="B990" s="1166">
        <v>314</v>
      </c>
      <c r="C990" s="1171" t="s">
        <v>100</v>
      </c>
      <c r="D990" s="1171" t="s">
        <v>100</v>
      </c>
      <c r="E990" s="1171" t="s">
        <v>100</v>
      </c>
      <c r="F990" s="1168" t="s">
        <v>100</v>
      </c>
      <c r="G990" s="1168" t="s">
        <v>100</v>
      </c>
    </row>
    <row r="991" spans="1:7" ht="19.5" customHeight="1">
      <c r="A991" s="1155">
        <v>42488</v>
      </c>
      <c r="B991" s="1166">
        <v>309</v>
      </c>
      <c r="C991" s="1171" t="s">
        <v>100</v>
      </c>
      <c r="D991" s="1171" t="s">
        <v>100</v>
      </c>
      <c r="E991" s="1171" t="s">
        <v>100</v>
      </c>
      <c r="F991" s="1168" t="s">
        <v>100</v>
      </c>
      <c r="G991" s="1168" t="s">
        <v>100</v>
      </c>
    </row>
    <row r="992" spans="1:7" ht="19.5" customHeight="1">
      <c r="A992" s="1155">
        <v>42489</v>
      </c>
      <c r="B992" s="1166">
        <v>309</v>
      </c>
      <c r="C992" s="1171">
        <v>282.00000000000006</v>
      </c>
      <c r="D992" s="1171">
        <v>196</v>
      </c>
      <c r="E992" s="1171">
        <v>236.66666666666652</v>
      </c>
      <c r="F992" s="1168">
        <v>42.062563382479141</v>
      </c>
      <c r="G992" s="1168">
        <v>4.9786273329319686</v>
      </c>
    </row>
    <row r="993" spans="1:7" ht="19.5" customHeight="1">
      <c r="A993" s="1155">
        <v>42490</v>
      </c>
      <c r="B993" s="1166">
        <v>305</v>
      </c>
      <c r="C993" s="1171" t="s">
        <v>100</v>
      </c>
      <c r="D993" s="1171" t="s">
        <v>100</v>
      </c>
      <c r="E993" s="1171" t="s">
        <v>100</v>
      </c>
      <c r="F993" s="1168" t="s">
        <v>100</v>
      </c>
      <c r="G993" s="1168" t="s">
        <v>100</v>
      </c>
    </row>
    <row r="994" spans="1:7" ht="19.5" customHeight="1">
      <c r="A994" s="1155">
        <v>42491</v>
      </c>
      <c r="B994" s="1166">
        <v>304</v>
      </c>
      <c r="C994" s="1171" t="s">
        <v>100</v>
      </c>
      <c r="D994" s="1171" t="s">
        <v>100</v>
      </c>
      <c r="E994" s="1171" t="s">
        <v>100</v>
      </c>
      <c r="F994" s="1168" t="s">
        <v>100</v>
      </c>
      <c r="G994" s="1168" t="s">
        <v>100</v>
      </c>
    </row>
    <row r="995" spans="1:7" ht="19.5" customHeight="1">
      <c r="A995" s="1155">
        <v>42492</v>
      </c>
      <c r="B995" s="1166">
        <v>310</v>
      </c>
      <c r="C995" s="1171" t="s">
        <v>100</v>
      </c>
      <c r="D995" s="1171" t="s">
        <v>100</v>
      </c>
      <c r="E995" s="1171" t="s">
        <v>100</v>
      </c>
      <c r="F995" s="1168" t="s">
        <v>100</v>
      </c>
      <c r="G995" s="1168" t="s">
        <v>100</v>
      </c>
    </row>
    <row r="996" spans="1:7" ht="19.5" customHeight="1">
      <c r="A996" s="1155">
        <v>42493</v>
      </c>
      <c r="B996" s="1166">
        <v>308</v>
      </c>
      <c r="C996" s="1171" t="s">
        <v>100</v>
      </c>
      <c r="D996" s="1171" t="s">
        <v>100</v>
      </c>
      <c r="E996" s="1171" t="s">
        <v>100</v>
      </c>
      <c r="F996" s="1168" t="s">
        <v>100</v>
      </c>
      <c r="G996" s="1168" t="s">
        <v>100</v>
      </c>
    </row>
    <row r="997" spans="1:7" ht="19.5" customHeight="1">
      <c r="A997" s="1155">
        <v>42494</v>
      </c>
      <c r="B997" s="1166">
        <v>319</v>
      </c>
      <c r="C997" s="1171" t="s">
        <v>100</v>
      </c>
      <c r="D997" s="1171" t="s">
        <v>100</v>
      </c>
      <c r="E997" s="1171" t="s">
        <v>100</v>
      </c>
      <c r="F997" s="1168" t="s">
        <v>100</v>
      </c>
      <c r="G997" s="1168" t="s">
        <v>100</v>
      </c>
    </row>
    <row r="998" spans="1:7" ht="19.5" customHeight="1">
      <c r="A998" s="1155">
        <v>42495</v>
      </c>
      <c r="B998" s="1166">
        <v>305</v>
      </c>
      <c r="C998" s="1171" t="s">
        <v>100</v>
      </c>
      <c r="D998" s="1171" t="s">
        <v>100</v>
      </c>
      <c r="E998" s="1171" t="s">
        <v>100</v>
      </c>
      <c r="F998" s="1168" t="s">
        <v>100</v>
      </c>
      <c r="G998" s="1168" t="s">
        <v>100</v>
      </c>
    </row>
    <row r="999" spans="1:7" ht="19.5" customHeight="1">
      <c r="A999" s="1155">
        <v>42496</v>
      </c>
      <c r="B999" s="1166">
        <v>311</v>
      </c>
      <c r="C999" s="1171">
        <v>191.99999999999994</v>
      </c>
      <c r="D999" s="1171">
        <v>148</v>
      </c>
      <c r="E999" s="1171">
        <v>176.66666666666663</v>
      </c>
      <c r="F999" s="1168">
        <v>48.802558701926827</v>
      </c>
      <c r="G999" s="1168">
        <v>2.3597230583985556</v>
      </c>
    </row>
    <row r="1000" spans="1:7" ht="19.5" customHeight="1">
      <c r="A1000" s="1155">
        <v>42497</v>
      </c>
      <c r="B1000" s="1166">
        <v>304</v>
      </c>
      <c r="C1000" s="1171" t="s">
        <v>100</v>
      </c>
      <c r="D1000" s="1171" t="s">
        <v>100</v>
      </c>
      <c r="E1000" s="1171" t="s">
        <v>100</v>
      </c>
      <c r="F1000" s="1168" t="s">
        <v>100</v>
      </c>
      <c r="G1000" s="1168" t="s">
        <v>100</v>
      </c>
    </row>
    <row r="1001" spans="1:7" ht="19.5" customHeight="1">
      <c r="A1001" s="1155">
        <v>42498</v>
      </c>
      <c r="B1001" s="1166">
        <v>308</v>
      </c>
      <c r="C1001" s="1171" t="s">
        <v>100</v>
      </c>
      <c r="D1001" s="1171" t="s">
        <v>100</v>
      </c>
      <c r="E1001" s="1171" t="s">
        <v>100</v>
      </c>
      <c r="F1001" s="1168" t="s">
        <v>100</v>
      </c>
      <c r="G1001" s="1168" t="s">
        <v>100</v>
      </c>
    </row>
    <row r="1002" spans="1:7" ht="19.5" customHeight="1">
      <c r="A1002" s="1155">
        <v>42499</v>
      </c>
      <c r="B1002" s="1166">
        <v>308</v>
      </c>
      <c r="C1002" s="1171" t="s">
        <v>100</v>
      </c>
      <c r="D1002" s="1171" t="s">
        <v>100</v>
      </c>
      <c r="E1002" s="1171" t="s">
        <v>100</v>
      </c>
      <c r="F1002" s="1168" t="s">
        <v>100</v>
      </c>
      <c r="G1002" s="1168" t="s">
        <v>100</v>
      </c>
    </row>
    <row r="1003" spans="1:7" ht="19.5" customHeight="1">
      <c r="A1003" s="1155">
        <v>42500</v>
      </c>
      <c r="B1003" s="1166">
        <v>305</v>
      </c>
      <c r="C1003" s="1171" t="s">
        <v>100</v>
      </c>
      <c r="D1003" s="1171" t="s">
        <v>100</v>
      </c>
      <c r="E1003" s="1171" t="s">
        <v>100</v>
      </c>
      <c r="F1003" s="1168" t="s">
        <v>100</v>
      </c>
      <c r="G1003" s="1168" t="s">
        <v>100</v>
      </c>
    </row>
    <row r="1004" spans="1:7" ht="19.5" customHeight="1">
      <c r="A1004" s="1155">
        <v>42501</v>
      </c>
      <c r="B1004" s="1166">
        <v>202</v>
      </c>
      <c r="C1004" s="1171" t="s">
        <v>100</v>
      </c>
      <c r="D1004" s="1171" t="s">
        <v>100</v>
      </c>
      <c r="E1004" s="1171" t="s">
        <v>100</v>
      </c>
      <c r="F1004" s="1168" t="s">
        <v>100</v>
      </c>
      <c r="G1004" s="1168" t="s">
        <v>100</v>
      </c>
    </row>
    <row r="1005" spans="1:7" ht="19.5" customHeight="1">
      <c r="A1005" s="1155">
        <v>42502</v>
      </c>
      <c r="B1005" s="1166">
        <v>312</v>
      </c>
      <c r="C1005" s="1171" t="s">
        <v>100</v>
      </c>
      <c r="D1005" s="1171" t="s">
        <v>100</v>
      </c>
      <c r="E1005" s="1171" t="s">
        <v>100</v>
      </c>
      <c r="F1005" s="1168" t="s">
        <v>100</v>
      </c>
      <c r="G1005" s="1168" t="s">
        <v>100</v>
      </c>
    </row>
    <row r="1006" spans="1:7" ht="19.5" customHeight="1">
      <c r="A1006" s="1155">
        <v>42503</v>
      </c>
      <c r="B1006" s="1166">
        <v>320</v>
      </c>
      <c r="C1006" s="1171">
        <v>210</v>
      </c>
      <c r="D1006" s="1171">
        <v>156</v>
      </c>
      <c r="E1006" s="1171">
        <v>189.99999999999989</v>
      </c>
      <c r="F1006" s="1168">
        <v>52.609407910133385</v>
      </c>
      <c r="G1006" s="1168">
        <v>1.858518964479229</v>
      </c>
    </row>
    <row r="1007" spans="1:7" ht="19.5" customHeight="1">
      <c r="A1007" s="1155">
        <v>42504</v>
      </c>
      <c r="B1007" s="1166">
        <v>311</v>
      </c>
      <c r="C1007" s="1171" t="s">
        <v>100</v>
      </c>
      <c r="D1007" s="1171" t="s">
        <v>100</v>
      </c>
      <c r="E1007" s="1171" t="s">
        <v>100</v>
      </c>
      <c r="F1007" s="1168" t="s">
        <v>100</v>
      </c>
      <c r="G1007" s="1168" t="s">
        <v>100</v>
      </c>
    </row>
    <row r="1008" spans="1:7" ht="19.5" customHeight="1">
      <c r="A1008" s="1155">
        <v>42505</v>
      </c>
      <c r="B1008" s="1166">
        <v>316</v>
      </c>
      <c r="C1008" s="1171" t="s">
        <v>100</v>
      </c>
      <c r="D1008" s="1171" t="s">
        <v>100</v>
      </c>
      <c r="E1008" s="1171" t="s">
        <v>100</v>
      </c>
      <c r="F1008" s="1168" t="s">
        <v>100</v>
      </c>
      <c r="G1008" s="1168" t="s">
        <v>100</v>
      </c>
    </row>
    <row r="1009" spans="1:7" ht="19.5" customHeight="1">
      <c r="A1009" s="1155">
        <v>42506</v>
      </c>
      <c r="B1009" s="1166">
        <v>309</v>
      </c>
      <c r="C1009" s="1171" t="s">
        <v>100</v>
      </c>
      <c r="D1009" s="1171" t="s">
        <v>100</v>
      </c>
      <c r="E1009" s="1171" t="s">
        <v>100</v>
      </c>
      <c r="F1009" s="1168" t="s">
        <v>100</v>
      </c>
      <c r="G1009" s="1168" t="s">
        <v>100</v>
      </c>
    </row>
    <row r="1010" spans="1:7" ht="19.5" customHeight="1">
      <c r="A1010" s="1155">
        <v>42507</v>
      </c>
      <c r="B1010" s="1166">
        <v>312</v>
      </c>
      <c r="C1010" s="1171" t="s">
        <v>100</v>
      </c>
      <c r="D1010" s="1171" t="s">
        <v>100</v>
      </c>
      <c r="E1010" s="1171" t="s">
        <v>100</v>
      </c>
      <c r="F1010" s="1168" t="s">
        <v>100</v>
      </c>
      <c r="G1010" s="1168" t="s">
        <v>100</v>
      </c>
    </row>
    <row r="1011" spans="1:7" ht="19.5" customHeight="1">
      <c r="A1011" s="1155">
        <v>42508</v>
      </c>
      <c r="B1011" s="1166">
        <v>312</v>
      </c>
      <c r="C1011" s="1171" t="s">
        <v>100</v>
      </c>
      <c r="D1011" s="1171" t="s">
        <v>100</v>
      </c>
      <c r="E1011" s="1171" t="s">
        <v>100</v>
      </c>
      <c r="F1011" s="1168" t="s">
        <v>100</v>
      </c>
      <c r="G1011" s="1168" t="s">
        <v>100</v>
      </c>
    </row>
    <row r="1012" spans="1:7" ht="19.5" customHeight="1">
      <c r="A1012" s="1155">
        <v>42509</v>
      </c>
      <c r="B1012" s="1166">
        <v>305</v>
      </c>
      <c r="C1012" s="1171" t="s">
        <v>100</v>
      </c>
      <c r="D1012" s="1171" t="s">
        <v>100</v>
      </c>
      <c r="E1012" s="1171" t="s">
        <v>100</v>
      </c>
      <c r="F1012" s="1168" t="s">
        <v>100</v>
      </c>
      <c r="G1012" s="1168" t="s">
        <v>100</v>
      </c>
    </row>
    <row r="1013" spans="1:7" ht="19.5" customHeight="1">
      <c r="A1013" s="1155">
        <v>42510</v>
      </c>
      <c r="B1013" s="1166">
        <v>306</v>
      </c>
      <c r="C1013" s="1171">
        <v>167.99999999999994</v>
      </c>
      <c r="D1013" s="1171">
        <v>128</v>
      </c>
      <c r="E1013" s="1171">
        <v>156.666666666667</v>
      </c>
      <c r="F1013" s="1168">
        <v>52.328574771823078</v>
      </c>
      <c r="G1013" s="1168">
        <v>1.655328115593016</v>
      </c>
    </row>
    <row r="1014" spans="1:7" ht="19.5" customHeight="1">
      <c r="A1014" s="1155">
        <v>42511</v>
      </c>
      <c r="B1014" s="1166">
        <v>312</v>
      </c>
      <c r="C1014" s="1171" t="s">
        <v>100</v>
      </c>
      <c r="D1014" s="1171" t="s">
        <v>100</v>
      </c>
      <c r="E1014" s="1171" t="s">
        <v>100</v>
      </c>
      <c r="F1014" s="1168" t="s">
        <v>100</v>
      </c>
      <c r="G1014" s="1168" t="s">
        <v>100</v>
      </c>
    </row>
    <row r="1015" spans="1:7" ht="19.5" customHeight="1">
      <c r="A1015" s="1155">
        <v>42512</v>
      </c>
      <c r="B1015" s="1166">
        <v>310</v>
      </c>
      <c r="C1015" s="1171" t="s">
        <v>100</v>
      </c>
      <c r="D1015" s="1171" t="s">
        <v>100</v>
      </c>
      <c r="E1015" s="1171" t="s">
        <v>100</v>
      </c>
      <c r="F1015" s="1168" t="s">
        <v>100</v>
      </c>
      <c r="G1015" s="1168" t="s">
        <v>100</v>
      </c>
    </row>
    <row r="1016" spans="1:7" ht="19.5" customHeight="1">
      <c r="A1016" s="1155">
        <v>42513</v>
      </c>
      <c r="B1016" s="1166">
        <v>309</v>
      </c>
      <c r="C1016" s="1171" t="s">
        <v>100</v>
      </c>
      <c r="D1016" s="1171" t="s">
        <v>100</v>
      </c>
      <c r="E1016" s="1171" t="s">
        <v>100</v>
      </c>
      <c r="F1016" s="1168" t="s">
        <v>100</v>
      </c>
      <c r="G1016" s="1168" t="s">
        <v>100</v>
      </c>
    </row>
    <row r="1017" spans="1:7" ht="19.5" customHeight="1">
      <c r="A1017" s="1155">
        <v>42514</v>
      </c>
      <c r="B1017" s="1166">
        <v>308</v>
      </c>
      <c r="C1017" s="1171" t="s">
        <v>100</v>
      </c>
      <c r="D1017" s="1171" t="s">
        <v>100</v>
      </c>
      <c r="E1017" s="1171" t="s">
        <v>100</v>
      </c>
      <c r="F1017" s="1168" t="s">
        <v>100</v>
      </c>
      <c r="G1017" s="1168" t="s">
        <v>100</v>
      </c>
    </row>
    <row r="1018" spans="1:7" ht="19.5" customHeight="1">
      <c r="A1018" s="1155">
        <v>42515</v>
      </c>
      <c r="B1018" s="1166">
        <v>302</v>
      </c>
      <c r="C1018" s="1171" t="s">
        <v>100</v>
      </c>
      <c r="D1018" s="1171" t="s">
        <v>100</v>
      </c>
      <c r="E1018" s="1171" t="s">
        <v>100</v>
      </c>
      <c r="F1018" s="1168" t="s">
        <v>100</v>
      </c>
      <c r="G1018" s="1168" t="s">
        <v>100</v>
      </c>
    </row>
    <row r="1019" spans="1:7" ht="19.5" customHeight="1">
      <c r="A1019" s="1155">
        <v>42516</v>
      </c>
      <c r="B1019" s="1166">
        <v>309</v>
      </c>
      <c r="C1019" s="1171" t="s">
        <v>100</v>
      </c>
      <c r="D1019" s="1171" t="s">
        <v>100</v>
      </c>
      <c r="E1019" s="1171" t="s">
        <v>100</v>
      </c>
      <c r="F1019" s="1168" t="s">
        <v>100</v>
      </c>
      <c r="G1019" s="1168" t="s">
        <v>100</v>
      </c>
    </row>
    <row r="1020" spans="1:7" ht="19.5" customHeight="1">
      <c r="A1020" s="1155">
        <v>42517</v>
      </c>
      <c r="B1020" s="1166">
        <v>302</v>
      </c>
      <c r="C1020" s="1171">
        <v>143.99999999999997</v>
      </c>
      <c r="D1020" s="1171">
        <v>112</v>
      </c>
      <c r="E1020" s="1171">
        <v>136.66666666666643</v>
      </c>
      <c r="F1020" s="1168">
        <v>51.610890085030029</v>
      </c>
      <c r="G1020" s="1168">
        <v>0.90126429861529189</v>
      </c>
    </row>
    <row r="1021" spans="1:7" ht="19.5" customHeight="1">
      <c r="A1021" s="1155">
        <v>42518</v>
      </c>
      <c r="B1021" s="1166">
        <v>309</v>
      </c>
      <c r="C1021" s="1171" t="s">
        <v>100</v>
      </c>
      <c r="D1021" s="1171" t="s">
        <v>100</v>
      </c>
      <c r="E1021" s="1171" t="s">
        <v>100</v>
      </c>
      <c r="F1021" s="1168" t="s">
        <v>100</v>
      </c>
      <c r="G1021" s="1168" t="s">
        <v>100</v>
      </c>
    </row>
    <row r="1022" spans="1:7" ht="19.5" customHeight="1">
      <c r="A1022" s="1155">
        <v>42519</v>
      </c>
      <c r="B1022" s="1166">
        <v>298</v>
      </c>
      <c r="C1022" s="1171" t="s">
        <v>100</v>
      </c>
      <c r="D1022" s="1171" t="s">
        <v>100</v>
      </c>
      <c r="E1022" s="1171" t="s">
        <v>100</v>
      </c>
      <c r="F1022" s="1168" t="s">
        <v>100</v>
      </c>
      <c r="G1022" s="1168" t="s">
        <v>100</v>
      </c>
    </row>
    <row r="1023" spans="1:7" ht="19.5" customHeight="1">
      <c r="A1023" s="1155">
        <v>42520</v>
      </c>
      <c r="B1023" s="1166">
        <v>307</v>
      </c>
      <c r="C1023" s="1171" t="s">
        <v>100</v>
      </c>
      <c r="D1023" s="1171" t="s">
        <v>100</v>
      </c>
      <c r="E1023" s="1171" t="s">
        <v>100</v>
      </c>
      <c r="F1023" s="1168" t="s">
        <v>100</v>
      </c>
      <c r="G1023" s="1168" t="s">
        <v>100</v>
      </c>
    </row>
    <row r="1024" spans="1:7" ht="19.5" customHeight="1">
      <c r="A1024" s="1155">
        <v>42521</v>
      </c>
      <c r="B1024" s="1166">
        <v>303</v>
      </c>
      <c r="C1024" s="1171" t="s">
        <v>100</v>
      </c>
      <c r="D1024" s="1171" t="s">
        <v>100</v>
      </c>
      <c r="E1024" s="1171" t="s">
        <v>100</v>
      </c>
      <c r="F1024" s="1168" t="s">
        <v>100</v>
      </c>
      <c r="G1024" s="1168" t="s">
        <v>100</v>
      </c>
    </row>
    <row r="1025" spans="1:7" ht="19.5" customHeight="1">
      <c r="A1025" s="1155">
        <v>42522</v>
      </c>
      <c r="B1025" s="1166">
        <v>302</v>
      </c>
      <c r="C1025" s="1171" t="s">
        <v>100</v>
      </c>
      <c r="D1025" s="1171" t="s">
        <v>100</v>
      </c>
      <c r="E1025" s="1171" t="s">
        <v>100</v>
      </c>
      <c r="F1025" s="1168" t="s">
        <v>100</v>
      </c>
      <c r="G1025" s="1168" t="s">
        <v>100</v>
      </c>
    </row>
    <row r="1026" spans="1:7" ht="19.5" customHeight="1">
      <c r="A1026" s="1155">
        <v>42523</v>
      </c>
      <c r="B1026" s="1166">
        <v>306</v>
      </c>
      <c r="C1026" s="1171" t="s">
        <v>100</v>
      </c>
      <c r="D1026" s="1171" t="s">
        <v>100</v>
      </c>
      <c r="E1026" s="1171" t="s">
        <v>100</v>
      </c>
      <c r="F1026" s="1168" t="s">
        <v>100</v>
      </c>
      <c r="G1026" s="1168" t="s">
        <v>100</v>
      </c>
    </row>
    <row r="1027" spans="1:7" ht="19.5" customHeight="1">
      <c r="A1027" s="1155">
        <v>42524</v>
      </c>
      <c r="B1027" s="1166">
        <v>311</v>
      </c>
      <c r="C1027" s="1171">
        <v>119.99999999999994</v>
      </c>
      <c r="D1027" s="1171">
        <v>92</v>
      </c>
      <c r="E1027" s="1171">
        <v>113.33333333333336</v>
      </c>
      <c r="F1027" s="1168">
        <v>76.074576800062417</v>
      </c>
      <c r="G1027" s="1168">
        <v>0.54455147501505119</v>
      </c>
    </row>
    <row r="1028" spans="1:7" ht="19.5" customHeight="1">
      <c r="A1028" s="1155">
        <v>42525</v>
      </c>
      <c r="B1028" s="1166">
        <v>305</v>
      </c>
      <c r="C1028" s="1171" t="s">
        <v>100</v>
      </c>
      <c r="D1028" s="1171" t="s">
        <v>100</v>
      </c>
      <c r="E1028" s="1171" t="s">
        <v>100</v>
      </c>
      <c r="F1028" s="1168" t="s">
        <v>100</v>
      </c>
      <c r="G1028" s="1168" t="s">
        <v>100</v>
      </c>
    </row>
    <row r="1029" spans="1:7" ht="19.5" customHeight="1">
      <c r="A1029" s="1155">
        <v>42526</v>
      </c>
      <c r="B1029" s="1166">
        <v>296</v>
      </c>
      <c r="C1029" s="1171" t="s">
        <v>100</v>
      </c>
      <c r="D1029" s="1171" t="s">
        <v>100</v>
      </c>
      <c r="E1029" s="1171" t="s">
        <v>100</v>
      </c>
      <c r="F1029" s="1168" t="s">
        <v>100</v>
      </c>
      <c r="G1029" s="1168" t="s">
        <v>100</v>
      </c>
    </row>
    <row r="1030" spans="1:7" ht="19.5" customHeight="1">
      <c r="A1030" s="1155">
        <v>42527</v>
      </c>
      <c r="B1030" s="1166">
        <v>303</v>
      </c>
      <c r="C1030" s="1171" t="s">
        <v>100</v>
      </c>
      <c r="D1030" s="1171" t="s">
        <v>100</v>
      </c>
      <c r="E1030" s="1171" t="s">
        <v>100</v>
      </c>
      <c r="F1030" s="1168" t="s">
        <v>100</v>
      </c>
      <c r="G1030" s="1168" t="s">
        <v>100</v>
      </c>
    </row>
    <row r="1031" spans="1:7" ht="19.5" customHeight="1">
      <c r="A1031" s="1155">
        <v>42528</v>
      </c>
      <c r="B1031" s="1166">
        <v>302</v>
      </c>
      <c r="C1031" s="1171" t="s">
        <v>100</v>
      </c>
      <c r="D1031" s="1171" t="s">
        <v>100</v>
      </c>
      <c r="E1031" s="1171" t="s">
        <v>100</v>
      </c>
      <c r="F1031" s="1168" t="s">
        <v>100</v>
      </c>
      <c r="G1031" s="1168" t="s">
        <v>100</v>
      </c>
    </row>
    <row r="1032" spans="1:7" ht="19.5" customHeight="1">
      <c r="A1032" s="1155">
        <v>42529</v>
      </c>
      <c r="B1032" s="1166">
        <v>299</v>
      </c>
      <c r="C1032" s="1171" t="s">
        <v>100</v>
      </c>
      <c r="D1032" s="1171" t="s">
        <v>100</v>
      </c>
      <c r="E1032" s="1171" t="s">
        <v>100</v>
      </c>
      <c r="F1032" s="1168" t="s">
        <v>100</v>
      </c>
      <c r="G1032" s="1168" t="s">
        <v>100</v>
      </c>
    </row>
    <row r="1033" spans="1:7" ht="19.5" customHeight="1">
      <c r="A1033" s="1155">
        <v>42530</v>
      </c>
      <c r="B1033" s="1166">
        <v>302</v>
      </c>
      <c r="C1033" s="1171" t="s">
        <v>100</v>
      </c>
      <c r="D1033" s="1171" t="s">
        <v>100</v>
      </c>
      <c r="E1033" s="1171" t="s">
        <v>100</v>
      </c>
      <c r="F1033" s="1168" t="s">
        <v>100</v>
      </c>
      <c r="G1033" s="1168" t="s">
        <v>100</v>
      </c>
    </row>
    <row r="1034" spans="1:7" ht="19.5" customHeight="1">
      <c r="A1034" s="1155">
        <v>42531</v>
      </c>
      <c r="B1034" s="1166">
        <v>305</v>
      </c>
      <c r="C1034" s="1171">
        <v>101.99999999999996</v>
      </c>
      <c r="D1034" s="1171">
        <v>56</v>
      </c>
      <c r="E1034" s="1171">
        <v>43.333333333333186</v>
      </c>
      <c r="F1034" s="1168">
        <v>65.18449177002887</v>
      </c>
      <c r="G1034" s="1168">
        <v>0.50842865743527987</v>
      </c>
    </row>
    <row r="1035" spans="1:7" ht="19.5" customHeight="1">
      <c r="A1035" s="1155">
        <v>42532</v>
      </c>
      <c r="B1035" s="1166">
        <v>305</v>
      </c>
      <c r="C1035" s="1171" t="s">
        <v>100</v>
      </c>
      <c r="D1035" s="1171" t="s">
        <v>100</v>
      </c>
      <c r="E1035" s="1171" t="s">
        <v>100</v>
      </c>
      <c r="F1035" s="1168" t="s">
        <v>100</v>
      </c>
      <c r="G1035" s="1168" t="s">
        <v>100</v>
      </c>
    </row>
    <row r="1036" spans="1:7" ht="19.5" customHeight="1">
      <c r="A1036" s="1155">
        <v>42533</v>
      </c>
      <c r="B1036" s="1166">
        <v>314</v>
      </c>
      <c r="C1036" s="1171" t="s">
        <v>100</v>
      </c>
      <c r="D1036" s="1171" t="s">
        <v>100</v>
      </c>
      <c r="E1036" s="1171" t="s">
        <v>100</v>
      </c>
      <c r="F1036" s="1168" t="s">
        <v>100</v>
      </c>
      <c r="G1036" s="1168" t="s">
        <v>100</v>
      </c>
    </row>
    <row r="1037" spans="1:7" ht="19.5" customHeight="1">
      <c r="A1037" s="1155">
        <v>42534</v>
      </c>
      <c r="B1037" s="1166">
        <v>319</v>
      </c>
      <c r="C1037" s="1171" t="s">
        <v>100</v>
      </c>
      <c r="D1037" s="1171" t="s">
        <v>100</v>
      </c>
      <c r="E1037" s="1171" t="s">
        <v>100</v>
      </c>
      <c r="F1037" s="1168" t="s">
        <v>100</v>
      </c>
      <c r="G1037" s="1168" t="s">
        <v>100</v>
      </c>
    </row>
    <row r="1038" spans="1:7" ht="19.5" customHeight="1">
      <c r="A1038" s="1155">
        <v>42535</v>
      </c>
      <c r="B1038" s="1166">
        <v>319</v>
      </c>
      <c r="C1038" s="1171" t="s">
        <v>100</v>
      </c>
      <c r="D1038" s="1171" t="s">
        <v>100</v>
      </c>
      <c r="E1038" s="1171" t="s">
        <v>100</v>
      </c>
      <c r="F1038" s="1168" t="s">
        <v>100</v>
      </c>
      <c r="G1038" s="1168" t="s">
        <v>100</v>
      </c>
    </row>
    <row r="1039" spans="1:7" ht="19.5" customHeight="1">
      <c r="A1039" s="1155">
        <v>42536</v>
      </c>
      <c r="B1039" s="1166">
        <v>308</v>
      </c>
      <c r="C1039" s="1171" t="s">
        <v>100</v>
      </c>
      <c r="D1039" s="1171" t="s">
        <v>100</v>
      </c>
      <c r="E1039" s="1171" t="s">
        <v>100</v>
      </c>
      <c r="F1039" s="1168" t="s">
        <v>100</v>
      </c>
      <c r="G1039" s="1168" t="s">
        <v>100</v>
      </c>
    </row>
    <row r="1040" spans="1:7" ht="19.5" customHeight="1">
      <c r="A1040" s="1155">
        <v>42537</v>
      </c>
      <c r="B1040" s="1166">
        <v>216</v>
      </c>
      <c r="C1040" s="1171" t="s">
        <v>100</v>
      </c>
      <c r="D1040" s="1171" t="s">
        <v>100</v>
      </c>
      <c r="E1040" s="1171" t="s">
        <v>100</v>
      </c>
      <c r="F1040" s="1168" t="s">
        <v>100</v>
      </c>
      <c r="G1040" s="1168" t="s">
        <v>100</v>
      </c>
    </row>
    <row r="1041" spans="1:7" ht="19.5" customHeight="1">
      <c r="A1041" s="1155">
        <v>42538</v>
      </c>
      <c r="B1041" s="1166">
        <v>328</v>
      </c>
      <c r="C1041" s="1171">
        <v>108.00000000000004</v>
      </c>
      <c r="D1041" s="1171">
        <v>60</v>
      </c>
      <c r="E1041" s="1171">
        <v>56.666666666666906</v>
      </c>
      <c r="F1041" s="1168">
        <v>65.465324908339198</v>
      </c>
      <c r="G1041" s="1168">
        <v>0.49488260084286578</v>
      </c>
    </row>
    <row r="1042" spans="1:7" ht="19.5" customHeight="1">
      <c r="A1042" s="1155">
        <v>42539</v>
      </c>
      <c r="B1042" s="1166">
        <v>324</v>
      </c>
      <c r="C1042" s="1171" t="s">
        <v>100</v>
      </c>
      <c r="D1042" s="1171" t="s">
        <v>100</v>
      </c>
      <c r="E1042" s="1171" t="s">
        <v>100</v>
      </c>
      <c r="F1042" s="1168" t="s">
        <v>100</v>
      </c>
      <c r="G1042" s="1168" t="s">
        <v>100</v>
      </c>
    </row>
    <row r="1043" spans="1:7" ht="19.5" customHeight="1">
      <c r="A1043" s="1155">
        <v>42540</v>
      </c>
      <c r="B1043" s="1166">
        <v>316</v>
      </c>
      <c r="C1043" s="1171" t="s">
        <v>100</v>
      </c>
      <c r="D1043" s="1171" t="s">
        <v>100</v>
      </c>
      <c r="E1043" s="1171" t="s">
        <v>100</v>
      </c>
      <c r="F1043" s="1168" t="s">
        <v>100</v>
      </c>
      <c r="G1043" s="1168" t="s">
        <v>100</v>
      </c>
    </row>
    <row r="1044" spans="1:7" ht="19.5" customHeight="1">
      <c r="A1044" s="1155">
        <v>42541</v>
      </c>
      <c r="B1044" s="1166">
        <v>317</v>
      </c>
      <c r="C1044" s="1171" t="s">
        <v>100</v>
      </c>
      <c r="D1044" s="1171" t="s">
        <v>100</v>
      </c>
      <c r="E1044" s="1171" t="s">
        <v>100</v>
      </c>
      <c r="F1044" s="1168" t="s">
        <v>100</v>
      </c>
      <c r="G1044" s="1168" t="s">
        <v>100</v>
      </c>
    </row>
    <row r="1045" spans="1:7" ht="19.5" customHeight="1">
      <c r="A1045" s="1155">
        <v>42542</v>
      </c>
      <c r="B1045" s="1166">
        <v>315</v>
      </c>
      <c r="C1045" s="1171" t="s">
        <v>100</v>
      </c>
      <c r="D1045" s="1171" t="s">
        <v>100</v>
      </c>
      <c r="E1045" s="1171" t="s">
        <v>100</v>
      </c>
      <c r="F1045" s="1168" t="s">
        <v>100</v>
      </c>
      <c r="G1045" s="1168" t="s">
        <v>100</v>
      </c>
    </row>
    <row r="1046" spans="1:7" ht="19.5" customHeight="1">
      <c r="A1046" s="1155">
        <v>42543</v>
      </c>
      <c r="B1046" s="1166">
        <v>332</v>
      </c>
      <c r="C1046" s="1171" t="s">
        <v>100</v>
      </c>
      <c r="D1046" s="1171" t="s">
        <v>100</v>
      </c>
      <c r="E1046" s="1171" t="s">
        <v>100</v>
      </c>
      <c r="F1046" s="1168" t="s">
        <v>100</v>
      </c>
      <c r="G1046" s="1168" t="s">
        <v>100</v>
      </c>
    </row>
    <row r="1047" spans="1:7" ht="19.5" customHeight="1">
      <c r="A1047" s="1155">
        <v>42544</v>
      </c>
      <c r="B1047" s="1166">
        <v>331</v>
      </c>
      <c r="C1047" s="1171" t="s">
        <v>100</v>
      </c>
      <c r="D1047" s="1171" t="s">
        <v>100</v>
      </c>
      <c r="E1047" s="1171" t="s">
        <v>100</v>
      </c>
      <c r="F1047" s="1168" t="s">
        <v>100</v>
      </c>
      <c r="G1047" s="1168" t="s">
        <v>100</v>
      </c>
    </row>
    <row r="1048" spans="1:7" ht="19.5" customHeight="1">
      <c r="A1048" s="1155">
        <v>42545</v>
      </c>
      <c r="B1048" s="1166">
        <v>325</v>
      </c>
      <c r="C1048" s="1171">
        <v>113.99999999999997</v>
      </c>
      <c r="D1048" s="1171">
        <v>84</v>
      </c>
      <c r="E1048" s="1171">
        <v>109.99999999999991</v>
      </c>
      <c r="F1048" s="1168">
        <v>72.517357048131686</v>
      </c>
      <c r="G1048" s="1168">
        <v>0.38199879590608066</v>
      </c>
    </row>
    <row r="1049" spans="1:7" ht="19.5" customHeight="1">
      <c r="A1049" s="1155">
        <v>42546</v>
      </c>
      <c r="B1049" s="1166">
        <v>317</v>
      </c>
      <c r="C1049" s="1171" t="s">
        <v>100</v>
      </c>
      <c r="D1049" s="1171" t="s">
        <v>100</v>
      </c>
      <c r="E1049" s="1171" t="s">
        <v>100</v>
      </c>
      <c r="F1049" s="1168" t="s">
        <v>100</v>
      </c>
      <c r="G1049" s="1168" t="s">
        <v>100</v>
      </c>
    </row>
    <row r="1050" spans="1:7" ht="19.5" customHeight="1">
      <c r="A1050" s="1155">
        <v>42547</v>
      </c>
      <c r="B1050" s="1166">
        <v>330</v>
      </c>
      <c r="C1050" s="1171" t="s">
        <v>100</v>
      </c>
      <c r="D1050" s="1171" t="s">
        <v>100</v>
      </c>
      <c r="E1050" s="1171" t="s">
        <v>100</v>
      </c>
      <c r="F1050" s="1168" t="s">
        <v>100</v>
      </c>
      <c r="G1050" s="1168" t="s">
        <v>100</v>
      </c>
    </row>
    <row r="1051" spans="1:7" ht="19.5" customHeight="1">
      <c r="A1051" s="1155">
        <v>42548</v>
      </c>
      <c r="B1051" s="1166">
        <v>344</v>
      </c>
      <c r="C1051" s="1171" t="s">
        <v>100</v>
      </c>
      <c r="D1051" s="1171" t="s">
        <v>100</v>
      </c>
      <c r="E1051" s="1171" t="s">
        <v>100</v>
      </c>
      <c r="F1051" s="1168" t="s">
        <v>100</v>
      </c>
      <c r="G1051" s="1168" t="s">
        <v>100</v>
      </c>
    </row>
    <row r="1052" spans="1:7" ht="19.5" customHeight="1">
      <c r="A1052" s="1155">
        <v>42549</v>
      </c>
      <c r="B1052" s="1166">
        <v>342</v>
      </c>
      <c r="C1052" s="1171" t="s">
        <v>100</v>
      </c>
      <c r="D1052" s="1171" t="s">
        <v>100</v>
      </c>
      <c r="E1052" s="1171" t="s">
        <v>100</v>
      </c>
      <c r="F1052" s="1168" t="s">
        <v>100</v>
      </c>
      <c r="G1052" s="1168" t="s">
        <v>100</v>
      </c>
    </row>
    <row r="1053" spans="1:7" ht="19.5" customHeight="1">
      <c r="A1053" s="1155">
        <v>42550</v>
      </c>
      <c r="B1053" s="1166">
        <v>343</v>
      </c>
      <c r="C1053" s="1171" t="s">
        <v>100</v>
      </c>
      <c r="D1053" s="1171" t="s">
        <v>100</v>
      </c>
      <c r="E1053" s="1171" t="s">
        <v>100</v>
      </c>
      <c r="F1053" s="1168" t="s">
        <v>100</v>
      </c>
      <c r="G1053" s="1168" t="s">
        <v>100</v>
      </c>
    </row>
    <row r="1054" spans="1:7" ht="19.5" customHeight="1">
      <c r="A1054" s="1155">
        <v>42551</v>
      </c>
      <c r="B1054" s="1166">
        <v>339</v>
      </c>
      <c r="C1054" s="1171" t="s">
        <v>100</v>
      </c>
      <c r="D1054" s="1171" t="s">
        <v>100</v>
      </c>
      <c r="E1054" s="1171" t="s">
        <v>100</v>
      </c>
      <c r="F1054" s="1168" t="s">
        <v>100</v>
      </c>
      <c r="G1054" s="1168" t="s">
        <v>100</v>
      </c>
    </row>
    <row r="1055" spans="1:7" ht="19.5" customHeight="1">
      <c r="A1055" s="1150" t="s">
        <v>1697</v>
      </c>
      <c r="B1055" s="1151">
        <f t="shared" ref="B1055:G1055" si="3">AVERAGE(B873:B1054)</f>
        <v>301.02197802197804</v>
      </c>
      <c r="C1055" s="1172">
        <f t="shared" si="3"/>
        <v>203.53846153846155</v>
      </c>
      <c r="D1055" s="1172">
        <f t="shared" si="3"/>
        <v>140.15384615384616</v>
      </c>
      <c r="E1055" s="1172">
        <f t="shared" si="3"/>
        <v>173.58974358974362</v>
      </c>
      <c r="F1055" s="1173">
        <f t="shared" si="3"/>
        <v>45.990626893973506</v>
      </c>
      <c r="G1055" s="1173">
        <f t="shared" si="3"/>
        <v>3.5965822257212992</v>
      </c>
    </row>
    <row r="1056" spans="1:7" ht="19.5" customHeight="1">
      <c r="A1056" s="1174" t="s">
        <v>1698</v>
      </c>
      <c r="B1056" s="1175">
        <f t="shared" ref="B1056:G1056" si="4">AVERAGE(B7:B128,B134:B497,B503:B867,B873:B1054)</f>
        <v>326.94966118102616</v>
      </c>
      <c r="C1056" s="1176">
        <f t="shared" si="4"/>
        <v>260.53521126760563</v>
      </c>
      <c r="D1056" s="1176">
        <f t="shared" si="4"/>
        <v>159.43661971830986</v>
      </c>
      <c r="E1056" s="1176">
        <f t="shared" si="4"/>
        <v>387.83450704225345</v>
      </c>
      <c r="F1056" s="1177">
        <f t="shared" si="4"/>
        <v>56.619245859743842</v>
      </c>
      <c r="G1056" s="1177">
        <f t="shared" si="4"/>
        <v>4.8919405203042459</v>
      </c>
    </row>
  </sheetData>
  <mergeCells count="5">
    <mergeCell ref="A2:G3"/>
    <mergeCell ref="A5:G6"/>
    <mergeCell ref="A131:G132"/>
    <mergeCell ref="A500:G501"/>
    <mergeCell ref="A870:G871"/>
  </mergeCells>
  <phoneticPr fontId="7" type="noConversion"/>
  <conditionalFormatting sqref="A376:A497 A873:A1054 A503:A867">
    <cfRule type="cellIs" dxfId="1" priority="1" stopIfTrue="1" operator="equal">
      <formula>"토"</formula>
    </cfRule>
    <cfRule type="cellIs" dxfId="0" priority="2" stopIfTrue="1" operator="equal">
      <formula>"일"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D69"/>
  <sheetViews>
    <sheetView workbookViewId="0"/>
  </sheetViews>
  <sheetFormatPr defaultRowHeight="13.5"/>
  <cols>
    <col min="1" max="1" width="12.21875" style="1122" bestFit="1" customWidth="1"/>
    <col min="2" max="4" width="20.77734375" style="1122" customWidth="1"/>
    <col min="5" max="256" width="8.88671875" style="1122"/>
    <col min="257" max="257" width="12.21875" style="1122" bestFit="1" customWidth="1"/>
    <col min="258" max="260" width="20.77734375" style="1122" customWidth="1"/>
    <col min="261" max="512" width="8.88671875" style="1122"/>
    <col min="513" max="513" width="12.21875" style="1122" bestFit="1" customWidth="1"/>
    <col min="514" max="516" width="20.77734375" style="1122" customWidth="1"/>
    <col min="517" max="768" width="8.88671875" style="1122"/>
    <col min="769" max="769" width="12.21875" style="1122" bestFit="1" customWidth="1"/>
    <col min="770" max="772" width="20.77734375" style="1122" customWidth="1"/>
    <col min="773" max="1024" width="8.88671875" style="1122"/>
    <col min="1025" max="1025" width="12.21875" style="1122" bestFit="1" customWidth="1"/>
    <col min="1026" max="1028" width="20.77734375" style="1122" customWidth="1"/>
    <col min="1029" max="1280" width="8.88671875" style="1122"/>
    <col min="1281" max="1281" width="12.21875" style="1122" bestFit="1" customWidth="1"/>
    <col min="1282" max="1284" width="20.77734375" style="1122" customWidth="1"/>
    <col min="1285" max="1536" width="8.88671875" style="1122"/>
    <col min="1537" max="1537" width="12.21875" style="1122" bestFit="1" customWidth="1"/>
    <col min="1538" max="1540" width="20.77734375" style="1122" customWidth="1"/>
    <col min="1541" max="1792" width="8.88671875" style="1122"/>
    <col min="1793" max="1793" width="12.21875" style="1122" bestFit="1" customWidth="1"/>
    <col min="1794" max="1796" width="20.77734375" style="1122" customWidth="1"/>
    <col min="1797" max="2048" width="8.88671875" style="1122"/>
    <col min="2049" max="2049" width="12.21875" style="1122" bestFit="1" customWidth="1"/>
    <col min="2050" max="2052" width="20.77734375" style="1122" customWidth="1"/>
    <col min="2053" max="2304" width="8.88671875" style="1122"/>
    <col min="2305" max="2305" width="12.21875" style="1122" bestFit="1" customWidth="1"/>
    <col min="2306" max="2308" width="20.77734375" style="1122" customWidth="1"/>
    <col min="2309" max="2560" width="8.88671875" style="1122"/>
    <col min="2561" max="2561" width="12.21875" style="1122" bestFit="1" customWidth="1"/>
    <col min="2562" max="2564" width="20.77734375" style="1122" customWidth="1"/>
    <col min="2565" max="2816" width="8.88671875" style="1122"/>
    <col min="2817" max="2817" width="12.21875" style="1122" bestFit="1" customWidth="1"/>
    <col min="2818" max="2820" width="20.77734375" style="1122" customWidth="1"/>
    <col min="2821" max="3072" width="8.88671875" style="1122"/>
    <col min="3073" max="3073" width="12.21875" style="1122" bestFit="1" customWidth="1"/>
    <col min="3074" max="3076" width="20.77734375" style="1122" customWidth="1"/>
    <col min="3077" max="3328" width="8.88671875" style="1122"/>
    <col min="3329" max="3329" width="12.21875" style="1122" bestFit="1" customWidth="1"/>
    <col min="3330" max="3332" width="20.77734375" style="1122" customWidth="1"/>
    <col min="3333" max="3584" width="8.88671875" style="1122"/>
    <col min="3585" max="3585" width="12.21875" style="1122" bestFit="1" customWidth="1"/>
    <col min="3586" max="3588" width="20.77734375" style="1122" customWidth="1"/>
    <col min="3589" max="3840" width="8.88671875" style="1122"/>
    <col min="3841" max="3841" width="12.21875" style="1122" bestFit="1" customWidth="1"/>
    <col min="3842" max="3844" width="20.77734375" style="1122" customWidth="1"/>
    <col min="3845" max="4096" width="8.88671875" style="1122"/>
    <col min="4097" max="4097" width="12.21875" style="1122" bestFit="1" customWidth="1"/>
    <col min="4098" max="4100" width="20.77734375" style="1122" customWidth="1"/>
    <col min="4101" max="4352" width="8.88671875" style="1122"/>
    <col min="4353" max="4353" width="12.21875" style="1122" bestFit="1" customWidth="1"/>
    <col min="4354" max="4356" width="20.77734375" style="1122" customWidth="1"/>
    <col min="4357" max="4608" width="8.88671875" style="1122"/>
    <col min="4609" max="4609" width="12.21875" style="1122" bestFit="1" customWidth="1"/>
    <col min="4610" max="4612" width="20.77734375" style="1122" customWidth="1"/>
    <col min="4613" max="4864" width="8.88671875" style="1122"/>
    <col min="4865" max="4865" width="12.21875" style="1122" bestFit="1" customWidth="1"/>
    <col min="4866" max="4868" width="20.77734375" style="1122" customWidth="1"/>
    <col min="4869" max="5120" width="8.88671875" style="1122"/>
    <col min="5121" max="5121" width="12.21875" style="1122" bestFit="1" customWidth="1"/>
    <col min="5122" max="5124" width="20.77734375" style="1122" customWidth="1"/>
    <col min="5125" max="5376" width="8.88671875" style="1122"/>
    <col min="5377" max="5377" width="12.21875" style="1122" bestFit="1" customWidth="1"/>
    <col min="5378" max="5380" width="20.77734375" style="1122" customWidth="1"/>
    <col min="5381" max="5632" width="8.88671875" style="1122"/>
    <col min="5633" max="5633" width="12.21875" style="1122" bestFit="1" customWidth="1"/>
    <col min="5634" max="5636" width="20.77734375" style="1122" customWidth="1"/>
    <col min="5637" max="5888" width="8.88671875" style="1122"/>
    <col min="5889" max="5889" width="12.21875" style="1122" bestFit="1" customWidth="1"/>
    <col min="5890" max="5892" width="20.77734375" style="1122" customWidth="1"/>
    <col min="5893" max="6144" width="8.88671875" style="1122"/>
    <col min="6145" max="6145" width="12.21875" style="1122" bestFit="1" customWidth="1"/>
    <col min="6146" max="6148" width="20.77734375" style="1122" customWidth="1"/>
    <col min="6149" max="6400" width="8.88671875" style="1122"/>
    <col min="6401" max="6401" width="12.21875" style="1122" bestFit="1" customWidth="1"/>
    <col min="6402" max="6404" width="20.77734375" style="1122" customWidth="1"/>
    <col min="6405" max="6656" width="8.88671875" style="1122"/>
    <col min="6657" max="6657" width="12.21875" style="1122" bestFit="1" customWidth="1"/>
    <col min="6658" max="6660" width="20.77734375" style="1122" customWidth="1"/>
    <col min="6661" max="6912" width="8.88671875" style="1122"/>
    <col min="6913" max="6913" width="12.21875" style="1122" bestFit="1" customWidth="1"/>
    <col min="6914" max="6916" width="20.77734375" style="1122" customWidth="1"/>
    <col min="6917" max="7168" width="8.88671875" style="1122"/>
    <col min="7169" max="7169" width="12.21875" style="1122" bestFit="1" customWidth="1"/>
    <col min="7170" max="7172" width="20.77734375" style="1122" customWidth="1"/>
    <col min="7173" max="7424" width="8.88671875" style="1122"/>
    <col min="7425" max="7425" width="12.21875" style="1122" bestFit="1" customWidth="1"/>
    <col min="7426" max="7428" width="20.77734375" style="1122" customWidth="1"/>
    <col min="7429" max="7680" width="8.88671875" style="1122"/>
    <col min="7681" max="7681" width="12.21875" style="1122" bestFit="1" customWidth="1"/>
    <col min="7682" max="7684" width="20.77734375" style="1122" customWidth="1"/>
    <col min="7685" max="7936" width="8.88671875" style="1122"/>
    <col min="7937" max="7937" width="12.21875" style="1122" bestFit="1" customWidth="1"/>
    <col min="7938" max="7940" width="20.77734375" style="1122" customWidth="1"/>
    <col min="7941" max="8192" width="8.88671875" style="1122"/>
    <col min="8193" max="8193" width="12.21875" style="1122" bestFit="1" customWidth="1"/>
    <col min="8194" max="8196" width="20.77734375" style="1122" customWidth="1"/>
    <col min="8197" max="8448" width="8.88671875" style="1122"/>
    <col min="8449" max="8449" width="12.21875" style="1122" bestFit="1" customWidth="1"/>
    <col min="8450" max="8452" width="20.77734375" style="1122" customWidth="1"/>
    <col min="8453" max="8704" width="8.88671875" style="1122"/>
    <col min="8705" max="8705" width="12.21875" style="1122" bestFit="1" customWidth="1"/>
    <col min="8706" max="8708" width="20.77734375" style="1122" customWidth="1"/>
    <col min="8709" max="8960" width="8.88671875" style="1122"/>
    <col min="8961" max="8961" width="12.21875" style="1122" bestFit="1" customWidth="1"/>
    <col min="8962" max="8964" width="20.77734375" style="1122" customWidth="1"/>
    <col min="8965" max="9216" width="8.88671875" style="1122"/>
    <col min="9217" max="9217" width="12.21875" style="1122" bestFit="1" customWidth="1"/>
    <col min="9218" max="9220" width="20.77734375" style="1122" customWidth="1"/>
    <col min="9221" max="9472" width="8.88671875" style="1122"/>
    <col min="9473" max="9473" width="12.21875" style="1122" bestFit="1" customWidth="1"/>
    <col min="9474" max="9476" width="20.77734375" style="1122" customWidth="1"/>
    <col min="9477" max="9728" width="8.88671875" style="1122"/>
    <col min="9729" max="9729" width="12.21875" style="1122" bestFit="1" customWidth="1"/>
    <col min="9730" max="9732" width="20.77734375" style="1122" customWidth="1"/>
    <col min="9733" max="9984" width="8.88671875" style="1122"/>
    <col min="9985" max="9985" width="12.21875" style="1122" bestFit="1" customWidth="1"/>
    <col min="9986" max="9988" width="20.77734375" style="1122" customWidth="1"/>
    <col min="9989" max="10240" width="8.88671875" style="1122"/>
    <col min="10241" max="10241" width="12.21875" style="1122" bestFit="1" customWidth="1"/>
    <col min="10242" max="10244" width="20.77734375" style="1122" customWidth="1"/>
    <col min="10245" max="10496" width="8.88671875" style="1122"/>
    <col min="10497" max="10497" width="12.21875" style="1122" bestFit="1" customWidth="1"/>
    <col min="10498" max="10500" width="20.77734375" style="1122" customWidth="1"/>
    <col min="10501" max="10752" width="8.88671875" style="1122"/>
    <col min="10753" max="10753" width="12.21875" style="1122" bestFit="1" customWidth="1"/>
    <col min="10754" max="10756" width="20.77734375" style="1122" customWidth="1"/>
    <col min="10757" max="11008" width="8.88671875" style="1122"/>
    <col min="11009" max="11009" width="12.21875" style="1122" bestFit="1" customWidth="1"/>
    <col min="11010" max="11012" width="20.77734375" style="1122" customWidth="1"/>
    <col min="11013" max="11264" width="8.88671875" style="1122"/>
    <col min="11265" max="11265" width="12.21875" style="1122" bestFit="1" customWidth="1"/>
    <col min="11266" max="11268" width="20.77734375" style="1122" customWidth="1"/>
    <col min="11269" max="11520" width="8.88671875" style="1122"/>
    <col min="11521" max="11521" width="12.21875" style="1122" bestFit="1" customWidth="1"/>
    <col min="11522" max="11524" width="20.77734375" style="1122" customWidth="1"/>
    <col min="11525" max="11776" width="8.88671875" style="1122"/>
    <col min="11777" max="11777" width="12.21875" style="1122" bestFit="1" customWidth="1"/>
    <col min="11778" max="11780" width="20.77734375" style="1122" customWidth="1"/>
    <col min="11781" max="12032" width="8.88671875" style="1122"/>
    <col min="12033" max="12033" width="12.21875" style="1122" bestFit="1" customWidth="1"/>
    <col min="12034" max="12036" width="20.77734375" style="1122" customWidth="1"/>
    <col min="12037" max="12288" width="8.88671875" style="1122"/>
    <col min="12289" max="12289" width="12.21875" style="1122" bestFit="1" customWidth="1"/>
    <col min="12290" max="12292" width="20.77734375" style="1122" customWidth="1"/>
    <col min="12293" max="12544" width="8.88671875" style="1122"/>
    <col min="12545" max="12545" width="12.21875" style="1122" bestFit="1" customWidth="1"/>
    <col min="12546" max="12548" width="20.77734375" style="1122" customWidth="1"/>
    <col min="12549" max="12800" width="8.88671875" style="1122"/>
    <col min="12801" max="12801" width="12.21875" style="1122" bestFit="1" customWidth="1"/>
    <col min="12802" max="12804" width="20.77734375" style="1122" customWidth="1"/>
    <col min="12805" max="13056" width="8.88671875" style="1122"/>
    <col min="13057" max="13057" width="12.21875" style="1122" bestFit="1" customWidth="1"/>
    <col min="13058" max="13060" width="20.77734375" style="1122" customWidth="1"/>
    <col min="13061" max="13312" width="8.88671875" style="1122"/>
    <col min="13313" max="13313" width="12.21875" style="1122" bestFit="1" customWidth="1"/>
    <col min="13314" max="13316" width="20.77734375" style="1122" customWidth="1"/>
    <col min="13317" max="13568" width="8.88671875" style="1122"/>
    <col min="13569" max="13569" width="12.21875" style="1122" bestFit="1" customWidth="1"/>
    <col min="13570" max="13572" width="20.77734375" style="1122" customWidth="1"/>
    <col min="13573" max="13824" width="8.88671875" style="1122"/>
    <col min="13825" max="13825" width="12.21875" style="1122" bestFit="1" customWidth="1"/>
    <col min="13826" max="13828" width="20.77734375" style="1122" customWidth="1"/>
    <col min="13829" max="14080" width="8.88671875" style="1122"/>
    <col min="14081" max="14081" width="12.21875" style="1122" bestFit="1" customWidth="1"/>
    <col min="14082" max="14084" width="20.77734375" style="1122" customWidth="1"/>
    <col min="14085" max="14336" width="8.88671875" style="1122"/>
    <col min="14337" max="14337" width="12.21875" style="1122" bestFit="1" customWidth="1"/>
    <col min="14338" max="14340" width="20.77734375" style="1122" customWidth="1"/>
    <col min="14341" max="14592" width="8.88671875" style="1122"/>
    <col min="14593" max="14593" width="12.21875" style="1122" bestFit="1" customWidth="1"/>
    <col min="14594" max="14596" width="20.77734375" style="1122" customWidth="1"/>
    <col min="14597" max="14848" width="8.88671875" style="1122"/>
    <col min="14849" max="14849" width="12.21875" style="1122" bestFit="1" customWidth="1"/>
    <col min="14850" max="14852" width="20.77734375" style="1122" customWidth="1"/>
    <col min="14853" max="15104" width="8.88671875" style="1122"/>
    <col min="15105" max="15105" width="12.21875" style="1122" bestFit="1" customWidth="1"/>
    <col min="15106" max="15108" width="20.77734375" style="1122" customWidth="1"/>
    <col min="15109" max="15360" width="8.88671875" style="1122"/>
    <col min="15361" max="15361" width="12.21875" style="1122" bestFit="1" customWidth="1"/>
    <col min="15362" max="15364" width="20.77734375" style="1122" customWidth="1"/>
    <col min="15365" max="15616" width="8.88671875" style="1122"/>
    <col min="15617" max="15617" width="12.21875" style="1122" bestFit="1" customWidth="1"/>
    <col min="15618" max="15620" width="20.77734375" style="1122" customWidth="1"/>
    <col min="15621" max="15872" width="8.88671875" style="1122"/>
    <col min="15873" max="15873" width="12.21875" style="1122" bestFit="1" customWidth="1"/>
    <col min="15874" max="15876" width="20.77734375" style="1122" customWidth="1"/>
    <col min="15877" max="16128" width="8.88671875" style="1122"/>
    <col min="16129" max="16129" width="12.21875" style="1122" bestFit="1" customWidth="1"/>
    <col min="16130" max="16132" width="20.77734375" style="1122" customWidth="1"/>
    <col min="16133" max="16384" width="8.88671875" style="1122"/>
  </cols>
  <sheetData>
    <row r="1" spans="1:4" ht="26.25">
      <c r="A1" s="2203" t="s">
        <v>1600</v>
      </c>
      <c r="B1" s="2203"/>
      <c r="C1" s="2203"/>
      <c r="D1" s="2203"/>
    </row>
    <row r="2" spans="1:4" ht="24.95" customHeight="1">
      <c r="A2" s="1123" t="s">
        <v>1601</v>
      </c>
      <c r="B2" s="1124" t="s">
        <v>1602</v>
      </c>
      <c r="C2" s="1124" t="s">
        <v>1603</v>
      </c>
      <c r="D2" s="1123" t="s">
        <v>1604</v>
      </c>
    </row>
    <row r="3" spans="1:4" ht="24.95" customHeight="1">
      <c r="A3" s="1123" t="s">
        <v>1605</v>
      </c>
      <c r="B3" s="1124" t="s">
        <v>1606</v>
      </c>
      <c r="C3" s="1124" t="s">
        <v>1607</v>
      </c>
      <c r="D3" s="1123" t="s">
        <v>1608</v>
      </c>
    </row>
    <row r="4" spans="1:4" ht="24.95" customHeight="1">
      <c r="A4" s="1123" t="s">
        <v>1609</v>
      </c>
      <c r="B4" s="1124" t="s">
        <v>1610</v>
      </c>
      <c r="C4" s="1124" t="s">
        <v>1611</v>
      </c>
      <c r="D4" s="1123" t="s">
        <v>1612</v>
      </c>
    </row>
    <row r="5" spans="1:4" ht="24.95" customHeight="1">
      <c r="A5" s="1123" t="s">
        <v>1613</v>
      </c>
      <c r="B5" s="1123" t="s">
        <v>1614</v>
      </c>
      <c r="C5" s="1123" t="s">
        <v>1614</v>
      </c>
      <c r="D5" s="1123" t="s">
        <v>1614</v>
      </c>
    </row>
    <row r="6" spans="1:4" ht="24.95" customHeight="1">
      <c r="A6" s="1123" t="s">
        <v>1615</v>
      </c>
      <c r="B6" s="1125">
        <v>1621</v>
      </c>
      <c r="C6" s="1125"/>
      <c r="D6" s="1125">
        <v>5992</v>
      </c>
    </row>
    <row r="7" spans="1:4" ht="24.95" customHeight="1">
      <c r="A7" s="1123" t="s">
        <v>1616</v>
      </c>
      <c r="B7" s="1125">
        <v>2118</v>
      </c>
      <c r="C7" s="1125"/>
      <c r="D7" s="1125">
        <v>6158</v>
      </c>
    </row>
    <row r="8" spans="1:4" ht="24.95" customHeight="1">
      <c r="A8" s="1123" t="s">
        <v>1617</v>
      </c>
      <c r="B8" s="1125">
        <v>3006</v>
      </c>
      <c r="C8" s="1125"/>
      <c r="D8" s="1125">
        <v>6166</v>
      </c>
    </row>
    <row r="9" spans="1:4" ht="24.95" customHeight="1">
      <c r="A9" s="1123" t="s">
        <v>1618</v>
      </c>
      <c r="B9" s="1125">
        <v>2860</v>
      </c>
      <c r="C9" s="1125"/>
      <c r="D9" s="1125">
        <v>6502</v>
      </c>
    </row>
    <row r="10" spans="1:4" ht="24.95" customHeight="1">
      <c r="A10" s="1123" t="s">
        <v>1619</v>
      </c>
      <c r="B10" s="1125">
        <v>2098</v>
      </c>
      <c r="C10" s="1125"/>
      <c r="D10" s="1125">
        <v>7852</v>
      </c>
    </row>
    <row r="11" spans="1:4" ht="24.95" customHeight="1">
      <c r="A11" s="1123" t="s">
        <v>1620</v>
      </c>
      <c r="B11" s="1125">
        <v>2309</v>
      </c>
      <c r="C11" s="1125"/>
      <c r="D11" s="1125">
        <v>6575</v>
      </c>
    </row>
    <row r="12" spans="1:4" ht="24.95" customHeight="1">
      <c r="A12" s="1123" t="s">
        <v>1621</v>
      </c>
      <c r="B12" s="1125">
        <v>2085</v>
      </c>
      <c r="C12" s="1125"/>
      <c r="D12" s="1125">
        <v>5818</v>
      </c>
    </row>
    <row r="13" spans="1:4" ht="24.95" customHeight="1">
      <c r="A13" s="1123" t="s">
        <v>1622</v>
      </c>
      <c r="B13" s="1125">
        <v>2355</v>
      </c>
      <c r="C13" s="1125"/>
      <c r="D13" s="1125">
        <v>6709</v>
      </c>
    </row>
    <row r="14" spans="1:4" ht="24.95" customHeight="1">
      <c r="A14" s="1123" t="s">
        <v>1623</v>
      </c>
      <c r="B14" s="1125">
        <v>2843</v>
      </c>
      <c r="C14" s="1125"/>
      <c r="D14" s="1125">
        <v>5150</v>
      </c>
    </row>
    <row r="15" spans="1:4" ht="24.95" customHeight="1">
      <c r="A15" s="1123" t="s">
        <v>1624</v>
      </c>
      <c r="B15" s="1125">
        <v>1784</v>
      </c>
      <c r="C15" s="1125"/>
      <c r="D15" s="1125">
        <v>5253</v>
      </c>
    </row>
    <row r="16" spans="1:4" ht="24.95" customHeight="1">
      <c r="A16" s="1123" t="s">
        <v>1625</v>
      </c>
      <c r="B16" s="1125">
        <v>1590</v>
      </c>
      <c r="C16" s="1125"/>
      <c r="D16" s="1125">
        <v>6517</v>
      </c>
    </row>
    <row r="17" spans="1:4" ht="24.95" customHeight="1">
      <c r="A17" s="1123" t="s">
        <v>1626</v>
      </c>
      <c r="B17" s="1125">
        <v>1798</v>
      </c>
      <c r="C17" s="1125"/>
      <c r="D17" s="1125">
        <v>8491</v>
      </c>
    </row>
    <row r="18" spans="1:4" ht="24.95" customHeight="1">
      <c r="A18" s="1123" t="s">
        <v>1627</v>
      </c>
      <c r="B18" s="1125">
        <v>1953</v>
      </c>
      <c r="C18" s="1125"/>
      <c r="D18" s="1125">
        <v>5279</v>
      </c>
    </row>
    <row r="19" spans="1:4" ht="24.95" customHeight="1">
      <c r="A19" s="1123" t="s">
        <v>1628</v>
      </c>
      <c r="B19" s="1125">
        <v>2056</v>
      </c>
      <c r="C19" s="1125"/>
      <c r="D19" s="1125">
        <v>5093</v>
      </c>
    </row>
    <row r="20" spans="1:4" ht="24.95" customHeight="1">
      <c r="A20" s="1123" t="s">
        <v>1629</v>
      </c>
      <c r="B20" s="1125">
        <v>2255</v>
      </c>
      <c r="C20" s="1125"/>
      <c r="D20" s="1125">
        <v>5235</v>
      </c>
    </row>
    <row r="21" spans="1:4" ht="24.95" customHeight="1">
      <c r="A21" s="1123" t="s">
        <v>1630</v>
      </c>
      <c r="B21" s="1125">
        <v>2178</v>
      </c>
      <c r="C21" s="1125"/>
      <c r="D21" s="1125">
        <v>5027</v>
      </c>
    </row>
    <row r="22" spans="1:4" ht="24.95" customHeight="1">
      <c r="A22" s="1123" t="s">
        <v>1631</v>
      </c>
      <c r="B22" s="1125">
        <v>2242</v>
      </c>
      <c r="C22" s="1125"/>
      <c r="D22" s="1125">
        <v>5014</v>
      </c>
    </row>
    <row r="23" spans="1:4" ht="24.95" customHeight="1">
      <c r="A23" s="1123" t="s">
        <v>1632</v>
      </c>
      <c r="B23" s="1125">
        <v>2225</v>
      </c>
      <c r="C23" s="1125"/>
      <c r="D23" s="1125">
        <v>5079</v>
      </c>
    </row>
    <row r="24" spans="1:4" ht="24.95" customHeight="1">
      <c r="A24" s="1123" t="s">
        <v>1633</v>
      </c>
      <c r="B24" s="1125">
        <v>2113</v>
      </c>
      <c r="C24" s="1125"/>
      <c r="D24" s="1125">
        <v>5332</v>
      </c>
    </row>
    <row r="25" spans="1:4" ht="24.95" customHeight="1">
      <c r="A25" s="1123" t="s">
        <v>1634</v>
      </c>
      <c r="B25" s="1125">
        <v>1766</v>
      </c>
      <c r="C25" s="1125"/>
      <c r="D25" s="1125">
        <v>5058</v>
      </c>
    </row>
    <row r="26" spans="1:4" ht="24.95" customHeight="1">
      <c r="A26" s="1123" t="s">
        <v>1635</v>
      </c>
      <c r="B26" s="1125">
        <v>2081</v>
      </c>
      <c r="C26" s="1125"/>
      <c r="D26" s="1125">
        <v>5239</v>
      </c>
    </row>
    <row r="27" spans="1:4" ht="24.95" customHeight="1">
      <c r="A27" s="1123" t="s">
        <v>1636</v>
      </c>
      <c r="B27" s="1125">
        <v>1873</v>
      </c>
      <c r="C27" s="1125"/>
      <c r="D27" s="1125">
        <v>5536</v>
      </c>
    </row>
    <row r="28" spans="1:4" ht="24.95" customHeight="1">
      <c r="A28" s="1123" t="s">
        <v>1637</v>
      </c>
      <c r="B28" s="1125">
        <v>1724</v>
      </c>
      <c r="C28" s="1125">
        <v>53</v>
      </c>
      <c r="D28" s="1125">
        <v>4817</v>
      </c>
    </row>
    <row r="29" spans="1:4" ht="24.95" customHeight="1">
      <c r="A29" s="1123" t="s">
        <v>1638</v>
      </c>
      <c r="B29" s="1125">
        <v>2047</v>
      </c>
      <c r="C29" s="1125">
        <v>80</v>
      </c>
      <c r="D29" s="1125">
        <v>4780</v>
      </c>
    </row>
    <row r="30" spans="1:4" ht="24.95" customHeight="1">
      <c r="A30" s="1123" t="s">
        <v>1639</v>
      </c>
      <c r="B30" s="1125">
        <v>3076</v>
      </c>
      <c r="C30" s="1125">
        <v>260</v>
      </c>
      <c r="D30" s="1125">
        <v>5634</v>
      </c>
    </row>
    <row r="31" spans="1:4" ht="24.95" customHeight="1">
      <c r="A31" s="1123" t="s">
        <v>1640</v>
      </c>
      <c r="B31" s="1125">
        <v>3887</v>
      </c>
      <c r="C31" s="1125">
        <v>205</v>
      </c>
      <c r="D31" s="1125">
        <v>6135</v>
      </c>
    </row>
    <row r="32" spans="1:4" ht="24.95" customHeight="1">
      <c r="A32" s="1123" t="s">
        <v>1641</v>
      </c>
      <c r="B32" s="1125">
        <v>2466</v>
      </c>
      <c r="C32" s="1125">
        <v>169</v>
      </c>
      <c r="D32" s="1125">
        <v>5349</v>
      </c>
    </row>
    <row r="33" spans="1:4" ht="24.95" customHeight="1">
      <c r="A33" s="1123" t="s">
        <v>1642</v>
      </c>
      <c r="B33" s="1125">
        <v>2300</v>
      </c>
      <c r="C33" s="1125">
        <v>197</v>
      </c>
      <c r="D33" s="1125">
        <v>5593</v>
      </c>
    </row>
    <row r="34" spans="1:4" ht="24.95" customHeight="1">
      <c r="A34" s="1123" t="s">
        <v>1643</v>
      </c>
      <c r="B34" s="1125">
        <v>2241</v>
      </c>
      <c r="C34" s="1125">
        <v>249</v>
      </c>
      <c r="D34" s="1125">
        <v>5327</v>
      </c>
    </row>
    <row r="35" spans="1:4" ht="24.95" customHeight="1">
      <c r="A35" s="1123" t="s">
        <v>1644</v>
      </c>
      <c r="B35" s="1125">
        <v>2041</v>
      </c>
      <c r="C35" s="1125">
        <v>205</v>
      </c>
      <c r="D35" s="1125">
        <v>5256</v>
      </c>
    </row>
    <row r="36" spans="1:4" ht="24.95" customHeight="1">
      <c r="A36" s="1123" t="s">
        <v>1645</v>
      </c>
      <c r="B36" s="1125">
        <v>2110</v>
      </c>
      <c r="C36" s="1125">
        <v>236</v>
      </c>
      <c r="D36" s="1125">
        <v>4979</v>
      </c>
    </row>
    <row r="37" spans="1:4" ht="24.95" customHeight="1">
      <c r="A37" s="1123" t="s">
        <v>1646</v>
      </c>
      <c r="B37" s="1125">
        <v>2040</v>
      </c>
      <c r="C37" s="1125">
        <v>264</v>
      </c>
      <c r="D37" s="1125">
        <v>5167</v>
      </c>
    </row>
    <row r="38" spans="1:4" ht="24.95" customHeight="1">
      <c r="A38" s="1123" t="s">
        <v>1647</v>
      </c>
      <c r="B38" s="1125">
        <v>1606</v>
      </c>
      <c r="C38" s="1125">
        <v>221</v>
      </c>
      <c r="D38" s="1125">
        <v>4902</v>
      </c>
    </row>
    <row r="39" spans="1:4" ht="24.95" customHeight="1">
      <c r="A39" s="1123" t="s">
        <v>1648</v>
      </c>
      <c r="B39" s="1125">
        <v>1758</v>
      </c>
      <c r="C39" s="1125">
        <v>203</v>
      </c>
      <c r="D39" s="1125">
        <v>5268</v>
      </c>
    </row>
    <row r="40" spans="1:4" ht="24.95" customHeight="1">
      <c r="A40" s="1123" t="s">
        <v>1649</v>
      </c>
      <c r="B40" s="1125">
        <v>1979</v>
      </c>
      <c r="C40" s="1125">
        <v>215</v>
      </c>
      <c r="D40" s="1125">
        <v>5152</v>
      </c>
    </row>
    <row r="41" spans="1:4" ht="24.95" customHeight="1">
      <c r="A41" s="1123" t="s">
        <v>1650</v>
      </c>
      <c r="B41" s="1125">
        <v>1891</v>
      </c>
      <c r="C41" s="1125">
        <v>191</v>
      </c>
      <c r="D41" s="1125">
        <v>6690</v>
      </c>
    </row>
    <row r="42" spans="1:4" ht="24.95" customHeight="1">
      <c r="A42" s="1123" t="s">
        <v>1651</v>
      </c>
      <c r="B42" s="1125">
        <v>2229</v>
      </c>
      <c r="C42" s="1125">
        <v>167</v>
      </c>
      <c r="D42" s="1125">
        <v>5995</v>
      </c>
    </row>
    <row r="43" spans="1:4" ht="24.95" customHeight="1">
      <c r="A43" s="1123" t="s">
        <v>1652</v>
      </c>
      <c r="B43" s="1125">
        <v>2643</v>
      </c>
      <c r="C43" s="1125">
        <v>195</v>
      </c>
      <c r="D43" s="1125">
        <v>5806</v>
      </c>
    </row>
    <row r="44" spans="1:4" ht="24.95" customHeight="1">
      <c r="A44" s="1123" t="s">
        <v>1653</v>
      </c>
      <c r="B44" s="1125">
        <v>2243</v>
      </c>
      <c r="C44" s="1125">
        <v>157</v>
      </c>
      <c r="D44" s="1125">
        <v>4926</v>
      </c>
    </row>
    <row r="45" spans="1:4" ht="24.95" customHeight="1">
      <c r="A45" s="1123" t="s">
        <v>1654</v>
      </c>
      <c r="B45" s="1125">
        <v>1999</v>
      </c>
      <c r="C45" s="1125">
        <v>153</v>
      </c>
      <c r="D45" s="1125">
        <v>5474</v>
      </c>
    </row>
    <row r="46" spans="1:4" ht="24.95" customHeight="1">
      <c r="A46" s="1123" t="s">
        <v>1655</v>
      </c>
      <c r="B46" s="1125">
        <v>2220</v>
      </c>
      <c r="C46" s="1125">
        <v>195</v>
      </c>
      <c r="D46" s="1125">
        <v>5464</v>
      </c>
    </row>
    <row r="47" spans="1:4" ht="24.95" customHeight="1">
      <c r="A47" s="1123" t="s">
        <v>1656</v>
      </c>
      <c r="B47" s="1125">
        <v>2224</v>
      </c>
      <c r="C47" s="1125">
        <v>243</v>
      </c>
      <c r="D47" s="1125">
        <v>4664</v>
      </c>
    </row>
    <row r="48" spans="1:4" ht="24.95" customHeight="1">
      <c r="A48" s="1123" t="s">
        <v>1657</v>
      </c>
      <c r="B48" s="1125">
        <v>1930</v>
      </c>
      <c r="C48" s="1125">
        <v>223</v>
      </c>
      <c r="D48" s="1125">
        <v>5593</v>
      </c>
    </row>
    <row r="49" spans="1:4" ht="24.95" customHeight="1">
      <c r="A49" s="1123" t="s">
        <v>1658</v>
      </c>
      <c r="B49" s="1125">
        <v>1607</v>
      </c>
      <c r="C49" s="1125">
        <v>244</v>
      </c>
      <c r="D49" s="1125">
        <v>5934</v>
      </c>
    </row>
    <row r="50" spans="1:4" ht="24.95" customHeight="1">
      <c r="A50" s="1123" t="s">
        <v>1659</v>
      </c>
      <c r="B50" s="1125">
        <v>1935</v>
      </c>
      <c r="C50" s="1125">
        <v>233</v>
      </c>
      <c r="D50" s="1125">
        <v>5169</v>
      </c>
    </row>
    <row r="51" spans="1:4" ht="24.95" customHeight="1">
      <c r="A51" s="1123" t="s">
        <v>1660</v>
      </c>
      <c r="B51" s="1125">
        <v>1963</v>
      </c>
      <c r="C51" s="1125">
        <v>210</v>
      </c>
      <c r="D51" s="1125">
        <v>6189</v>
      </c>
    </row>
    <row r="52" spans="1:4" ht="24.95" customHeight="1">
      <c r="A52" s="1123" t="s">
        <v>1661</v>
      </c>
      <c r="B52" s="1125">
        <v>2347</v>
      </c>
      <c r="C52" s="1125">
        <v>205</v>
      </c>
      <c r="D52" s="1125">
        <v>6751</v>
      </c>
    </row>
    <row r="53" spans="1:4" ht="24.95" customHeight="1">
      <c r="A53" s="1123" t="s">
        <v>1662</v>
      </c>
      <c r="B53" s="1125">
        <v>1968</v>
      </c>
      <c r="C53" s="1125">
        <v>156</v>
      </c>
      <c r="D53" s="1125">
        <v>5927</v>
      </c>
    </row>
    <row r="54" spans="1:4" ht="24.95" customHeight="1">
      <c r="A54" s="1123" t="s">
        <v>1663</v>
      </c>
      <c r="B54" s="1125">
        <v>2470</v>
      </c>
      <c r="C54" s="1125">
        <v>235</v>
      </c>
      <c r="D54" s="1125">
        <v>6085</v>
      </c>
    </row>
    <row r="55" spans="1:4" ht="24.95" customHeight="1">
      <c r="A55" s="1123" t="s">
        <v>1664</v>
      </c>
      <c r="B55" s="1125">
        <v>1916</v>
      </c>
      <c r="C55" s="1125">
        <v>173</v>
      </c>
      <c r="D55" s="1125">
        <v>4001</v>
      </c>
    </row>
    <row r="56" spans="1:4" ht="24.95" customHeight="1">
      <c r="A56" s="1123" t="s">
        <v>1665</v>
      </c>
      <c r="B56" s="1125">
        <v>2022</v>
      </c>
      <c r="C56" s="1125">
        <v>202</v>
      </c>
      <c r="D56" s="1125">
        <v>5842</v>
      </c>
    </row>
    <row r="57" spans="1:4" ht="24.95" customHeight="1">
      <c r="A57" s="1123" t="s">
        <v>1666</v>
      </c>
      <c r="B57" s="1125">
        <v>1963</v>
      </c>
      <c r="C57" s="1125">
        <v>198</v>
      </c>
      <c r="D57" s="1125">
        <v>5020</v>
      </c>
    </row>
    <row r="58" spans="1:4" ht="24.95" customHeight="1">
      <c r="A58" s="1123" t="s">
        <v>1667</v>
      </c>
      <c r="B58" s="1125">
        <v>2021</v>
      </c>
      <c r="C58" s="1125">
        <v>186</v>
      </c>
      <c r="D58" s="1125">
        <v>5062</v>
      </c>
    </row>
    <row r="59" spans="1:4" ht="24.95" customHeight="1">
      <c r="A59" s="1123" t="s">
        <v>1668</v>
      </c>
      <c r="B59" s="1125">
        <v>2210</v>
      </c>
      <c r="C59" s="1125">
        <v>189</v>
      </c>
      <c r="D59" s="1125">
        <v>5915</v>
      </c>
    </row>
    <row r="60" spans="1:4" ht="24.95" customHeight="1">
      <c r="A60" s="1123" t="s">
        <v>1669</v>
      </c>
      <c r="B60" s="1125">
        <v>2137</v>
      </c>
      <c r="C60" s="1125">
        <v>169</v>
      </c>
      <c r="D60" s="1125">
        <v>5783</v>
      </c>
    </row>
    <row r="61" spans="1:4" ht="24.95" customHeight="1">
      <c r="A61" s="1123" t="s">
        <v>1670</v>
      </c>
      <c r="B61" s="1125">
        <v>2069</v>
      </c>
      <c r="C61" s="1125">
        <v>194</v>
      </c>
      <c r="D61" s="1125">
        <v>6403</v>
      </c>
    </row>
    <row r="62" spans="1:4" ht="24.95" customHeight="1">
      <c r="A62" s="1123" t="s">
        <v>1671</v>
      </c>
      <c r="B62" s="1125">
        <v>2244</v>
      </c>
      <c r="C62" s="1125">
        <v>297</v>
      </c>
      <c r="D62" s="1125">
        <v>5313</v>
      </c>
    </row>
    <row r="63" spans="1:4" ht="24.95" customHeight="1">
      <c r="A63" s="1123" t="s">
        <v>1672</v>
      </c>
      <c r="B63" s="1125">
        <v>2137</v>
      </c>
      <c r="C63" s="1125">
        <v>410</v>
      </c>
      <c r="D63" s="1125">
        <v>5521</v>
      </c>
    </row>
    <row r="64" spans="1:4" ht="24.95" customHeight="1">
      <c r="A64" s="1126" t="s">
        <v>1673</v>
      </c>
      <c r="B64" s="1127">
        <f>AVERAGE(B6:B63)</f>
        <v>2152.9655172413795</v>
      </c>
      <c r="C64" s="1127">
        <f>AVERAGE(C6:C63)</f>
        <v>205.05555555555554</v>
      </c>
      <c r="D64" s="1127">
        <f>AVERAGE(D6:D63)</f>
        <v>5637.2586206896549</v>
      </c>
    </row>
    <row r="65" spans="1:4" ht="24.95" customHeight="1">
      <c r="A65" s="1126" t="s">
        <v>1674</v>
      </c>
      <c r="B65" s="1127">
        <f>B64/30</f>
        <v>71.765517241379314</v>
      </c>
      <c r="C65" s="1127">
        <f>C64/30</f>
        <v>6.8351851851851846</v>
      </c>
      <c r="D65" s="1127">
        <f>D64/30</f>
        <v>187.90862068965515</v>
      </c>
    </row>
    <row r="66" spans="1:4" ht="24.95" customHeight="1">
      <c r="A66" s="1126" t="s">
        <v>1675</v>
      </c>
      <c r="B66" s="1127">
        <v>90</v>
      </c>
      <c r="C66" s="1127">
        <v>90</v>
      </c>
      <c r="D66" s="1127">
        <v>90</v>
      </c>
    </row>
    <row r="67" spans="1:4" ht="24.95" customHeight="1">
      <c r="A67" s="1126" t="s">
        <v>1676</v>
      </c>
      <c r="B67" s="1128">
        <v>1.25</v>
      </c>
      <c r="C67" s="1128">
        <v>1.25</v>
      </c>
      <c r="D67" s="1128">
        <v>1.25</v>
      </c>
    </row>
    <row r="68" spans="1:4" ht="24.95" customHeight="1">
      <c r="A68" s="1126" t="s">
        <v>1677</v>
      </c>
      <c r="B68" s="1127">
        <f>ROUND(B65*B66/100*B67*1.1,0)</f>
        <v>89</v>
      </c>
      <c r="C68" s="1127">
        <f>ROUND(C65*C66/100*C67*1.1,0)</f>
        <v>8</v>
      </c>
      <c r="D68" s="1127">
        <f>ROUND(D65*D66/100*D67*1.1,0)</f>
        <v>233</v>
      </c>
    </row>
    <row r="69" spans="1:4" ht="24.95" customHeight="1">
      <c r="A69" s="1126" t="s">
        <v>1677</v>
      </c>
      <c r="B69" s="2204">
        <f>SUM(B68:D68)</f>
        <v>330</v>
      </c>
      <c r="C69" s="2205"/>
      <c r="D69" s="2206"/>
    </row>
  </sheetData>
  <mergeCells count="2">
    <mergeCell ref="A1:D1"/>
    <mergeCell ref="B69:D69"/>
  </mergeCells>
  <phoneticPr fontId="7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8"/>
  <sheetViews>
    <sheetView workbookViewId="0"/>
  </sheetViews>
  <sheetFormatPr defaultRowHeight="16.5"/>
  <cols>
    <col min="1" max="1" width="8.88671875" style="1311"/>
    <col min="2" max="2" width="8.77734375" style="1309" bestFit="1" customWidth="1"/>
    <col min="3" max="3" width="13.77734375" style="1310" bestFit="1" customWidth="1"/>
    <col min="4" max="4" width="11.5546875" style="1309" bestFit="1" customWidth="1"/>
    <col min="5" max="16384" width="8.88671875" style="1311"/>
  </cols>
  <sheetData>
    <row r="1" spans="2:4">
      <c r="B1" s="1309" t="s">
        <v>1833</v>
      </c>
    </row>
    <row r="2" spans="2:4">
      <c r="B2" s="1312" t="s">
        <v>1834</v>
      </c>
      <c r="C2" s="1313" t="s">
        <v>1835</v>
      </c>
      <c r="D2" s="1314" t="s">
        <v>1836</v>
      </c>
    </row>
    <row r="3" spans="2:4">
      <c r="B3" s="1315">
        <v>42845</v>
      </c>
      <c r="C3" s="1316">
        <v>206152.18299999999</v>
      </c>
      <c r="D3" s="1317"/>
    </row>
    <row r="4" spans="2:4">
      <c r="B4" s="1315">
        <v>42846</v>
      </c>
      <c r="C4" s="1316">
        <v>206201.64600000001</v>
      </c>
      <c r="D4" s="1317">
        <f t="shared" ref="D4:D35" si="0">C4-C3</f>
        <v>49.463000000017928</v>
      </c>
    </row>
    <row r="5" spans="2:4">
      <c r="B5" s="1315">
        <v>42847</v>
      </c>
      <c r="C5" s="1316">
        <v>206341.32199999999</v>
      </c>
      <c r="D5" s="1317">
        <f t="shared" si="0"/>
        <v>139.67599999997765</v>
      </c>
    </row>
    <row r="6" spans="2:4">
      <c r="B6" s="1315">
        <v>42848</v>
      </c>
      <c r="C6" s="1316">
        <v>206455.495</v>
      </c>
      <c r="D6" s="1317">
        <f t="shared" si="0"/>
        <v>114.17300000000978</v>
      </c>
    </row>
    <row r="7" spans="2:4">
      <c r="B7" s="1315">
        <v>42849</v>
      </c>
      <c r="C7" s="1316">
        <v>206566.51199999999</v>
      </c>
      <c r="D7" s="1317">
        <f t="shared" si="0"/>
        <v>111.01699999999255</v>
      </c>
    </row>
    <row r="8" spans="2:4">
      <c r="B8" s="1315">
        <v>42850</v>
      </c>
      <c r="C8" s="1316">
        <v>206638.42199999999</v>
      </c>
      <c r="D8" s="1317">
        <f t="shared" si="0"/>
        <v>71.910000000003492</v>
      </c>
    </row>
    <row r="9" spans="2:4">
      <c r="B9" s="1315">
        <v>42851</v>
      </c>
      <c r="C9" s="1316">
        <v>206708.533</v>
      </c>
      <c r="D9" s="1317">
        <f t="shared" si="0"/>
        <v>70.111000000004424</v>
      </c>
    </row>
    <row r="10" spans="2:4">
      <c r="B10" s="1315">
        <v>42852</v>
      </c>
      <c r="C10" s="1316">
        <v>206858.155</v>
      </c>
      <c r="D10" s="1317">
        <f t="shared" si="0"/>
        <v>149.62200000000303</v>
      </c>
    </row>
    <row r="11" spans="2:4">
      <c r="B11" s="1315">
        <v>42853</v>
      </c>
      <c r="C11" s="1316">
        <v>206975.897</v>
      </c>
      <c r="D11" s="1317">
        <f t="shared" si="0"/>
        <v>117.74199999999837</v>
      </c>
    </row>
    <row r="12" spans="2:4">
      <c r="B12" s="1315">
        <v>42854</v>
      </c>
      <c r="C12" s="1316">
        <v>207097.95300000001</v>
      </c>
      <c r="D12" s="1317">
        <f t="shared" si="0"/>
        <v>122.05600000001141</v>
      </c>
    </row>
    <row r="13" spans="2:4">
      <c r="B13" s="1315">
        <v>42855</v>
      </c>
      <c r="C13" s="1316">
        <v>207207.25599999999</v>
      </c>
      <c r="D13" s="1317">
        <f t="shared" si="0"/>
        <v>109.30299999998533</v>
      </c>
    </row>
    <row r="14" spans="2:4">
      <c r="B14" s="1315">
        <v>42856</v>
      </c>
      <c r="C14" s="1316">
        <v>207323.75399999999</v>
      </c>
      <c r="D14" s="1317">
        <f t="shared" si="0"/>
        <v>116.49799999999232</v>
      </c>
    </row>
    <row r="15" spans="2:4">
      <c r="B15" s="1315">
        <v>42857</v>
      </c>
      <c r="C15" s="1316">
        <v>207441.05600000001</v>
      </c>
      <c r="D15" s="1317">
        <f t="shared" si="0"/>
        <v>117.30200000002515</v>
      </c>
    </row>
    <row r="16" spans="2:4">
      <c r="B16" s="1315">
        <v>42858</v>
      </c>
      <c r="C16" s="1316">
        <v>207583.30499999999</v>
      </c>
      <c r="D16" s="1317">
        <f t="shared" si="0"/>
        <v>142.24899999998161</v>
      </c>
    </row>
    <row r="17" spans="2:4">
      <c r="B17" s="1315">
        <v>42859</v>
      </c>
      <c r="C17" s="1316">
        <v>207697.71599999999</v>
      </c>
      <c r="D17" s="1317">
        <f t="shared" si="0"/>
        <v>114.41099999999278</v>
      </c>
    </row>
    <row r="18" spans="2:4">
      <c r="B18" s="1315">
        <v>42860</v>
      </c>
      <c r="C18" s="1316">
        <v>207810.736</v>
      </c>
      <c r="D18" s="1317">
        <f t="shared" si="0"/>
        <v>113.02000000001863</v>
      </c>
    </row>
    <row r="19" spans="2:4">
      <c r="B19" s="1315">
        <v>42861</v>
      </c>
      <c r="C19" s="1316">
        <v>207893.06700000001</v>
      </c>
      <c r="D19" s="1317">
        <f t="shared" si="0"/>
        <v>82.331000000005588</v>
      </c>
    </row>
    <row r="20" spans="2:4">
      <c r="B20" s="1315">
        <v>42862</v>
      </c>
      <c r="C20" s="1316">
        <v>208008.011</v>
      </c>
      <c r="D20" s="1317">
        <f t="shared" si="0"/>
        <v>114.94399999998859</v>
      </c>
    </row>
    <row r="21" spans="2:4">
      <c r="B21" s="1315">
        <v>42863</v>
      </c>
      <c r="C21" s="1316">
        <v>208042.31899999999</v>
      </c>
      <c r="D21" s="1317">
        <f t="shared" si="0"/>
        <v>34.307999999989988</v>
      </c>
    </row>
    <row r="22" spans="2:4">
      <c r="B22" s="1315">
        <v>42864</v>
      </c>
      <c r="C22" s="1316">
        <v>208157.31400000001</v>
      </c>
      <c r="D22" s="1317">
        <f t="shared" si="0"/>
        <v>114.99500000002445</v>
      </c>
    </row>
    <row r="23" spans="2:4">
      <c r="B23" s="1315">
        <v>42865</v>
      </c>
      <c r="C23" s="1316">
        <v>208310.38</v>
      </c>
      <c r="D23" s="1317">
        <f t="shared" si="0"/>
        <v>153.06599999999162</v>
      </c>
    </row>
    <row r="24" spans="2:4">
      <c r="B24" s="1315">
        <v>42866</v>
      </c>
      <c r="C24" s="1316">
        <v>208422.12700000001</v>
      </c>
      <c r="D24" s="1317">
        <f t="shared" si="0"/>
        <v>111.74700000000303</v>
      </c>
    </row>
    <row r="25" spans="2:4">
      <c r="B25" s="1315">
        <v>42867</v>
      </c>
      <c r="C25" s="1316">
        <v>208520.52299999999</v>
      </c>
      <c r="D25" s="1317">
        <f t="shared" si="0"/>
        <v>98.395999999978812</v>
      </c>
    </row>
    <row r="26" spans="2:4">
      <c r="B26" s="1315">
        <v>42868</v>
      </c>
      <c r="C26" s="1316">
        <v>208682.823</v>
      </c>
      <c r="D26" s="1317">
        <f t="shared" si="0"/>
        <v>162.30000000001746</v>
      </c>
    </row>
    <row r="27" spans="2:4">
      <c r="B27" s="1315">
        <v>42869</v>
      </c>
      <c r="C27" s="1316">
        <v>208737.416</v>
      </c>
      <c r="D27" s="1317">
        <f t="shared" si="0"/>
        <v>54.592999999993481</v>
      </c>
    </row>
    <row r="28" spans="2:4">
      <c r="B28" s="1315">
        <v>42870</v>
      </c>
      <c r="C28" s="1316">
        <v>208901.00200000001</v>
      </c>
      <c r="D28" s="1317">
        <f t="shared" si="0"/>
        <v>163.58600000001024</v>
      </c>
    </row>
    <row r="29" spans="2:4">
      <c r="B29" s="1315">
        <v>42871</v>
      </c>
      <c r="C29" s="1316">
        <v>209015.15700000001</v>
      </c>
      <c r="D29" s="1317">
        <f t="shared" si="0"/>
        <v>114.15499999999884</v>
      </c>
    </row>
    <row r="30" spans="2:4">
      <c r="B30" s="1315">
        <v>42872</v>
      </c>
      <c r="C30" s="1316">
        <v>209122.783</v>
      </c>
      <c r="D30" s="1317">
        <f t="shared" si="0"/>
        <v>107.62599999998929</v>
      </c>
    </row>
    <row r="31" spans="2:4">
      <c r="B31" s="1315">
        <v>42873</v>
      </c>
      <c r="C31" s="1316">
        <v>209282.09</v>
      </c>
      <c r="D31" s="1317">
        <f t="shared" si="0"/>
        <v>159.3070000000007</v>
      </c>
    </row>
    <row r="32" spans="2:4">
      <c r="B32" s="1315">
        <v>42874</v>
      </c>
      <c r="C32" s="1316">
        <v>209395.56200000001</v>
      </c>
      <c r="D32" s="1317">
        <f t="shared" si="0"/>
        <v>113.47200000000885</v>
      </c>
    </row>
    <row r="33" spans="2:4">
      <c r="B33" s="1315">
        <v>42875</v>
      </c>
      <c r="C33" s="1316">
        <v>209484.56</v>
      </c>
      <c r="D33" s="1317">
        <f t="shared" si="0"/>
        <v>88.997999999992317</v>
      </c>
    </row>
    <row r="34" spans="2:4">
      <c r="B34" s="1315">
        <v>42876</v>
      </c>
      <c r="C34" s="1316">
        <v>209539.68400000001</v>
      </c>
      <c r="D34" s="1317">
        <f t="shared" si="0"/>
        <v>55.12400000001071</v>
      </c>
    </row>
    <row r="35" spans="2:4">
      <c r="B35" s="1315">
        <v>42877</v>
      </c>
      <c r="C35" s="1316">
        <v>209705.356</v>
      </c>
      <c r="D35" s="1317">
        <f t="shared" si="0"/>
        <v>165.67199999999139</v>
      </c>
    </row>
    <row r="36" spans="2:4">
      <c r="B36" s="1315">
        <v>42878</v>
      </c>
      <c r="C36" s="1316">
        <v>209819.052</v>
      </c>
      <c r="D36" s="1317">
        <f t="shared" ref="D36:D67" si="1">C36-C35</f>
        <v>113.69599999999627</v>
      </c>
    </row>
    <row r="37" spans="2:4">
      <c r="B37" s="1315">
        <v>42879</v>
      </c>
      <c r="C37" s="1316">
        <v>209927.90299999999</v>
      </c>
      <c r="D37" s="1317">
        <f t="shared" si="1"/>
        <v>108.85099999999511</v>
      </c>
    </row>
    <row r="38" spans="2:4">
      <c r="B38" s="1315">
        <v>42880</v>
      </c>
      <c r="C38" s="1316">
        <v>210031.32699999999</v>
      </c>
      <c r="D38" s="1317">
        <f t="shared" si="1"/>
        <v>103.42399999999907</v>
      </c>
    </row>
    <row r="39" spans="2:4">
      <c r="B39" s="1315">
        <v>42881</v>
      </c>
      <c r="C39" s="1316">
        <v>210127.23</v>
      </c>
      <c r="D39" s="1317">
        <f t="shared" si="1"/>
        <v>95.903000000020256</v>
      </c>
    </row>
    <row r="40" spans="2:4">
      <c r="B40" s="1315">
        <v>42882</v>
      </c>
      <c r="C40" s="1316">
        <v>210244.15100000001</v>
      </c>
      <c r="D40" s="1317">
        <f t="shared" si="1"/>
        <v>116.9210000000021</v>
      </c>
    </row>
    <row r="41" spans="2:4">
      <c r="B41" s="1315">
        <v>42883</v>
      </c>
      <c r="C41" s="1316">
        <v>210362.06700000001</v>
      </c>
      <c r="D41" s="1317">
        <f t="shared" si="1"/>
        <v>117.91599999999744</v>
      </c>
    </row>
    <row r="42" spans="2:4">
      <c r="B42" s="1315">
        <v>42884</v>
      </c>
      <c r="C42" s="1316">
        <v>210446.61900000001</v>
      </c>
      <c r="D42" s="1317">
        <f t="shared" si="1"/>
        <v>84.551999999996042</v>
      </c>
    </row>
    <row r="43" spans="2:4">
      <c r="B43" s="1315">
        <v>42885</v>
      </c>
      <c r="C43" s="1316">
        <v>210557.51800000001</v>
      </c>
      <c r="D43" s="1317">
        <f t="shared" si="1"/>
        <v>110.89900000000489</v>
      </c>
    </row>
    <row r="44" spans="2:4">
      <c r="B44" s="1315">
        <v>42886</v>
      </c>
      <c r="C44" s="1316">
        <v>210675.00200000001</v>
      </c>
      <c r="D44" s="1317">
        <f t="shared" si="1"/>
        <v>117.48399999999674</v>
      </c>
    </row>
    <row r="45" spans="2:4">
      <c r="B45" s="1315">
        <v>42887</v>
      </c>
      <c r="C45" s="1316">
        <v>210751.45699999999</v>
      </c>
      <c r="D45" s="1317">
        <f t="shared" si="1"/>
        <v>76.454999999987194</v>
      </c>
    </row>
    <row r="46" spans="2:4">
      <c r="B46" s="1315">
        <v>42888</v>
      </c>
      <c r="C46" s="1316">
        <v>210845.48</v>
      </c>
      <c r="D46" s="1317">
        <f t="shared" si="1"/>
        <v>94.0230000000156</v>
      </c>
    </row>
    <row r="47" spans="2:4">
      <c r="B47" s="1315">
        <v>42889</v>
      </c>
      <c r="C47" s="1316">
        <v>210980.927</v>
      </c>
      <c r="D47" s="1317">
        <f t="shared" si="1"/>
        <v>135.44699999998556</v>
      </c>
    </row>
    <row r="48" spans="2:4">
      <c r="B48" s="1315">
        <v>42890</v>
      </c>
      <c r="C48" s="1316">
        <v>211084.25399999999</v>
      </c>
      <c r="D48" s="1317">
        <f t="shared" si="1"/>
        <v>103.32699999999022</v>
      </c>
    </row>
    <row r="49" spans="2:4">
      <c r="B49" s="1315">
        <v>42891</v>
      </c>
      <c r="C49" s="1316">
        <v>211202.49400000001</v>
      </c>
      <c r="D49" s="1317">
        <f t="shared" si="1"/>
        <v>118.24000000001979</v>
      </c>
    </row>
    <row r="50" spans="2:4">
      <c r="B50" s="1315">
        <v>42892</v>
      </c>
      <c r="C50" s="1316">
        <v>211308.26500000001</v>
      </c>
      <c r="D50" s="1317">
        <f t="shared" si="1"/>
        <v>105.77100000000792</v>
      </c>
    </row>
    <row r="51" spans="2:4">
      <c r="B51" s="1315">
        <v>42893</v>
      </c>
      <c r="C51" s="1316">
        <v>211399.97099999999</v>
      </c>
      <c r="D51" s="1317">
        <f t="shared" si="1"/>
        <v>91.705999999976484</v>
      </c>
    </row>
    <row r="52" spans="2:4">
      <c r="B52" s="1315">
        <v>42894</v>
      </c>
      <c r="C52" s="1316">
        <v>211517.951</v>
      </c>
      <c r="D52" s="1317">
        <f t="shared" si="1"/>
        <v>117.98000000001048</v>
      </c>
    </row>
    <row r="53" spans="2:4">
      <c r="B53" s="1315">
        <v>42895</v>
      </c>
      <c r="C53" s="1316">
        <v>211599.11499999999</v>
      </c>
      <c r="D53" s="1317">
        <f t="shared" si="1"/>
        <v>81.163999999989755</v>
      </c>
    </row>
    <row r="54" spans="2:4">
      <c r="B54" s="1315">
        <v>42896</v>
      </c>
      <c r="C54" s="1316">
        <v>211717.73800000001</v>
      </c>
      <c r="D54" s="1317">
        <f t="shared" si="1"/>
        <v>118.62300000002142</v>
      </c>
    </row>
    <row r="55" spans="2:4">
      <c r="B55" s="1315">
        <v>42897</v>
      </c>
      <c r="C55" s="1316">
        <v>211830.535</v>
      </c>
      <c r="D55" s="1317">
        <f t="shared" si="1"/>
        <v>112.79699999999139</v>
      </c>
    </row>
    <row r="56" spans="2:4">
      <c r="B56" s="1315">
        <v>42898</v>
      </c>
      <c r="C56" s="1316">
        <v>211910.611</v>
      </c>
      <c r="D56" s="1317">
        <f t="shared" si="1"/>
        <v>80.076000000000931</v>
      </c>
    </row>
    <row r="57" spans="2:4">
      <c r="B57" s="1315">
        <v>42899</v>
      </c>
      <c r="C57" s="1316">
        <v>212040.47099999999</v>
      </c>
      <c r="D57" s="1317">
        <f t="shared" si="1"/>
        <v>129.85999999998603</v>
      </c>
    </row>
    <row r="58" spans="2:4">
      <c r="B58" s="1315">
        <v>42900</v>
      </c>
      <c r="C58" s="1316">
        <v>212152.734</v>
      </c>
      <c r="D58" s="1317">
        <f t="shared" si="1"/>
        <v>112.26300000000629</v>
      </c>
    </row>
    <row r="59" spans="2:4">
      <c r="B59" s="1315">
        <v>42901</v>
      </c>
      <c r="C59" s="1316">
        <v>212254.86900000001</v>
      </c>
      <c r="D59" s="1317">
        <f t="shared" si="1"/>
        <v>102.13500000000931</v>
      </c>
    </row>
    <row r="60" spans="2:4">
      <c r="B60" s="1315">
        <v>42902</v>
      </c>
      <c r="C60" s="1316">
        <v>212334.897</v>
      </c>
      <c r="D60" s="1317">
        <f t="shared" si="1"/>
        <v>80.027999999991152</v>
      </c>
    </row>
    <row r="61" spans="2:4">
      <c r="B61" s="1315">
        <v>42903</v>
      </c>
      <c r="C61" s="1316">
        <v>212502.397</v>
      </c>
      <c r="D61" s="1317">
        <f t="shared" si="1"/>
        <v>167.5</v>
      </c>
    </row>
    <row r="62" spans="2:4">
      <c r="B62" s="1315">
        <v>42904</v>
      </c>
      <c r="C62" s="1316">
        <v>212636.071</v>
      </c>
      <c r="D62" s="1317">
        <f t="shared" si="1"/>
        <v>133.67399999999907</v>
      </c>
    </row>
    <row r="63" spans="2:4">
      <c r="B63" s="1315">
        <v>42905</v>
      </c>
      <c r="C63" s="1316">
        <v>212755.21599999999</v>
      </c>
      <c r="D63" s="1317">
        <f t="shared" si="1"/>
        <v>119.14499999998952</v>
      </c>
    </row>
    <row r="64" spans="2:4">
      <c r="B64" s="1315">
        <v>42906</v>
      </c>
      <c r="C64" s="1316">
        <v>212854.302</v>
      </c>
      <c r="D64" s="1317">
        <f t="shared" si="1"/>
        <v>99.086000000010245</v>
      </c>
    </row>
    <row r="65" spans="2:4">
      <c r="B65" s="1315">
        <v>42907</v>
      </c>
      <c r="C65" s="1316">
        <v>212953.389</v>
      </c>
      <c r="D65" s="1317">
        <f t="shared" si="1"/>
        <v>99.086999999999534</v>
      </c>
    </row>
    <row r="66" spans="2:4">
      <c r="B66" s="1315">
        <v>42908</v>
      </c>
      <c r="C66" s="1316">
        <v>213032.52299999999</v>
      </c>
      <c r="D66" s="1317">
        <f t="shared" si="1"/>
        <v>79.13399999999092</v>
      </c>
    </row>
    <row r="67" spans="2:4">
      <c r="B67" s="1315">
        <v>42909</v>
      </c>
      <c r="C67" s="1316">
        <v>213152.046</v>
      </c>
      <c r="D67" s="1317">
        <f t="shared" si="1"/>
        <v>119.5230000000156</v>
      </c>
    </row>
    <row r="68" spans="2:4">
      <c r="B68" s="1315">
        <v>42910</v>
      </c>
      <c r="C68" s="1316">
        <v>213267.18700000001</v>
      </c>
      <c r="D68" s="1317">
        <f t="shared" ref="D68:D99" si="2">C68-C67</f>
        <v>115.14100000000326</v>
      </c>
    </row>
    <row r="69" spans="2:4">
      <c r="B69" s="1315">
        <v>42911</v>
      </c>
      <c r="C69" s="1316">
        <v>213381.27799999999</v>
      </c>
      <c r="D69" s="1317">
        <f t="shared" si="2"/>
        <v>114.0909999999858</v>
      </c>
    </row>
    <row r="70" spans="2:4">
      <c r="B70" s="1315">
        <v>42912</v>
      </c>
      <c r="C70" s="1316">
        <v>213458.74100000001</v>
      </c>
      <c r="D70" s="1317">
        <f t="shared" si="2"/>
        <v>77.463000000017928</v>
      </c>
    </row>
    <row r="71" spans="2:4">
      <c r="B71" s="1315">
        <v>42913</v>
      </c>
      <c r="C71" s="1316">
        <v>213576.2</v>
      </c>
      <c r="D71" s="1317">
        <f t="shared" si="2"/>
        <v>117.45900000000256</v>
      </c>
    </row>
    <row r="72" spans="2:4">
      <c r="B72" s="1315">
        <v>42914</v>
      </c>
      <c r="C72" s="1316">
        <v>213701.424</v>
      </c>
      <c r="D72" s="1317">
        <f t="shared" si="2"/>
        <v>125.22399999998743</v>
      </c>
    </row>
    <row r="73" spans="2:4">
      <c r="B73" s="1315">
        <v>42915</v>
      </c>
      <c r="C73" s="1316">
        <v>213816.38</v>
      </c>
      <c r="D73" s="1317">
        <f t="shared" si="2"/>
        <v>114.95600000000559</v>
      </c>
    </row>
    <row r="74" spans="2:4">
      <c r="B74" s="1315">
        <v>42916</v>
      </c>
      <c r="C74" s="1316">
        <v>213897.51300000001</v>
      </c>
      <c r="D74" s="1317">
        <f t="shared" si="2"/>
        <v>81.13300000000163</v>
      </c>
    </row>
    <row r="75" spans="2:4">
      <c r="B75" s="1315">
        <v>42917</v>
      </c>
      <c r="C75" s="1316">
        <v>213969.193</v>
      </c>
      <c r="D75" s="1317">
        <f t="shared" si="2"/>
        <v>71.679999999993015</v>
      </c>
    </row>
    <row r="76" spans="2:4">
      <c r="B76" s="1315">
        <v>42918</v>
      </c>
      <c r="C76" s="1316">
        <v>214046.43400000001</v>
      </c>
      <c r="D76" s="1317">
        <f t="shared" si="2"/>
        <v>77.24100000000908</v>
      </c>
    </row>
    <row r="77" spans="2:4">
      <c r="B77" s="1315">
        <v>42919</v>
      </c>
      <c r="C77" s="1316">
        <v>214131.67300000001</v>
      </c>
      <c r="D77" s="1317">
        <f t="shared" si="2"/>
        <v>85.239000000001397</v>
      </c>
    </row>
    <row r="78" spans="2:4">
      <c r="B78" s="1315">
        <v>42920</v>
      </c>
      <c r="C78" s="1316">
        <v>214269.204</v>
      </c>
      <c r="D78" s="1317">
        <f t="shared" si="2"/>
        <v>137.53099999998813</v>
      </c>
    </row>
    <row r="79" spans="2:4">
      <c r="B79" s="1315">
        <v>42921</v>
      </c>
      <c r="C79" s="1316">
        <v>214406.73499999999</v>
      </c>
      <c r="D79" s="1317">
        <f t="shared" si="2"/>
        <v>137.53099999998813</v>
      </c>
    </row>
    <row r="80" spans="2:4">
      <c r="B80" s="1315">
        <v>42922</v>
      </c>
      <c r="C80" s="1316">
        <v>214601.522</v>
      </c>
      <c r="D80" s="1317">
        <f t="shared" si="2"/>
        <v>194.78700000001118</v>
      </c>
    </row>
    <row r="81" spans="2:4">
      <c r="B81" s="1315">
        <v>42923</v>
      </c>
      <c r="C81" s="1316">
        <v>214722.12400000001</v>
      </c>
      <c r="D81" s="1317">
        <f t="shared" si="2"/>
        <v>120.6020000000135</v>
      </c>
    </row>
    <row r="82" spans="2:4">
      <c r="B82" s="1315">
        <v>42924</v>
      </c>
      <c r="C82" s="1316">
        <v>214819.97399999999</v>
      </c>
      <c r="D82" s="1317">
        <f t="shared" si="2"/>
        <v>97.849999999976717</v>
      </c>
    </row>
    <row r="83" spans="2:4">
      <c r="B83" s="1315">
        <v>42925</v>
      </c>
      <c r="C83" s="1316">
        <v>214970.329</v>
      </c>
      <c r="D83" s="1317">
        <f t="shared" si="2"/>
        <v>150.35500000001048</v>
      </c>
    </row>
    <row r="84" spans="2:4">
      <c r="B84" s="1315">
        <v>42926</v>
      </c>
      <c r="C84" s="1316">
        <v>215132.432</v>
      </c>
      <c r="D84" s="1317">
        <f t="shared" si="2"/>
        <v>162.10300000000279</v>
      </c>
    </row>
    <row r="85" spans="2:4">
      <c r="B85" s="1315">
        <v>42927</v>
      </c>
      <c r="C85" s="1316">
        <v>215586.948</v>
      </c>
      <c r="D85" s="1317">
        <f t="shared" si="2"/>
        <v>454.51600000000326</v>
      </c>
    </row>
    <row r="86" spans="2:4">
      <c r="B86" s="1315">
        <v>42928</v>
      </c>
      <c r="C86" s="1316">
        <v>215742.27499999999</v>
      </c>
      <c r="D86" s="1317">
        <f t="shared" si="2"/>
        <v>155.32699999999022</v>
      </c>
    </row>
    <row r="87" spans="2:4">
      <c r="B87" s="1315">
        <v>42929</v>
      </c>
      <c r="C87" s="1316">
        <v>215883.67</v>
      </c>
      <c r="D87" s="1317">
        <f t="shared" si="2"/>
        <v>141.39500000001863</v>
      </c>
    </row>
    <row r="88" spans="2:4">
      <c r="B88" s="1315">
        <v>42930</v>
      </c>
      <c r="C88" s="1316">
        <v>216102.80300000001</v>
      </c>
      <c r="D88" s="1317">
        <f t="shared" si="2"/>
        <v>219.13300000000163</v>
      </c>
    </row>
    <row r="89" spans="2:4">
      <c r="B89" s="1315">
        <v>42931</v>
      </c>
      <c r="C89" s="1316">
        <v>216285.33499999999</v>
      </c>
      <c r="D89" s="1317">
        <f t="shared" si="2"/>
        <v>182.53199999997742</v>
      </c>
    </row>
    <row r="90" spans="2:4">
      <c r="B90" s="1315">
        <v>42932</v>
      </c>
      <c r="C90" s="1316">
        <v>216457.215</v>
      </c>
      <c r="D90" s="1317">
        <f t="shared" si="2"/>
        <v>171.88000000000466</v>
      </c>
    </row>
    <row r="91" spans="2:4">
      <c r="B91" s="1315">
        <v>42933</v>
      </c>
      <c r="C91" s="1316">
        <v>216613.48800000001</v>
      </c>
      <c r="D91" s="1317">
        <f t="shared" si="2"/>
        <v>156.2730000000156</v>
      </c>
    </row>
    <row r="92" spans="2:4">
      <c r="B92" s="1315">
        <v>42934</v>
      </c>
      <c r="C92" s="1316">
        <v>216762.79300000001</v>
      </c>
      <c r="D92" s="1317">
        <f t="shared" si="2"/>
        <v>149.30499999999302</v>
      </c>
    </row>
    <row r="93" spans="2:4">
      <c r="B93" s="1315">
        <v>42935</v>
      </c>
      <c r="C93" s="1316">
        <v>216931.405</v>
      </c>
      <c r="D93" s="1317">
        <f t="shared" si="2"/>
        <v>168.61199999999371</v>
      </c>
    </row>
    <row r="94" spans="2:4">
      <c r="B94" s="1315">
        <v>42936</v>
      </c>
      <c r="C94" s="1316">
        <v>217075.85399999999</v>
      </c>
      <c r="D94" s="1317">
        <f t="shared" si="2"/>
        <v>144.44899999999325</v>
      </c>
    </row>
    <row r="95" spans="2:4">
      <c r="B95" s="1315">
        <v>42937</v>
      </c>
      <c r="C95" s="1316">
        <v>217186.39799999999</v>
      </c>
      <c r="D95" s="1317">
        <f t="shared" si="2"/>
        <v>110.54399999999441</v>
      </c>
    </row>
    <row r="96" spans="2:4">
      <c r="B96" s="1315">
        <v>42938</v>
      </c>
      <c r="C96" s="1316">
        <v>217345.83</v>
      </c>
      <c r="D96" s="1317">
        <f t="shared" si="2"/>
        <v>159.4320000000007</v>
      </c>
    </row>
    <row r="97" spans="2:4">
      <c r="B97" s="1315">
        <v>42939</v>
      </c>
      <c r="C97" s="1316">
        <v>217507.29300000001</v>
      </c>
      <c r="D97" s="1317">
        <f t="shared" si="2"/>
        <v>161.46300000001793</v>
      </c>
    </row>
    <row r="98" spans="2:4">
      <c r="B98" s="1315">
        <v>42940</v>
      </c>
      <c r="C98" s="1316">
        <v>217629.003</v>
      </c>
      <c r="D98" s="1317">
        <f t="shared" si="2"/>
        <v>121.70999999999185</v>
      </c>
    </row>
    <row r="99" spans="2:4">
      <c r="B99" s="1315">
        <v>42941</v>
      </c>
      <c r="C99" s="1316">
        <v>217836.43299999999</v>
      </c>
      <c r="D99" s="1317">
        <f t="shared" si="2"/>
        <v>207.42999999999302</v>
      </c>
    </row>
    <row r="100" spans="2:4">
      <c r="B100" s="1315">
        <v>42942</v>
      </c>
      <c r="C100" s="1316">
        <v>218044.28899999999</v>
      </c>
      <c r="D100" s="1317">
        <f t="shared" ref="D100:D105" si="3">C100-C99</f>
        <v>207.85599999999977</v>
      </c>
    </row>
    <row r="101" spans="2:4">
      <c r="B101" s="1315">
        <v>42943</v>
      </c>
      <c r="C101" s="1316">
        <v>218177.49</v>
      </c>
      <c r="D101" s="1317">
        <f t="shared" si="3"/>
        <v>133.20100000000093</v>
      </c>
    </row>
    <row r="102" spans="2:4">
      <c r="B102" s="1315">
        <v>42944</v>
      </c>
      <c r="C102" s="1316">
        <v>218326.277</v>
      </c>
      <c r="D102" s="1317">
        <f t="shared" si="3"/>
        <v>148.78700000001118</v>
      </c>
    </row>
    <row r="103" spans="2:4">
      <c r="B103" s="1315">
        <v>42945</v>
      </c>
      <c r="C103" s="1316">
        <v>218475.06</v>
      </c>
      <c r="D103" s="1317">
        <f t="shared" si="3"/>
        <v>148.78299999999581</v>
      </c>
    </row>
    <row r="104" spans="2:4">
      <c r="B104" s="1315">
        <v>42946</v>
      </c>
      <c r="C104" s="1316">
        <v>218590.84299999999</v>
      </c>
      <c r="D104" s="1317">
        <f t="shared" si="3"/>
        <v>115.78299999999581</v>
      </c>
    </row>
    <row r="105" spans="2:4">
      <c r="B105" s="1315">
        <v>42947</v>
      </c>
      <c r="C105" s="1316">
        <v>218666.79399999999</v>
      </c>
      <c r="D105" s="1317">
        <f t="shared" si="3"/>
        <v>75.951000000000931</v>
      </c>
    </row>
    <row r="106" spans="2:4">
      <c r="B106" s="2207" t="s">
        <v>1837</v>
      </c>
      <c r="C106" s="2208"/>
      <c r="D106" s="1317">
        <f>AVERAGE(D4:D105)</f>
        <v>122.69226470588239</v>
      </c>
    </row>
    <row r="107" spans="2:4">
      <c r="B107" s="2207" t="s">
        <v>1838</v>
      </c>
      <c r="C107" s="2208"/>
      <c r="D107" s="1317">
        <f>MAX(D4:D105)</f>
        <v>454.51600000000326</v>
      </c>
    </row>
    <row r="108" spans="2:4">
      <c r="B108" s="2209" t="s">
        <v>1839</v>
      </c>
      <c r="C108" s="2210"/>
      <c r="D108" s="1318">
        <f>MIN(D5:D106)</f>
        <v>34.307999999989988</v>
      </c>
    </row>
  </sheetData>
  <mergeCells count="3">
    <mergeCell ref="B106:C106"/>
    <mergeCell ref="B107:C107"/>
    <mergeCell ref="B108:C108"/>
  </mergeCells>
  <phoneticPr fontId="7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rgb="FF000099"/>
  </sheetPr>
  <dimension ref="A1:O28"/>
  <sheetViews>
    <sheetView workbookViewId="0"/>
  </sheetViews>
  <sheetFormatPr defaultRowHeight="13.5"/>
  <cols>
    <col min="1" max="1" width="8.88671875" style="190"/>
    <col min="2" max="2" width="9.5546875" style="190" customWidth="1"/>
    <col min="3" max="16384" width="8.88671875" style="190"/>
  </cols>
  <sheetData>
    <row r="1" spans="1:15" ht="24.95" customHeight="1">
      <c r="A1" s="189"/>
    </row>
    <row r="2" spans="1:15" ht="24.95" customHeight="1">
      <c r="A2" s="649" t="s">
        <v>648</v>
      </c>
      <c r="B2" s="63"/>
      <c r="C2" s="64"/>
      <c r="D2" s="64"/>
      <c r="E2" s="63"/>
      <c r="F2" s="64"/>
      <c r="G2" s="64"/>
      <c r="H2" s="64"/>
      <c r="I2" s="64"/>
      <c r="J2" s="65"/>
      <c r="K2" s="64"/>
    </row>
    <row r="3" spans="1:15" ht="24.95" customHeight="1">
      <c r="A3" s="2215" t="s">
        <v>43</v>
      </c>
      <c r="B3" s="2216"/>
      <c r="C3" s="643" t="s">
        <v>944</v>
      </c>
      <c r="D3" s="644" t="s">
        <v>945</v>
      </c>
      <c r="E3" s="643" t="s">
        <v>946</v>
      </c>
      <c r="F3" s="643" t="s">
        <v>947</v>
      </c>
      <c r="G3" s="645" t="s">
        <v>948</v>
      </c>
      <c r="H3" s="645" t="s">
        <v>975</v>
      </c>
      <c r="I3" s="645" t="s">
        <v>976</v>
      </c>
      <c r="J3" s="643" t="s">
        <v>951</v>
      </c>
      <c r="K3" s="646" t="s">
        <v>952</v>
      </c>
    </row>
    <row r="4" spans="1:15" ht="24.95" customHeight="1">
      <c r="A4" s="2213" t="s">
        <v>69</v>
      </c>
      <c r="B4" s="2214"/>
      <c r="C4" s="647">
        <f>+'4.1사용실적산정'!G14</f>
        <v>197</v>
      </c>
      <c r="D4" s="647">
        <f>+'4.1사용실적산정'!G24</f>
        <v>162</v>
      </c>
      <c r="E4" s="647">
        <f>+'4.1사용실적산정'!G34</f>
        <v>0</v>
      </c>
      <c r="F4" s="647">
        <f>+'4.1사용실적산정'!G44</f>
        <v>0</v>
      </c>
      <c r="G4" s="647">
        <f>+'4.1사용실적산정'!G54</f>
        <v>0</v>
      </c>
      <c r="H4" s="917">
        <f>+'4.1사용실적산정'!G64</f>
        <v>0</v>
      </c>
      <c r="I4" s="917">
        <f>+'4.1사용실적산정'!G74</f>
        <v>0</v>
      </c>
      <c r="J4" s="647">
        <f>+'4.1사용실적산정'!G84</f>
        <v>0</v>
      </c>
      <c r="K4" s="648">
        <f>+'4.1사용실적산정'!G94</f>
        <v>0</v>
      </c>
    </row>
    <row r="5" spans="1:15" ht="24.95" customHeight="1">
      <c r="A5" s="2213" t="s">
        <v>37</v>
      </c>
      <c r="B5" s="2214"/>
      <c r="C5" s="647">
        <f>+'4.1사용실적산정'!G15</f>
        <v>194</v>
      </c>
      <c r="D5" s="647">
        <f>+'4.1사용실적산정'!G25</f>
        <v>167</v>
      </c>
      <c r="E5" s="647">
        <f>+'4.1사용실적산정'!G35</f>
        <v>0</v>
      </c>
      <c r="F5" s="647">
        <f>+'4.1사용실적산정'!G45</f>
        <v>0</v>
      </c>
      <c r="G5" s="647">
        <f>+'4.1사용실적산정'!G55</f>
        <v>0</v>
      </c>
      <c r="H5" s="917">
        <f>+'4.1사용실적산정'!G65</f>
        <v>0</v>
      </c>
      <c r="I5" s="917">
        <f>+'4.1사용실적산정'!G75</f>
        <v>0</v>
      </c>
      <c r="J5" s="647">
        <f>+'4.1사용실적산정'!G85</f>
        <v>0</v>
      </c>
      <c r="K5" s="648">
        <f>+'4.1사용실적산정'!G95</f>
        <v>0</v>
      </c>
    </row>
    <row r="6" spans="1:15" ht="24.95" customHeight="1">
      <c r="A6" s="2213" t="s">
        <v>2</v>
      </c>
      <c r="B6" s="2214"/>
      <c r="C6" s="647">
        <f>+'4.1사용실적산정'!G16</f>
        <v>162</v>
      </c>
      <c r="D6" s="647">
        <f>+'4.1사용실적산정'!G26</f>
        <v>219</v>
      </c>
      <c r="E6" s="647">
        <f>+'4.1사용실적산정'!G36</f>
        <v>0</v>
      </c>
      <c r="F6" s="647">
        <f>+'4.1사용실적산정'!G46</f>
        <v>395</v>
      </c>
      <c r="G6" s="647">
        <f>+'4.1사용실적산정'!G56</f>
        <v>531</v>
      </c>
      <c r="H6" s="917">
        <f>+'4.1사용실적산정'!G66</f>
        <v>571</v>
      </c>
      <c r="I6" s="917">
        <f>+'4.1사용실적산정'!G76</f>
        <v>70</v>
      </c>
      <c r="J6" s="647">
        <f>+'4.1사용실적산정'!G86</f>
        <v>405</v>
      </c>
      <c r="K6" s="648">
        <f>+'4.1사용실적산정'!G96</f>
        <v>275</v>
      </c>
    </row>
    <row r="7" spans="1:15" ht="24.95" customHeight="1">
      <c r="A7" s="2213" t="s">
        <v>3</v>
      </c>
      <c r="B7" s="2214"/>
      <c r="C7" s="647">
        <f>+'4.1사용실적산정'!G17</f>
        <v>192</v>
      </c>
      <c r="D7" s="647">
        <f>+'4.1사용실적산정'!G27</f>
        <v>195</v>
      </c>
      <c r="E7" s="647">
        <f>+'4.1사용실적산정'!G37</f>
        <v>0</v>
      </c>
      <c r="F7" s="647">
        <f>+'4.1사용실적산정'!G47</f>
        <v>153</v>
      </c>
      <c r="G7" s="647">
        <f>+'4.1사용실적산정'!G57</f>
        <v>167</v>
      </c>
      <c r="H7" s="917">
        <f>+'4.1사용실적산정'!G67</f>
        <v>182</v>
      </c>
      <c r="I7" s="917">
        <f>+'4.1사용실적산정'!G77</f>
        <v>76</v>
      </c>
      <c r="J7" s="647">
        <f>+'4.1사용실적산정'!G87</f>
        <v>390</v>
      </c>
      <c r="K7" s="648">
        <f>+'4.1사용실적산정'!G97</f>
        <v>237</v>
      </c>
    </row>
    <row r="8" spans="1:15" ht="24.95" customHeight="1">
      <c r="A8" s="2213" t="s">
        <v>65</v>
      </c>
      <c r="B8" s="2214"/>
      <c r="C8" s="647">
        <f>+'4.1사용실적산정'!G18</f>
        <v>222</v>
      </c>
      <c r="D8" s="647">
        <f>+'4.1사용실적산정'!G28</f>
        <v>235</v>
      </c>
      <c r="E8" s="647">
        <f>+'4.1사용실적산정'!G38</f>
        <v>77</v>
      </c>
      <c r="F8" s="647">
        <f>+'4.1사용실적산정'!G48</f>
        <v>117</v>
      </c>
      <c r="G8" s="647">
        <f>+'4.1사용실적산정'!G58</f>
        <v>85</v>
      </c>
      <c r="H8" s="917">
        <f>+'4.1사용실적산정'!G68</f>
        <v>192</v>
      </c>
      <c r="I8" s="917">
        <f>+'4.1사용실적산정'!G78</f>
        <v>73</v>
      </c>
      <c r="J8" s="647">
        <f>+'4.1사용실적산정'!G88</f>
        <v>324</v>
      </c>
      <c r="K8" s="648">
        <f>+'4.1사용실적산정'!G98</f>
        <v>235</v>
      </c>
      <c r="O8" s="190">
        <v>214</v>
      </c>
    </row>
    <row r="9" spans="1:15" ht="24.95" customHeight="1">
      <c r="A9" s="2213" t="s">
        <v>16</v>
      </c>
      <c r="B9" s="2214"/>
      <c r="C9" s="647">
        <f>+'4.1사용실적산정'!G19</f>
        <v>225</v>
      </c>
      <c r="D9" s="647">
        <f>+'4.1사용실적산정'!G29</f>
        <v>233</v>
      </c>
      <c r="E9" s="647">
        <f>+'4.1사용실적산정'!G39</f>
        <v>132</v>
      </c>
      <c r="F9" s="647">
        <f>+'4.1사용실적산정'!G49</f>
        <v>159</v>
      </c>
      <c r="G9" s="647">
        <f>+'4.1사용실적산정'!G59</f>
        <v>131</v>
      </c>
      <c r="H9" s="917">
        <f>+'4.1사용실적산정'!G69</f>
        <v>206</v>
      </c>
      <c r="I9" s="917">
        <f>+'4.1사용실적산정'!G79</f>
        <v>96</v>
      </c>
      <c r="J9" s="647">
        <f>+'4.1사용실적산정'!G89</f>
        <v>344</v>
      </c>
      <c r="K9" s="648">
        <f>+'4.1사용실적산정'!G99</f>
        <v>264</v>
      </c>
      <c r="O9" s="190">
        <v>204</v>
      </c>
    </row>
    <row r="10" spans="1:15" ht="24.95" customHeight="1">
      <c r="A10" s="2213" t="s">
        <v>66</v>
      </c>
      <c r="B10" s="2214"/>
      <c r="C10" s="647">
        <f>+'4.1사용실적산정'!G20</f>
        <v>228</v>
      </c>
      <c r="D10" s="647">
        <f>+'4.1사용실적산정'!G30</f>
        <v>230</v>
      </c>
      <c r="E10" s="647">
        <f>+'4.1사용실적산정'!G40</f>
        <v>157</v>
      </c>
      <c r="F10" s="647">
        <f>+'4.1사용실적산정'!G50</f>
        <v>205</v>
      </c>
      <c r="G10" s="647">
        <f>+'4.1사용실적산정'!G60</f>
        <v>109</v>
      </c>
      <c r="H10" s="917">
        <f>+'4.1사용실적산정'!G70</f>
        <v>574</v>
      </c>
      <c r="I10" s="917">
        <f>+'4.1사용실적산정'!G80</f>
        <v>123</v>
      </c>
      <c r="J10" s="647">
        <f>+'4.1사용실적산정'!G90</f>
        <v>380</v>
      </c>
      <c r="K10" s="648">
        <f>+'4.1사용실적산정'!G100</f>
        <v>248</v>
      </c>
    </row>
    <row r="11" spans="1:15" ht="24.95" customHeight="1">
      <c r="A11" s="2213" t="s">
        <v>67</v>
      </c>
      <c r="B11" s="2214"/>
      <c r="C11" s="647">
        <f>+'4.1사용실적산정'!G21</f>
        <v>241</v>
      </c>
      <c r="D11" s="647">
        <f>+'4.1사용실적산정'!G31</f>
        <v>214</v>
      </c>
      <c r="E11" s="647">
        <f>+'4.1사용실적산정'!G41</f>
        <v>198</v>
      </c>
      <c r="F11" s="647">
        <f>+'4.1사용실적산정'!G51</f>
        <v>158</v>
      </c>
      <c r="G11" s="647">
        <f>+'4.1사용실적산정'!G61</f>
        <v>85</v>
      </c>
      <c r="H11" s="917">
        <f>+'4.1사용실적산정'!G71</f>
        <v>210</v>
      </c>
      <c r="I11" s="917">
        <f>+'4.1사용실적산정'!G81</f>
        <v>240</v>
      </c>
      <c r="J11" s="647">
        <f>+'4.1사용실적산정'!G91</f>
        <v>286</v>
      </c>
      <c r="K11" s="648">
        <f>+'4.1사용실적산정'!G101</f>
        <v>242</v>
      </c>
    </row>
    <row r="12" spans="1:15" ht="24.95" customHeight="1">
      <c r="A12" s="2213" t="s">
        <v>68</v>
      </c>
      <c r="B12" s="2214"/>
      <c r="C12" s="647">
        <f>+'4.1사용실적산정'!G22</f>
        <v>252</v>
      </c>
      <c r="D12" s="647">
        <f>+'4.1사용실적산정'!G32</f>
        <v>226</v>
      </c>
      <c r="E12" s="647">
        <f>+'4.1사용실적산정'!G42</f>
        <v>205</v>
      </c>
      <c r="F12" s="647">
        <f>+'4.1사용실적산정'!G52</f>
        <v>177</v>
      </c>
      <c r="G12" s="647">
        <f>+'4.1사용실적산정'!G62</f>
        <v>97</v>
      </c>
      <c r="H12" s="917">
        <f>+'4.1사용실적산정'!G72</f>
        <v>226</v>
      </c>
      <c r="I12" s="917">
        <f>+'4.1사용실적산정'!G82</f>
        <v>214</v>
      </c>
      <c r="J12" s="647">
        <f>+'4.1사용실적산정'!G92</f>
        <v>269</v>
      </c>
      <c r="K12" s="648">
        <f>+'4.1사용실적산정'!G102</f>
        <v>249</v>
      </c>
      <c r="L12" s="191"/>
      <c r="M12" s="191"/>
    </row>
    <row r="13" spans="1:15" ht="24.95" customHeight="1">
      <c r="A13" s="2213" t="s">
        <v>877</v>
      </c>
      <c r="B13" s="2214"/>
      <c r="C13" s="647">
        <f>+'4.1사용실적산정'!G23</f>
        <v>234</v>
      </c>
      <c r="D13" s="647">
        <f>+'4.1사용실적산정'!G33</f>
        <v>223</v>
      </c>
      <c r="E13" s="647">
        <f>+'4.1사용실적산정'!G43</f>
        <v>179</v>
      </c>
      <c r="F13" s="647">
        <f>+'4.1사용실적산정'!G53</f>
        <v>173</v>
      </c>
      <c r="G13" s="647">
        <f>+'4.1사용실적산정'!G63</f>
        <v>120</v>
      </c>
      <c r="H13" s="917">
        <f>+'4.1사용실적산정'!G73</f>
        <v>212</v>
      </c>
      <c r="I13" s="917">
        <f>+'4.1사용실적산정'!G83</f>
        <v>187</v>
      </c>
      <c r="J13" s="647">
        <f>+'4.1사용실적산정'!G93</f>
        <v>138</v>
      </c>
      <c r="K13" s="648">
        <f>+'4.1사용실적산정'!G103</f>
        <v>264</v>
      </c>
      <c r="L13" s="191"/>
      <c r="M13" s="191"/>
    </row>
    <row r="14" spans="1:15" ht="24.95" customHeight="1">
      <c r="A14" s="2213" t="s">
        <v>44</v>
      </c>
      <c r="B14" s="2214"/>
      <c r="C14" s="639">
        <f>AVERAGE(C9:C13)</f>
        <v>236</v>
      </c>
      <c r="D14" s="639">
        <f t="shared" ref="D14:K14" si="0">AVERAGE(D9:D13)</f>
        <v>225.2</v>
      </c>
      <c r="E14" s="639">
        <f t="shared" si="0"/>
        <v>174.2</v>
      </c>
      <c r="F14" s="639">
        <f t="shared" si="0"/>
        <v>174.4</v>
      </c>
      <c r="G14" s="639">
        <f t="shared" si="0"/>
        <v>108.4</v>
      </c>
      <c r="H14" s="639">
        <f t="shared" ref="H14:I14" si="1">AVERAGE(H9:H13)</f>
        <v>285.60000000000002</v>
      </c>
      <c r="I14" s="639">
        <f t="shared" si="1"/>
        <v>172</v>
      </c>
      <c r="J14" s="639">
        <f t="shared" si="0"/>
        <v>283.39999999999998</v>
      </c>
      <c r="K14" s="640">
        <f t="shared" si="0"/>
        <v>253.4</v>
      </c>
      <c r="L14" s="191"/>
      <c r="M14" s="191"/>
    </row>
    <row r="15" spans="1:15" ht="24.95" customHeight="1">
      <c r="A15" s="2211" t="s">
        <v>284</v>
      </c>
      <c r="B15" s="2212"/>
      <c r="C15" s="641">
        <f>AVERAGE(C4:C13)</f>
        <v>214.7</v>
      </c>
      <c r="D15" s="641">
        <f t="shared" ref="D15:K15" si="2">AVERAGE(D4:D13)</f>
        <v>210.4</v>
      </c>
      <c r="E15" s="641">
        <f t="shared" si="2"/>
        <v>94.8</v>
      </c>
      <c r="F15" s="641">
        <f>AVERAGE(F5:F13)</f>
        <v>170.77777777777777</v>
      </c>
      <c r="G15" s="641">
        <f>AVERAGE(G5:G13)</f>
        <v>147.22222222222223</v>
      </c>
      <c r="H15" s="641">
        <f>AVERAGE(H5:H13)</f>
        <v>263.66666666666669</v>
      </c>
      <c r="I15" s="641">
        <f>AVERAGE(I5:I13)</f>
        <v>119.88888888888889</v>
      </c>
      <c r="J15" s="641">
        <f>AVERAGE(J5:J13)</f>
        <v>281.77777777777777</v>
      </c>
      <c r="K15" s="642">
        <f t="shared" si="2"/>
        <v>201.4</v>
      </c>
    </row>
    <row r="16" spans="1:15" ht="24.95" customHeight="1"/>
    <row r="17" spans="4:9" ht="50.25" customHeight="1">
      <c r="E17" s="192"/>
      <c r="F17" s="192"/>
    </row>
    <row r="18" spans="4:9" ht="24.95" customHeight="1">
      <c r="D18" s="191"/>
      <c r="E18" s="191"/>
      <c r="F18" s="191"/>
      <c r="G18" s="191"/>
      <c r="H18" s="191"/>
      <c r="I18" s="191"/>
    </row>
    <row r="19" spans="4:9" ht="24.95" customHeight="1"/>
    <row r="20" spans="4:9" ht="24.95" customHeight="1"/>
    <row r="21" spans="4:9" ht="24.95" customHeight="1"/>
    <row r="22" spans="4:9" ht="24.95" customHeight="1"/>
    <row r="23" spans="4:9" ht="24.95" customHeight="1"/>
    <row r="24" spans="4:9" ht="24.95" customHeight="1"/>
    <row r="25" spans="4:9" ht="24.95" customHeight="1"/>
    <row r="26" spans="4:9" ht="24.95" customHeight="1"/>
    <row r="27" spans="4:9" ht="24.95" customHeight="1"/>
    <row r="28" spans="4:9" ht="24.95" customHeight="1"/>
  </sheetData>
  <mergeCells count="13">
    <mergeCell ref="A15:B15"/>
    <mergeCell ref="A14:B14"/>
    <mergeCell ref="A12:B12"/>
    <mergeCell ref="A13:B13"/>
    <mergeCell ref="A3:B3"/>
    <mergeCell ref="A4:B4"/>
    <mergeCell ref="A5:B5"/>
    <mergeCell ref="A6:B6"/>
    <mergeCell ref="A7:B7"/>
    <mergeCell ref="A8:B8"/>
    <mergeCell ref="A9:B9"/>
    <mergeCell ref="A10:B10"/>
    <mergeCell ref="A11:B11"/>
  </mergeCells>
  <phoneticPr fontId="7" type="noConversion"/>
  <pageMargins left="0.75" right="0.75" top="1" bottom="1" header="0.5" footer="0.5"/>
  <pageSetup paperSize="9" scale="6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4"/>
  </sheetPr>
  <dimension ref="A1:K101"/>
  <sheetViews>
    <sheetView workbookViewId="0"/>
  </sheetViews>
  <sheetFormatPr defaultRowHeight="16.5"/>
  <cols>
    <col min="1" max="1" width="8.88671875" style="81"/>
    <col min="2" max="2" width="14.5546875" style="81" customWidth="1"/>
    <col min="3" max="3" width="8.88671875" style="81"/>
    <col min="4" max="4" width="8.88671875" style="81" customWidth="1"/>
    <col min="5" max="9" width="8.88671875" style="81"/>
  </cols>
  <sheetData>
    <row r="1" spans="1:9" ht="24.95" customHeight="1">
      <c r="A1" s="169" t="s">
        <v>449</v>
      </c>
      <c r="B1" s="169"/>
      <c r="C1" s="168"/>
      <c r="D1" s="168"/>
      <c r="E1" s="168"/>
      <c r="F1" s="168"/>
      <c r="G1" s="168"/>
      <c r="H1" s="168"/>
      <c r="I1" s="168"/>
    </row>
    <row r="2" spans="1:9" s="812" customFormat="1" ht="24.95" customHeight="1">
      <c r="A2" s="277" t="s">
        <v>977</v>
      </c>
      <c r="B2" s="277"/>
      <c r="C2" s="439"/>
      <c r="D2" s="439"/>
      <c r="E2" s="439"/>
      <c r="F2" s="439"/>
      <c r="G2" s="439"/>
      <c r="H2" s="439"/>
      <c r="I2" s="439"/>
    </row>
    <row r="3" spans="1:9" ht="24.95" customHeight="1">
      <c r="A3" s="170" t="s">
        <v>978</v>
      </c>
      <c r="B3" s="169"/>
      <c r="C3" s="168"/>
      <c r="D3" s="168"/>
      <c r="E3" s="168"/>
      <c r="F3" s="168"/>
      <c r="G3" s="168"/>
      <c r="H3" s="168"/>
      <c r="I3" s="168"/>
    </row>
    <row r="4" spans="1:9" ht="24" customHeight="1">
      <c r="A4" s="2220" t="s">
        <v>268</v>
      </c>
      <c r="B4" s="2221"/>
      <c r="C4" s="2217" t="s">
        <v>283</v>
      </c>
      <c r="D4" s="2218"/>
      <c r="E4" s="2218"/>
      <c r="F4" s="2218"/>
      <c r="G4" s="2218"/>
      <c r="H4" s="2219"/>
      <c r="I4" s="2229" t="s">
        <v>45</v>
      </c>
    </row>
    <row r="5" spans="1:9" ht="24" customHeight="1">
      <c r="A5" s="2222"/>
      <c r="B5" s="2223"/>
      <c r="C5" s="183" t="s">
        <v>869</v>
      </c>
      <c r="D5" s="184" t="s">
        <v>50</v>
      </c>
      <c r="E5" s="184" t="s">
        <v>51</v>
      </c>
      <c r="F5" s="184" t="s">
        <v>52</v>
      </c>
      <c r="G5" s="184" t="s">
        <v>269</v>
      </c>
      <c r="H5" s="184" t="s">
        <v>278</v>
      </c>
      <c r="I5" s="2230"/>
    </row>
    <row r="6" spans="1:9" ht="24" customHeight="1">
      <c r="A6" s="2227" t="s">
        <v>270</v>
      </c>
      <c r="B6" s="185" t="s">
        <v>48</v>
      </c>
      <c r="C6" s="171"/>
      <c r="D6" s="171">
        <f>+'음성읍(10년)'!$D$242</f>
        <v>283</v>
      </c>
      <c r="E6" s="171">
        <f>+'음성읍(10년)'!$D$247</f>
        <v>239</v>
      </c>
      <c r="F6" s="171">
        <f>+'음성읍(10년)'!$D$252</f>
        <v>195</v>
      </c>
      <c r="G6" s="171">
        <f>+'음성읍(10년)'!$D$257</f>
        <v>151</v>
      </c>
      <c r="H6" s="171">
        <f>+'음성읍(10년)'!$D$262</f>
        <v>107</v>
      </c>
      <c r="I6" s="172"/>
    </row>
    <row r="7" spans="1:9" ht="24" customHeight="1">
      <c r="A7" s="2225"/>
      <c r="B7" s="186" t="s">
        <v>271</v>
      </c>
      <c r="C7" s="173"/>
      <c r="D7" s="171">
        <f>+'음성읍(10년)'!$E$242</f>
        <v>284</v>
      </c>
      <c r="E7" s="171">
        <f>+'음성읍(10년)'!$E$247</f>
        <v>249</v>
      </c>
      <c r="F7" s="171">
        <f>+'음성읍(10년)'!$E$252</f>
        <v>218</v>
      </c>
      <c r="G7" s="171">
        <f>+'음성읍(10년)'!$E$257</f>
        <v>191</v>
      </c>
      <c r="H7" s="171">
        <f>+'음성읍(10년)'!$E$262</f>
        <v>167</v>
      </c>
      <c r="I7" s="174"/>
    </row>
    <row r="8" spans="1:9" ht="24" customHeight="1">
      <c r="A8" s="2225"/>
      <c r="B8" s="186" t="s">
        <v>49</v>
      </c>
      <c r="C8" s="173"/>
      <c r="D8" s="173">
        <f>+'음성읍(10년)'!$F$242</f>
        <v>214</v>
      </c>
      <c r="E8" s="173">
        <f>+'음성읍(10년)'!$F$247</f>
        <v>109</v>
      </c>
      <c r="F8" s="171">
        <f>+'음성읍(10년)'!$F$252</f>
        <v>4</v>
      </c>
      <c r="G8" s="171">
        <f>+'음성읍(10년)'!$F$257</f>
        <v>-102</v>
      </c>
      <c r="H8" s="171">
        <f>+'음성읍(10년)'!$F$262</f>
        <v>-208</v>
      </c>
      <c r="I8" s="174" t="s">
        <v>476</v>
      </c>
    </row>
    <row r="9" spans="1:9" ht="24" customHeight="1">
      <c r="A9" s="2225"/>
      <c r="B9" s="186" t="s">
        <v>280</v>
      </c>
      <c r="C9" s="173"/>
      <c r="D9" s="173">
        <f>+'음성읍(10년)'!$G$242</f>
        <v>452</v>
      </c>
      <c r="E9" s="173">
        <f>+'음성읍(10년)'!$G$247</f>
        <v>469</v>
      </c>
      <c r="F9" s="171">
        <f>+'음성읍(10년)'!$G$252</f>
        <v>483</v>
      </c>
      <c r="G9" s="171">
        <f>+'음성읍(10년)'!$G$257</f>
        <v>495</v>
      </c>
      <c r="H9" s="171">
        <f>+'음성읍(10년)'!$G$262</f>
        <v>506</v>
      </c>
      <c r="I9" s="174"/>
    </row>
    <row r="10" spans="1:9" ht="24" customHeight="1">
      <c r="A10" s="2225"/>
      <c r="B10" s="187" t="s">
        <v>272</v>
      </c>
      <c r="C10" s="173"/>
      <c r="D10" s="173">
        <f>+'음성읍(10년)'!$H$242</f>
        <v>221</v>
      </c>
      <c r="E10" s="173">
        <f>+'음성읍(10년)'!$H$247</f>
        <v>149</v>
      </c>
      <c r="F10" s="171">
        <f>+'음성읍(10년)'!$H$252</f>
        <v>98</v>
      </c>
      <c r="G10" s="171">
        <f>+'음성읍(10년)'!$H$257</f>
        <v>63</v>
      </c>
      <c r="H10" s="171">
        <f>+'음성읍(10년)'!$H$262</f>
        <v>40</v>
      </c>
      <c r="I10" s="174" t="s">
        <v>476</v>
      </c>
    </row>
    <row r="11" spans="1:9" ht="24" customHeight="1">
      <c r="A11" s="2228"/>
      <c r="B11" s="188" t="s">
        <v>273</v>
      </c>
      <c r="C11" s="175">
        <f>+'음성읍(10년)'!D16</f>
        <v>292</v>
      </c>
      <c r="D11" s="179">
        <f>AVERAGEIFS(D6:D10,$I6:$I10,"")</f>
        <v>339.66666666666669</v>
      </c>
      <c r="E11" s="179">
        <f>AVERAGEIFS(E6:E10,$I6:$I10,"")</f>
        <v>319</v>
      </c>
      <c r="F11" s="179">
        <f t="shared" ref="F11" si="0">AVERAGEIFS(F6:F10,$I6:$I10,"")</f>
        <v>298.66666666666669</v>
      </c>
      <c r="G11" s="179">
        <f t="shared" ref="G11" si="1">AVERAGEIFS(G6:G10,$I6:$I10,"")</f>
        <v>279</v>
      </c>
      <c r="H11" s="179">
        <f t="shared" ref="H11" si="2">AVERAGEIFS(H6:H10,$I6:$I10,"")</f>
        <v>260</v>
      </c>
      <c r="I11" s="176"/>
    </row>
    <row r="12" spans="1:9" ht="24" customHeight="1">
      <c r="A12" s="2224" t="s">
        <v>274</v>
      </c>
      <c r="B12" s="185" t="s">
        <v>48</v>
      </c>
      <c r="C12" s="177"/>
      <c r="D12" s="177">
        <f>+'음성읍(5년)'!$D$222</f>
        <v>297</v>
      </c>
      <c r="E12" s="177">
        <f>+'음성읍(5년)'!$D$227</f>
        <v>319</v>
      </c>
      <c r="F12" s="177">
        <f>+'음성읍(5년)'!$D$232</f>
        <v>342</v>
      </c>
      <c r="G12" s="177">
        <f>+'음성읍(5년)'!$D$237</f>
        <v>364</v>
      </c>
      <c r="H12" s="177">
        <f>+'음성읍(5년)'!$D$242</f>
        <v>387</v>
      </c>
      <c r="I12" s="178"/>
    </row>
    <row r="13" spans="1:9" ht="24" customHeight="1">
      <c r="A13" s="2225"/>
      <c r="B13" s="186" t="s">
        <v>271</v>
      </c>
      <c r="C13" s="173"/>
      <c r="D13" s="173">
        <f>+'음성읍(5년)'!$E$222</f>
        <v>297</v>
      </c>
      <c r="E13" s="173">
        <f>+'음성읍(5년)'!$E$227</f>
        <v>321</v>
      </c>
      <c r="F13" s="173">
        <f>+'음성읍(5년)'!$E$232</f>
        <v>348</v>
      </c>
      <c r="G13" s="173">
        <f>+'음성읍(5년)'!$E$237</f>
        <v>377</v>
      </c>
      <c r="H13" s="173">
        <f>+'음성읍(5년)'!$E$242</f>
        <v>408</v>
      </c>
      <c r="I13" s="174"/>
    </row>
    <row r="14" spans="1:9" ht="24" customHeight="1">
      <c r="A14" s="2225"/>
      <c r="B14" s="186" t="s">
        <v>49</v>
      </c>
      <c r="C14" s="173"/>
      <c r="D14" s="173">
        <f>+'음성읍(5년)'!$F$222</f>
        <v>275</v>
      </c>
      <c r="E14" s="173">
        <f>+'음성읍(5년)'!$F$227</f>
        <v>305</v>
      </c>
      <c r="F14" s="173">
        <f>+'음성읍(5년)'!$F$232</f>
        <v>335</v>
      </c>
      <c r="G14" s="173">
        <f>+'음성읍(5년)'!$F$237</f>
        <v>365</v>
      </c>
      <c r="H14" s="173">
        <f>+'음성읍(5년)'!$F$242</f>
        <v>395</v>
      </c>
      <c r="I14" s="174" t="s">
        <v>476</v>
      </c>
    </row>
    <row r="15" spans="1:9" ht="24" customHeight="1">
      <c r="A15" s="2225"/>
      <c r="B15" s="186" t="s">
        <v>280</v>
      </c>
      <c r="C15" s="173"/>
      <c r="D15" s="173">
        <f>+'음성읍(5년)'!$G$222</f>
        <v>279</v>
      </c>
      <c r="E15" s="173">
        <f>+'음성읍(5년)'!$G$227</f>
        <v>278</v>
      </c>
      <c r="F15" s="173">
        <f>+'음성읍(5년)'!$G$232</f>
        <v>277</v>
      </c>
      <c r="G15" s="173">
        <f>+'음성읍(5년)'!$G$237</f>
        <v>276</v>
      </c>
      <c r="H15" s="173">
        <f>+'음성읍(5년)'!$G$242</f>
        <v>276</v>
      </c>
      <c r="I15" s="174"/>
    </row>
    <row r="16" spans="1:9" ht="24" customHeight="1">
      <c r="A16" s="2225"/>
      <c r="B16" s="187" t="s">
        <v>272</v>
      </c>
      <c r="C16" s="173"/>
      <c r="D16" s="173">
        <f>+'음성읍(5년)'!$H$222</f>
        <v>291</v>
      </c>
      <c r="E16" s="173">
        <f>+'음성읍(5년)'!$H$227</f>
        <v>324</v>
      </c>
      <c r="F16" s="173">
        <f>+'음성읍(5년)'!$H$232</f>
        <v>359</v>
      </c>
      <c r="G16" s="173">
        <f>+'음성읍(5년)'!$H$237</f>
        <v>395</v>
      </c>
      <c r="H16" s="173">
        <f>+'음성읍(5년)'!$H$242</f>
        <v>432</v>
      </c>
      <c r="I16" s="174" t="s">
        <v>476</v>
      </c>
    </row>
    <row r="17" spans="1:11" ht="24" customHeight="1">
      <c r="A17" s="2226"/>
      <c r="B17" s="188" t="s">
        <v>273</v>
      </c>
      <c r="C17" s="179">
        <f>+C11</f>
        <v>292</v>
      </c>
      <c r="D17" s="179">
        <f>AVERAGEIFS(D12:D16,$I12:$I16,"")</f>
        <v>291</v>
      </c>
      <c r="E17" s="179">
        <f>AVERAGEIFS(E12:E16,$I12:$I16,"")</f>
        <v>306</v>
      </c>
      <c r="F17" s="179">
        <f t="shared" ref="F17:H17" si="3">AVERAGEIFS(F12:F16,$I12:$I16,"")</f>
        <v>322.33333333333331</v>
      </c>
      <c r="G17" s="179">
        <f t="shared" si="3"/>
        <v>339</v>
      </c>
      <c r="H17" s="179">
        <f t="shared" si="3"/>
        <v>357</v>
      </c>
      <c r="I17" s="180"/>
    </row>
    <row r="18" spans="1:11" ht="24" customHeight="1">
      <c r="A18" s="2231" t="s">
        <v>275</v>
      </c>
      <c r="B18" s="2232"/>
      <c r="C18" s="181">
        <f>+C17</f>
        <v>292</v>
      </c>
      <c r="D18" s="181">
        <f>D17</f>
        <v>291</v>
      </c>
      <c r="E18" s="181">
        <f>E17</f>
        <v>306</v>
      </c>
      <c r="F18" s="181">
        <f>F17</f>
        <v>322.33333333333331</v>
      </c>
      <c r="G18" s="181">
        <f>G17</f>
        <v>339</v>
      </c>
      <c r="H18" s="181">
        <f>H17</f>
        <v>357</v>
      </c>
      <c r="I18" s="182"/>
    </row>
    <row r="19" spans="1:11" ht="24" customHeight="1">
      <c r="A19" s="170" t="s">
        <v>1488</v>
      </c>
      <c r="B19" s="169"/>
      <c r="C19" s="168"/>
      <c r="D19" s="168"/>
      <c r="E19" s="168"/>
      <c r="F19" s="168"/>
      <c r="G19" s="168"/>
      <c r="H19" s="168"/>
      <c r="I19" s="168"/>
    </row>
    <row r="20" spans="1:11" ht="24" customHeight="1">
      <c r="A20" s="2220" t="s">
        <v>268</v>
      </c>
      <c r="B20" s="2221"/>
      <c r="C20" s="2217" t="s">
        <v>277</v>
      </c>
      <c r="D20" s="2218"/>
      <c r="E20" s="2218"/>
      <c r="F20" s="2218"/>
      <c r="G20" s="2218"/>
      <c r="H20" s="2219"/>
      <c r="I20" s="2229" t="s">
        <v>45</v>
      </c>
    </row>
    <row r="21" spans="1:11" ht="24" customHeight="1">
      <c r="A21" s="2222"/>
      <c r="B21" s="2223"/>
      <c r="C21" s="183" t="s">
        <v>881</v>
      </c>
      <c r="D21" s="184" t="s">
        <v>50</v>
      </c>
      <c r="E21" s="184" t="s">
        <v>51</v>
      </c>
      <c r="F21" s="184" t="s">
        <v>52</v>
      </c>
      <c r="G21" s="184" t="s">
        <v>269</v>
      </c>
      <c r="H21" s="184" t="s">
        <v>278</v>
      </c>
      <c r="I21" s="2230"/>
    </row>
    <row r="22" spans="1:11" ht="24" customHeight="1">
      <c r="A22" s="2227" t="s">
        <v>270</v>
      </c>
      <c r="B22" s="185" t="s">
        <v>48</v>
      </c>
      <c r="C22" s="171"/>
      <c r="D22" s="171">
        <f>+'금왕읍(10년)'!$D$242</f>
        <v>273</v>
      </c>
      <c r="E22" s="171">
        <f>+'금왕읍(10년)'!$D$247</f>
        <v>254</v>
      </c>
      <c r="F22" s="171">
        <f>+'금왕읍(10년)'!$D$252</f>
        <v>234</v>
      </c>
      <c r="G22" s="171">
        <f>+'금왕읍(10년)'!$D$257</f>
        <v>215</v>
      </c>
      <c r="H22" s="171">
        <f>+'금왕읍(10년)'!$D$262</f>
        <v>195</v>
      </c>
      <c r="I22" s="172"/>
    </row>
    <row r="23" spans="1:11" ht="24" customHeight="1">
      <c r="A23" s="2225"/>
      <c r="B23" s="186" t="s">
        <v>271</v>
      </c>
      <c r="C23" s="173"/>
      <c r="D23" s="171">
        <f>+'금왕읍(10년)'!$E$242</f>
        <v>273</v>
      </c>
      <c r="E23" s="171">
        <f>+'금왕읍(10년)'!$E$247</f>
        <v>256</v>
      </c>
      <c r="F23" s="171">
        <f>+'금왕읍(10년)'!$E$252</f>
        <v>240</v>
      </c>
      <c r="G23" s="171">
        <f>+'금왕읍(10년)'!$E$257</f>
        <v>224</v>
      </c>
      <c r="H23" s="171">
        <f>+'금왕읍(10년)'!$E$262</f>
        <v>210</v>
      </c>
      <c r="I23" s="174"/>
    </row>
    <row r="24" spans="1:11" ht="24" customHeight="1">
      <c r="A24" s="2225"/>
      <c r="B24" s="186" t="s">
        <v>49</v>
      </c>
      <c r="C24" s="173"/>
      <c r="D24" s="173">
        <f>+'금왕읍(10년)'!$F$242</f>
        <v>228</v>
      </c>
      <c r="E24" s="173">
        <f>+'금왕읍(10년)'!$F$247</f>
        <v>164</v>
      </c>
      <c r="F24" s="171">
        <f>+'금왕읍(10년)'!$F$252</f>
        <v>100</v>
      </c>
      <c r="G24" s="171">
        <f>+'금왕읍(10년)'!$F$257</f>
        <v>37</v>
      </c>
      <c r="H24" s="171">
        <f>+'금왕읍(10년)'!$F$262</f>
        <v>-28</v>
      </c>
      <c r="I24" s="174" t="s">
        <v>295</v>
      </c>
    </row>
    <row r="25" spans="1:11" ht="24" customHeight="1">
      <c r="A25" s="2225"/>
      <c r="B25" s="186" t="s">
        <v>280</v>
      </c>
      <c r="C25" s="173"/>
      <c r="D25" s="173">
        <f>+'금왕읍(10년)'!$G$242</f>
        <v>393</v>
      </c>
      <c r="E25" s="173">
        <f>+'금왕읍(10년)'!$G$247</f>
        <v>428</v>
      </c>
      <c r="F25" s="171">
        <f>+'금왕읍(10년)'!$G$252</f>
        <v>462</v>
      </c>
      <c r="G25" s="171">
        <f>+'금왕읍(10년)'!$G$257</f>
        <v>495</v>
      </c>
      <c r="H25" s="171">
        <f>+'금왕읍(10년)'!$G$262</f>
        <v>528</v>
      </c>
      <c r="I25" s="174"/>
    </row>
    <row r="26" spans="1:11" ht="24" customHeight="1">
      <c r="A26" s="2225"/>
      <c r="B26" s="187" t="s">
        <v>272</v>
      </c>
      <c r="C26" s="173"/>
      <c r="D26" s="173">
        <f>+'금왕읍(10년)'!$H$242</f>
        <v>228</v>
      </c>
      <c r="E26" s="173">
        <f>+'금왕읍(10년)'!$H$247</f>
        <v>178</v>
      </c>
      <c r="F26" s="171">
        <f>+'금왕읍(10년)'!$H$252</f>
        <v>136</v>
      </c>
      <c r="G26" s="171">
        <f>+'금왕읍(10년)'!$H$257</f>
        <v>103</v>
      </c>
      <c r="H26" s="171">
        <f>+'금왕읍(10년)'!$H$262</f>
        <v>78</v>
      </c>
      <c r="I26" s="174" t="s">
        <v>1572</v>
      </c>
    </row>
    <row r="27" spans="1:11" ht="24" customHeight="1">
      <c r="A27" s="2228"/>
      <c r="B27" s="188" t="s">
        <v>273</v>
      </c>
      <c r="C27" s="175">
        <f>+'금왕읍(10년)'!D16</f>
        <v>277</v>
      </c>
      <c r="D27" s="179">
        <f>AVERAGEIFS(D22:D26,$I22:$I26,"")</f>
        <v>313</v>
      </c>
      <c r="E27" s="179">
        <f>AVERAGEIFS(E22:E26,$I22:$I26,"")</f>
        <v>312.66666666666669</v>
      </c>
      <c r="F27" s="179">
        <f t="shared" ref="F27" si="4">AVERAGEIFS(F22:F26,$I22:$I26,"")</f>
        <v>312</v>
      </c>
      <c r="G27" s="179">
        <f t="shared" ref="G27" si="5">AVERAGEIFS(G22:G26,$I22:$I26,"")</f>
        <v>311.33333333333331</v>
      </c>
      <c r="H27" s="179">
        <f t="shared" ref="H27" si="6">AVERAGEIFS(H22:H26,$I22:$I26,"")</f>
        <v>311</v>
      </c>
      <c r="I27" s="176"/>
      <c r="K27">
        <v>532</v>
      </c>
    </row>
    <row r="28" spans="1:11" ht="24" customHeight="1">
      <c r="A28" s="2224" t="s">
        <v>274</v>
      </c>
      <c r="B28" s="185" t="s">
        <v>48</v>
      </c>
      <c r="C28" s="177"/>
      <c r="D28" s="177">
        <f>+'금왕읍(5년)'!$D$222</f>
        <v>252</v>
      </c>
      <c r="E28" s="177">
        <f>+'금왕읍(5년)'!$D$227</f>
        <v>190</v>
      </c>
      <c r="F28" s="177">
        <f>+'금왕읍(5년)'!$D$232</f>
        <v>127</v>
      </c>
      <c r="G28" s="177">
        <f>+'금왕읍(5년)'!$D$237</f>
        <v>65</v>
      </c>
      <c r="H28" s="177">
        <f>+'금왕읍(5년)'!$D$242</f>
        <v>2</v>
      </c>
      <c r="I28" s="178" t="s">
        <v>1572</v>
      </c>
      <c r="K28">
        <v>0.85</v>
      </c>
    </row>
    <row r="29" spans="1:11" ht="24" customHeight="1">
      <c r="A29" s="2225"/>
      <c r="B29" s="186" t="s">
        <v>271</v>
      </c>
      <c r="C29" s="173"/>
      <c r="D29" s="173">
        <f>+'금왕읍(5년)'!$E$222</f>
        <v>255</v>
      </c>
      <c r="E29" s="173">
        <f>+'금왕읍(5년)'!$E$227</f>
        <v>207</v>
      </c>
      <c r="F29" s="173">
        <f>+'금왕읍(5년)'!$E$232</f>
        <v>168</v>
      </c>
      <c r="G29" s="173">
        <f>+'금왕읍(5년)'!$E$237</f>
        <v>137</v>
      </c>
      <c r="H29" s="173">
        <f>+'금왕읍(5년)'!$E$242</f>
        <v>111</v>
      </c>
      <c r="I29" s="174"/>
      <c r="K29">
        <f>+K27*K28</f>
        <v>452.2</v>
      </c>
    </row>
    <row r="30" spans="1:11" ht="24" customHeight="1">
      <c r="A30" s="2225"/>
      <c r="B30" s="186" t="s">
        <v>49</v>
      </c>
      <c r="C30" s="173"/>
      <c r="D30" s="173">
        <f>+'금왕읍(5년)'!$F$222</f>
        <v>568</v>
      </c>
      <c r="E30" s="173">
        <f>+'금왕읍(5년)'!$F$227</f>
        <v>958</v>
      </c>
      <c r="F30" s="173">
        <f>+'금왕읍(5년)'!$F$232</f>
        <v>1348</v>
      </c>
      <c r="G30" s="173">
        <f>+'금왕읍(5년)'!$F$237</f>
        <v>1739</v>
      </c>
      <c r="H30" s="173">
        <f>+'금왕읍(5년)'!$F$242</f>
        <v>2129</v>
      </c>
      <c r="I30" s="174" t="s">
        <v>1573</v>
      </c>
      <c r="K30">
        <v>0.9</v>
      </c>
    </row>
    <row r="31" spans="1:11" ht="24" customHeight="1">
      <c r="A31" s="2225"/>
      <c r="B31" s="186" t="s">
        <v>280</v>
      </c>
      <c r="C31" s="173"/>
      <c r="D31" s="173">
        <f>+'금왕읍(5년)'!$G$222</f>
        <v>342</v>
      </c>
      <c r="E31" s="173">
        <f>+'금왕읍(5년)'!$G$227</f>
        <v>337</v>
      </c>
      <c r="F31" s="173">
        <f>+'금왕읍(5년)'!$G$232</f>
        <v>335</v>
      </c>
      <c r="G31" s="173">
        <f>+'금왕읍(5년)'!$G$237</f>
        <v>334</v>
      </c>
      <c r="H31" s="173">
        <f>+'금왕읍(5년)'!$G$242</f>
        <v>333</v>
      </c>
      <c r="I31" s="174"/>
      <c r="K31">
        <f>+K29*K30</f>
        <v>406.98</v>
      </c>
    </row>
    <row r="32" spans="1:11" ht="24" customHeight="1">
      <c r="A32" s="2225"/>
      <c r="B32" s="187" t="s">
        <v>272</v>
      </c>
      <c r="C32" s="173"/>
      <c r="D32" s="173">
        <f>+'금왕읍(5년)'!$H$222</f>
        <v>213</v>
      </c>
      <c r="E32" s="173">
        <f>+'금왕읍(5년)'!$H$227</f>
        <v>175</v>
      </c>
      <c r="F32" s="173">
        <f>+'금왕읍(5년)'!$H$232</f>
        <v>142</v>
      </c>
      <c r="G32" s="173">
        <f>+'금왕읍(5년)'!$H$237</f>
        <v>114</v>
      </c>
      <c r="H32" s="173">
        <f>+'금왕읍(5년)'!$H$242</f>
        <v>91</v>
      </c>
      <c r="I32" s="174" t="s">
        <v>1573</v>
      </c>
    </row>
    <row r="33" spans="1:9" ht="24" customHeight="1">
      <c r="A33" s="2226"/>
      <c r="B33" s="188" t="s">
        <v>273</v>
      </c>
      <c r="C33" s="179">
        <f>+C27</f>
        <v>277</v>
      </c>
      <c r="D33" s="179">
        <f>AVERAGEIFS(D28:D32,$I28:$I32,"")</f>
        <v>298.5</v>
      </c>
      <c r="E33" s="179">
        <f>AVERAGEIFS(E28:E32,$I28:$I32,"")</f>
        <v>272</v>
      </c>
      <c r="F33" s="179">
        <f t="shared" ref="F33" si="7">AVERAGEIFS(F28:F32,$I28:$I32,"")</f>
        <v>251.5</v>
      </c>
      <c r="G33" s="179">
        <f t="shared" ref="G33" si="8">AVERAGEIFS(G28:G32,$I28:$I32,"")</f>
        <v>235.5</v>
      </c>
      <c r="H33" s="179">
        <f t="shared" ref="H33" si="9">AVERAGEIFS(H28:H32,$I28:$I32,"")</f>
        <v>222</v>
      </c>
      <c r="I33" s="180"/>
    </row>
    <row r="34" spans="1:9" ht="24" customHeight="1">
      <c r="A34" s="2231" t="s">
        <v>275</v>
      </c>
      <c r="B34" s="2232"/>
      <c r="C34" s="181">
        <f>+C33</f>
        <v>277</v>
      </c>
      <c r="D34" s="181">
        <f>D27</f>
        <v>313</v>
      </c>
      <c r="E34" s="181">
        <f>E27</f>
        <v>312.66666666666669</v>
      </c>
      <c r="F34" s="181">
        <f>F27</f>
        <v>312</v>
      </c>
      <c r="G34" s="181">
        <f>G27</f>
        <v>311.33333333333331</v>
      </c>
      <c r="H34" s="181">
        <f>H27</f>
        <v>311</v>
      </c>
      <c r="I34" s="182"/>
    </row>
    <row r="35" spans="1:9" ht="24.95" customHeight="1">
      <c r="A35" s="170" t="s">
        <v>1489</v>
      </c>
      <c r="B35" s="169"/>
      <c r="C35" s="168"/>
      <c r="D35" s="168"/>
      <c r="E35" s="168"/>
      <c r="F35" s="168"/>
      <c r="G35" s="168"/>
      <c r="H35" s="168"/>
      <c r="I35" s="168"/>
    </row>
    <row r="36" spans="1:9" ht="24.95" customHeight="1">
      <c r="A36" s="2220" t="s">
        <v>268</v>
      </c>
      <c r="B36" s="2221"/>
      <c r="C36" s="2217" t="s">
        <v>277</v>
      </c>
      <c r="D36" s="2218"/>
      <c r="E36" s="2218"/>
      <c r="F36" s="2218"/>
      <c r="G36" s="2218"/>
      <c r="H36" s="2219"/>
      <c r="I36" s="2229" t="s">
        <v>45</v>
      </c>
    </row>
    <row r="37" spans="1:9" ht="24.95" customHeight="1">
      <c r="A37" s="2222"/>
      <c r="B37" s="2223"/>
      <c r="C37" s="183" t="s">
        <v>881</v>
      </c>
      <c r="D37" s="184" t="s">
        <v>50</v>
      </c>
      <c r="E37" s="184" t="s">
        <v>51</v>
      </c>
      <c r="F37" s="184" t="s">
        <v>52</v>
      </c>
      <c r="G37" s="184" t="s">
        <v>269</v>
      </c>
      <c r="H37" s="184" t="s">
        <v>278</v>
      </c>
      <c r="I37" s="2230"/>
    </row>
    <row r="38" spans="1:9" ht="24.95" customHeight="1">
      <c r="A38" s="2227" t="s">
        <v>270</v>
      </c>
      <c r="B38" s="185" t="s">
        <v>48</v>
      </c>
      <c r="C38" s="171"/>
      <c r="D38" s="171">
        <f>+'대소면(10년)'!$D$242</f>
        <v>310</v>
      </c>
      <c r="E38" s="171">
        <f>+'대소면(10년)'!$D$247</f>
        <v>465</v>
      </c>
      <c r="F38" s="171">
        <f>+'대소면(10년)'!$D$252</f>
        <v>620</v>
      </c>
      <c r="G38" s="171">
        <f>+'대소면(10년)'!$D$257</f>
        <v>775</v>
      </c>
      <c r="H38" s="171">
        <f>+'대소면(10년)'!$D$262</f>
        <v>930</v>
      </c>
      <c r="I38" s="172" t="s">
        <v>1572</v>
      </c>
    </row>
    <row r="39" spans="1:9" ht="24.95" customHeight="1">
      <c r="A39" s="2225"/>
      <c r="B39" s="186" t="s">
        <v>271</v>
      </c>
      <c r="C39" s="173"/>
      <c r="D39" s="171">
        <f>+'대소면(10년)'!$E$242</f>
        <v>248</v>
      </c>
      <c r="E39" s="171">
        <f>+'대소면(10년)'!$E$247</f>
        <v>137</v>
      </c>
      <c r="F39" s="171">
        <f>+'대소면(10년)'!$E$252</f>
        <v>76</v>
      </c>
      <c r="G39" s="171">
        <f>+'대소면(10년)'!$E$257</f>
        <v>42</v>
      </c>
      <c r="H39" s="171">
        <f>+'대소면(10년)'!$E$262</f>
        <v>23</v>
      </c>
      <c r="I39" s="174" t="s">
        <v>1572</v>
      </c>
    </row>
    <row r="40" spans="1:9" ht="24.95" customHeight="1">
      <c r="A40" s="2225"/>
      <c r="B40" s="186" t="s">
        <v>49</v>
      </c>
      <c r="C40" s="173"/>
      <c r="D40" s="173">
        <f>+'대소면(10년)'!$F$242</f>
        <v>295</v>
      </c>
      <c r="E40" s="173">
        <f>+'대소면(10년)'!$F$247</f>
        <v>362</v>
      </c>
      <c r="F40" s="171">
        <f>+'대소면(10년)'!$F$252</f>
        <v>429</v>
      </c>
      <c r="G40" s="171">
        <f>+'대소면(10년)'!$F$257</f>
        <v>495</v>
      </c>
      <c r="H40" s="171">
        <f>+'대소면(10년)'!$F$262</f>
        <v>562</v>
      </c>
      <c r="I40" s="174"/>
    </row>
    <row r="41" spans="1:9" ht="24.95" customHeight="1">
      <c r="A41" s="2225"/>
      <c r="B41" s="186" t="s">
        <v>280</v>
      </c>
      <c r="C41" s="173"/>
      <c r="D41" s="173">
        <f>+'대소면(10년)'!$G$242</f>
        <v>622</v>
      </c>
      <c r="E41" s="173">
        <f>+'대소면(10년)'!$G$247</f>
        <v>1260</v>
      </c>
      <c r="F41" s="171">
        <f>+'대소면(10년)'!$G$252</f>
        <v>2080</v>
      </c>
      <c r="G41" s="171">
        <f>+'대소면(10년)'!$G$257</f>
        <v>3067</v>
      </c>
      <c r="H41" s="171">
        <f>+'대소면(10년)'!$G$262</f>
        <v>4214</v>
      </c>
      <c r="I41" s="174" t="s">
        <v>1572</v>
      </c>
    </row>
    <row r="42" spans="1:9" ht="24.95" customHeight="1">
      <c r="A42" s="2225"/>
      <c r="B42" s="187" t="s">
        <v>272</v>
      </c>
      <c r="C42" s="173"/>
      <c r="D42" s="173">
        <f>+'대소면(10년)'!$H$242</f>
        <v>650</v>
      </c>
      <c r="E42" s="173">
        <f>+'대소면(10년)'!$H$247</f>
        <v>961</v>
      </c>
      <c r="F42" s="171">
        <f>+'대소면(10년)'!$H$252</f>
        <v>997</v>
      </c>
      <c r="G42" s="171">
        <f>+'대소면(10년)'!$H$257</f>
        <v>1000</v>
      </c>
      <c r="H42" s="171">
        <f>+'대소면(10년)'!$H$262</f>
        <v>1000</v>
      </c>
      <c r="I42" s="174" t="s">
        <v>884</v>
      </c>
    </row>
    <row r="43" spans="1:9" ht="24.95" customHeight="1">
      <c r="A43" s="2228"/>
      <c r="B43" s="188" t="s">
        <v>273</v>
      </c>
      <c r="C43" s="175">
        <f>+'대소면(10년)'!D16</f>
        <v>279</v>
      </c>
      <c r="D43" s="179">
        <f>AVERAGEIFS(D38:D42,$I38:$I42,"")</f>
        <v>295</v>
      </c>
      <c r="E43" s="179">
        <f>AVERAGEIFS(E38:E42,$I38:$I42,"")</f>
        <v>362</v>
      </c>
      <c r="F43" s="179">
        <f t="shared" ref="F43" si="10">AVERAGEIFS(F38:F42,$I38:$I42,"")</f>
        <v>429</v>
      </c>
      <c r="G43" s="179">
        <f t="shared" ref="G43" si="11">AVERAGEIFS(G38:G42,$I38:$I42,"")</f>
        <v>495</v>
      </c>
      <c r="H43" s="179">
        <f t="shared" ref="H43" si="12">AVERAGEIFS(H38:H42,$I38:$I42,"")</f>
        <v>562</v>
      </c>
      <c r="I43" s="176"/>
    </row>
    <row r="44" spans="1:9" ht="24.95" customHeight="1">
      <c r="A44" s="2224" t="s">
        <v>274</v>
      </c>
      <c r="B44" s="185" t="s">
        <v>48</v>
      </c>
      <c r="C44" s="177"/>
      <c r="D44" s="177">
        <f>+'대소면(5년)'!$D$222</f>
        <v>261</v>
      </c>
      <c r="E44" s="177">
        <f>+'대소면(5년)'!$D$227</f>
        <v>171</v>
      </c>
      <c r="F44" s="177">
        <f>+'대소면(5년)'!$D$232</f>
        <v>81</v>
      </c>
      <c r="G44" s="177">
        <f>+'대소면(5년)'!$D$237</f>
        <v>-9</v>
      </c>
      <c r="H44" s="177">
        <f>+'대소면(5년)'!$D$242</f>
        <v>-99</v>
      </c>
      <c r="I44" s="178" t="s">
        <v>1572</v>
      </c>
    </row>
    <row r="45" spans="1:9" ht="24.95" customHeight="1">
      <c r="A45" s="2225"/>
      <c r="B45" s="186" t="s">
        <v>271</v>
      </c>
      <c r="C45" s="173"/>
      <c r="D45" s="173">
        <f>+'대소면(5년)'!$E$222</f>
        <v>263</v>
      </c>
      <c r="E45" s="173">
        <f>+'대소면(5년)'!$E$227</f>
        <v>198</v>
      </c>
      <c r="F45" s="173">
        <f>+'대소면(5년)'!$E$232</f>
        <v>148</v>
      </c>
      <c r="G45" s="173">
        <f>+'대소면(5년)'!$E$237</f>
        <v>111</v>
      </c>
      <c r="H45" s="173">
        <f>+'대소면(5년)'!$E$242</f>
        <v>84</v>
      </c>
      <c r="I45" s="174" t="s">
        <v>1572</v>
      </c>
    </row>
    <row r="46" spans="1:9" ht="24.95" customHeight="1">
      <c r="A46" s="2225"/>
      <c r="B46" s="186" t="s">
        <v>49</v>
      </c>
      <c r="C46" s="173"/>
      <c r="D46" s="173">
        <f>+'대소면(5년)'!$F$222</f>
        <v>220</v>
      </c>
      <c r="E46" s="173">
        <f>+'대소면(5년)'!$F$227</f>
        <v>167</v>
      </c>
      <c r="F46" s="173">
        <f>+'대소면(5년)'!$F$232</f>
        <v>114</v>
      </c>
      <c r="G46" s="173">
        <f>+'대소면(5년)'!$F$237</f>
        <v>61</v>
      </c>
      <c r="H46" s="173">
        <f>+'대소면(5년)'!$F$242</f>
        <v>8</v>
      </c>
      <c r="I46" s="174" t="s">
        <v>883</v>
      </c>
    </row>
    <row r="47" spans="1:9" ht="24.95" customHeight="1">
      <c r="A47" s="2225"/>
      <c r="B47" s="186" t="s">
        <v>280</v>
      </c>
      <c r="C47" s="173"/>
      <c r="D47" s="173">
        <f>+'대소면(5년)'!$G$222</f>
        <v>368</v>
      </c>
      <c r="E47" s="173">
        <f>+'대소면(5년)'!$G$227</f>
        <v>363</v>
      </c>
      <c r="F47" s="173">
        <f>+'대소면(5년)'!$G$232</f>
        <v>361</v>
      </c>
      <c r="G47" s="173">
        <f>+'대소면(5년)'!$G$237</f>
        <v>360</v>
      </c>
      <c r="H47" s="173">
        <f>+'대소면(5년)'!$G$242</f>
        <v>359</v>
      </c>
      <c r="I47" s="174"/>
    </row>
    <row r="48" spans="1:9" ht="24.95" customHeight="1">
      <c r="A48" s="2225"/>
      <c r="B48" s="187" t="s">
        <v>272</v>
      </c>
      <c r="C48" s="173"/>
      <c r="D48" s="173">
        <f>+'대소면(5년)'!$H$222</f>
        <v>205</v>
      </c>
      <c r="E48" s="173">
        <f>+'대소면(5년)'!$H$227</f>
        <v>172</v>
      </c>
      <c r="F48" s="173">
        <f>+'대소면(5년)'!$H$232</f>
        <v>143</v>
      </c>
      <c r="G48" s="173">
        <f>+'대소면(5년)'!$H$237</f>
        <v>118</v>
      </c>
      <c r="H48" s="173">
        <f>+'대소면(5년)'!$H$242</f>
        <v>97</v>
      </c>
      <c r="I48" s="174" t="s">
        <v>883</v>
      </c>
    </row>
    <row r="49" spans="1:9" ht="24.95" customHeight="1">
      <c r="A49" s="2226"/>
      <c r="B49" s="188" t="s">
        <v>273</v>
      </c>
      <c r="C49" s="179">
        <f>+C43</f>
        <v>279</v>
      </c>
      <c r="D49" s="179">
        <f>AVERAGEIFS(D44:D48,$I44:$I48,"")</f>
        <v>368</v>
      </c>
      <c r="E49" s="179">
        <f>AVERAGEIFS(E44:E48,$I44:$I48,"")</f>
        <v>363</v>
      </c>
      <c r="F49" s="179">
        <f t="shared" ref="F49" si="13">AVERAGEIFS(F44:F48,$I44:$I48,"")</f>
        <v>361</v>
      </c>
      <c r="G49" s="179">
        <f t="shared" ref="G49" si="14">AVERAGEIFS(G44:G48,$I44:$I48,"")</f>
        <v>360</v>
      </c>
      <c r="H49" s="179">
        <f t="shared" ref="H49" si="15">AVERAGEIFS(H44:H48,$I44:$I48,"")</f>
        <v>359</v>
      </c>
      <c r="I49" s="180"/>
    </row>
    <row r="50" spans="1:9" ht="24.95" customHeight="1">
      <c r="A50" s="2231" t="s">
        <v>275</v>
      </c>
      <c r="B50" s="2232"/>
      <c r="C50" s="181">
        <f>+C49</f>
        <v>279</v>
      </c>
      <c r="D50" s="181">
        <f>D43</f>
        <v>295</v>
      </c>
      <c r="E50" s="181">
        <f>E43</f>
        <v>362</v>
      </c>
      <c r="F50" s="181">
        <f>F43</f>
        <v>429</v>
      </c>
      <c r="G50" s="181">
        <f>G43</f>
        <v>495</v>
      </c>
      <c r="H50" s="181">
        <f>H43</f>
        <v>562</v>
      </c>
      <c r="I50" s="182"/>
    </row>
    <row r="51" spans="1:9" ht="24.95" customHeight="1"/>
    <row r="52" spans="1:9" ht="24.95" customHeight="1">
      <c r="A52" s="170" t="s">
        <v>1575</v>
      </c>
      <c r="B52" s="277"/>
      <c r="C52" s="439"/>
      <c r="D52" s="439"/>
      <c r="E52" s="439"/>
      <c r="F52" s="439"/>
      <c r="G52" s="439"/>
      <c r="H52" s="439"/>
      <c r="I52" s="439"/>
    </row>
    <row r="53" spans="1:9" ht="24.95" customHeight="1">
      <c r="A53" s="2220" t="s">
        <v>268</v>
      </c>
      <c r="B53" s="2221"/>
      <c r="C53" s="2217" t="s">
        <v>277</v>
      </c>
      <c r="D53" s="2218"/>
      <c r="E53" s="2218"/>
      <c r="F53" s="2218"/>
      <c r="G53" s="2218"/>
      <c r="H53" s="2219"/>
      <c r="I53" s="2229" t="s">
        <v>45</v>
      </c>
    </row>
    <row r="54" spans="1:9" ht="24.95" customHeight="1">
      <c r="A54" s="2222"/>
      <c r="B54" s="2223"/>
      <c r="C54" s="183" t="s">
        <v>881</v>
      </c>
      <c r="D54" s="184" t="s">
        <v>50</v>
      </c>
      <c r="E54" s="184" t="s">
        <v>51</v>
      </c>
      <c r="F54" s="184" t="s">
        <v>52</v>
      </c>
      <c r="G54" s="184" t="s">
        <v>269</v>
      </c>
      <c r="H54" s="184" t="s">
        <v>278</v>
      </c>
      <c r="I54" s="2230"/>
    </row>
    <row r="55" spans="1:9" ht="24.95" customHeight="1">
      <c r="A55" s="2227" t="s">
        <v>270</v>
      </c>
      <c r="B55" s="185" t="s">
        <v>48</v>
      </c>
      <c r="C55" s="171"/>
      <c r="D55" s="171">
        <f>+'삼성면(10년)'!$D$242</f>
        <v>370</v>
      </c>
      <c r="E55" s="171">
        <f>+'삼성면(10년)'!$D$247</f>
        <v>555</v>
      </c>
      <c r="F55" s="171">
        <f>+'삼성면(10년)'!$D$252</f>
        <v>740</v>
      </c>
      <c r="G55" s="171">
        <f>+'삼성면(10년)'!$D$257</f>
        <v>925</v>
      </c>
      <c r="H55" s="171">
        <f>+'삼성면(10년)'!$D$262</f>
        <v>1110</v>
      </c>
      <c r="I55" s="172" t="s">
        <v>1572</v>
      </c>
    </row>
    <row r="56" spans="1:9" ht="24.95" customHeight="1">
      <c r="A56" s="2225"/>
      <c r="B56" s="186" t="s">
        <v>271</v>
      </c>
      <c r="C56" s="173"/>
      <c r="D56" s="171">
        <f>+'삼성면(10년)'!$E$242</f>
        <v>378</v>
      </c>
      <c r="E56" s="171">
        <f>+'삼성면(10년)'!$E$247</f>
        <v>717</v>
      </c>
      <c r="F56" s="171">
        <f>+'삼성면(10년)'!$E$252</f>
        <v>1360</v>
      </c>
      <c r="G56" s="171">
        <f>+'삼성면(10년)'!$E$257</f>
        <v>2579</v>
      </c>
      <c r="H56" s="171">
        <f>+'삼성면(10년)'!$E$262</f>
        <v>4888</v>
      </c>
      <c r="I56" s="172" t="s">
        <v>1572</v>
      </c>
    </row>
    <row r="57" spans="1:9" ht="24.95" customHeight="1">
      <c r="A57" s="2225"/>
      <c r="B57" s="186" t="s">
        <v>49</v>
      </c>
      <c r="C57" s="173"/>
      <c r="D57" s="173">
        <f>+'삼성면(10년)'!$F$242</f>
        <v>341</v>
      </c>
      <c r="E57" s="173">
        <f>+'삼성면(10년)'!$F$247</f>
        <v>504</v>
      </c>
      <c r="F57" s="171">
        <f>+'삼성면(10년)'!$F$252</f>
        <v>667</v>
      </c>
      <c r="G57" s="171">
        <f>+'삼성면(10년)'!$F$257</f>
        <v>829</v>
      </c>
      <c r="H57" s="171">
        <f>+'삼성면(10년)'!$F$262</f>
        <v>992</v>
      </c>
      <c r="I57" s="174"/>
    </row>
    <row r="58" spans="1:9" ht="24.95" customHeight="1">
      <c r="A58" s="2225"/>
      <c r="B58" s="186" t="s">
        <v>279</v>
      </c>
      <c r="C58" s="173"/>
      <c r="D58" s="173">
        <f>+'삼성면(10년)'!$G$242</f>
        <v>632</v>
      </c>
      <c r="E58" s="173">
        <f>+'삼성면(10년)'!$G$247</f>
        <v>1476</v>
      </c>
      <c r="F58" s="171">
        <f>+'삼성면(10년)'!$G$252</f>
        <v>2693</v>
      </c>
      <c r="G58" s="171">
        <f>+'삼성면(10년)'!$G$257</f>
        <v>4295</v>
      </c>
      <c r="H58" s="171">
        <f>+'삼성면(10년)'!$G$262</f>
        <v>6290</v>
      </c>
      <c r="I58" s="174" t="s">
        <v>1572</v>
      </c>
    </row>
    <row r="59" spans="1:9" ht="24.95" customHeight="1">
      <c r="A59" s="2225"/>
      <c r="B59" s="187" t="s">
        <v>272</v>
      </c>
      <c r="C59" s="173"/>
      <c r="D59" s="173">
        <f>+'삼성면(10년)'!$H$242</f>
        <v>691</v>
      </c>
      <c r="E59" s="173">
        <f>+'삼성면(10년)'!$H$247</f>
        <v>980</v>
      </c>
      <c r="F59" s="171">
        <f>+'삼성면(10년)'!$H$252</f>
        <v>1000</v>
      </c>
      <c r="G59" s="171">
        <f>+'삼성면(10년)'!$H$257</f>
        <v>1000</v>
      </c>
      <c r="H59" s="171">
        <f>+'삼성면(10년)'!$H$262</f>
        <v>1000</v>
      </c>
      <c r="I59" s="174" t="s">
        <v>1572</v>
      </c>
    </row>
    <row r="60" spans="1:9" ht="24.95" customHeight="1">
      <c r="A60" s="2228"/>
      <c r="B60" s="188" t="s">
        <v>273</v>
      </c>
      <c r="C60" s="175">
        <f>+'감곡면(10년)'!D16</f>
        <v>492</v>
      </c>
      <c r="D60" s="179">
        <f>AVERAGEIFS(D55:D59,$I55:$I59,"")</f>
        <v>341</v>
      </c>
      <c r="E60" s="179">
        <f>AVERAGEIFS(E55:E59,$I55:$I59,"")</f>
        <v>504</v>
      </c>
      <c r="F60" s="179">
        <f t="shared" ref="F60" si="16">AVERAGEIFS(F55:F59,$I55:$I59,"")</f>
        <v>667</v>
      </c>
      <c r="G60" s="179">
        <f t="shared" ref="G60" si="17">AVERAGEIFS(G55:G59,$I55:$I59,"")</f>
        <v>829</v>
      </c>
      <c r="H60" s="179">
        <f t="shared" ref="H60" si="18">AVERAGEIFS(H55:H59,$I55:$I59,"")</f>
        <v>992</v>
      </c>
      <c r="I60" s="176"/>
    </row>
    <row r="61" spans="1:9" ht="24.95" customHeight="1">
      <c r="A61" s="2224" t="s">
        <v>274</v>
      </c>
      <c r="B61" s="185" t="s">
        <v>48</v>
      </c>
      <c r="C61" s="177"/>
      <c r="D61" s="177">
        <f>+'삼성면(5년)'!$D$222</f>
        <v>244</v>
      </c>
      <c r="E61" s="177">
        <f>+'삼성면(5년)'!$D$227</f>
        <v>45</v>
      </c>
      <c r="F61" s="177">
        <f>+'삼성면(5년)'!$D$232</f>
        <v>-154</v>
      </c>
      <c r="G61" s="177">
        <f>+'삼성면(5년)'!$D$237</f>
        <v>-353</v>
      </c>
      <c r="H61" s="177">
        <f>+'삼성면(5년)'!$D$242</f>
        <v>-552</v>
      </c>
      <c r="I61" s="178" t="s">
        <v>1572</v>
      </c>
    </row>
    <row r="62" spans="1:9" ht="24.95" customHeight="1">
      <c r="A62" s="2225"/>
      <c r="B62" s="186" t="s">
        <v>271</v>
      </c>
      <c r="C62" s="173"/>
      <c r="D62" s="173">
        <f>+'삼성면(5년)'!$E$222</f>
        <v>254</v>
      </c>
      <c r="E62" s="173">
        <f>+'삼성면(5년)'!$E$227</f>
        <v>146</v>
      </c>
      <c r="F62" s="173">
        <f>+'삼성면(5년)'!$E$232</f>
        <v>84</v>
      </c>
      <c r="G62" s="173">
        <f>+'삼성면(5년)'!$E$237</f>
        <v>48</v>
      </c>
      <c r="H62" s="173">
        <f>+'삼성면(5년)'!$E$242</f>
        <v>28</v>
      </c>
      <c r="I62" s="174" t="s">
        <v>1572</v>
      </c>
    </row>
    <row r="63" spans="1:9" ht="24.95" customHeight="1">
      <c r="A63" s="2225"/>
      <c r="B63" s="186" t="s">
        <v>49</v>
      </c>
      <c r="C63" s="173"/>
      <c r="D63" s="173">
        <f>+'삼성면(5년)'!$F$222</f>
        <v>204</v>
      </c>
      <c r="E63" s="173">
        <f>+'삼성면(5년)'!$F$227</f>
        <v>-12</v>
      </c>
      <c r="F63" s="173">
        <f>+'삼성면(5년)'!$F$232</f>
        <v>-226</v>
      </c>
      <c r="G63" s="173">
        <f>+'삼성면(5년)'!$F$237</f>
        <v>-441</v>
      </c>
      <c r="H63" s="173">
        <f>+'삼성면(5년)'!$F$242</f>
        <v>-655</v>
      </c>
      <c r="I63" s="174" t="s">
        <v>1572</v>
      </c>
    </row>
    <row r="64" spans="1:9" ht="24.95" customHeight="1">
      <c r="A64" s="2225"/>
      <c r="B64" s="186" t="s">
        <v>279</v>
      </c>
      <c r="C64" s="173"/>
      <c r="D64" s="173">
        <f>+'삼성면(5년)'!$G$222</f>
        <v>506</v>
      </c>
      <c r="E64" s="173">
        <f>+'삼성면(5년)'!$G$227</f>
        <v>546</v>
      </c>
      <c r="F64" s="173">
        <f>+'삼성면(5년)'!$G$232</f>
        <v>579</v>
      </c>
      <c r="G64" s="173">
        <f>+'삼성면(5년)'!$G$237</f>
        <v>610</v>
      </c>
      <c r="H64" s="173">
        <f>+'삼성면(5년)'!$G$242</f>
        <v>638</v>
      </c>
      <c r="I64" s="174"/>
    </row>
    <row r="65" spans="1:9" ht="24.95" customHeight="1">
      <c r="A65" s="2225"/>
      <c r="B65" s="187" t="s">
        <v>272</v>
      </c>
      <c r="C65" s="173"/>
      <c r="D65" s="173">
        <f>+'삼성면(5년)'!$H$222</f>
        <v>148</v>
      </c>
      <c r="E65" s="173">
        <f>+'삼성면(5년)'!$H$227</f>
        <v>63</v>
      </c>
      <c r="F65" s="173">
        <f>+'삼성면(5년)'!$H$232</f>
        <v>26</v>
      </c>
      <c r="G65" s="173">
        <f>+'삼성면(5년)'!$H$237</f>
        <v>10</v>
      </c>
      <c r="H65" s="173">
        <f>+'삼성면(5년)'!$H$242</f>
        <v>4</v>
      </c>
      <c r="I65" s="174" t="s">
        <v>1572</v>
      </c>
    </row>
    <row r="66" spans="1:9" ht="24.95" customHeight="1">
      <c r="A66" s="2226"/>
      <c r="B66" s="188" t="s">
        <v>273</v>
      </c>
      <c r="C66" s="179">
        <f>+C60</f>
        <v>492</v>
      </c>
      <c r="D66" s="179">
        <f>AVERAGEIFS(D61:D65,$I61:$I65,"")</f>
        <v>506</v>
      </c>
      <c r="E66" s="179">
        <f>AVERAGEIFS(E61:E65,$I61:$I65,"")</f>
        <v>546</v>
      </c>
      <c r="F66" s="179">
        <f t="shared" ref="F66" si="19">AVERAGEIFS(F61:F65,$I61:$I65,"")</f>
        <v>579</v>
      </c>
      <c r="G66" s="179">
        <f t="shared" ref="G66" si="20">AVERAGEIFS(G61:G65,$I61:$I65,"")</f>
        <v>610</v>
      </c>
      <c r="H66" s="179">
        <f t="shared" ref="H66" si="21">AVERAGEIFS(H61:H65,$I61:$I65,"")</f>
        <v>638</v>
      </c>
      <c r="I66" s="180"/>
    </row>
    <row r="67" spans="1:9" ht="24.95" customHeight="1">
      <c r="A67" s="2231" t="s">
        <v>275</v>
      </c>
      <c r="B67" s="2232"/>
      <c r="C67" s="181">
        <f>D60</f>
        <v>341</v>
      </c>
      <c r="D67" s="181">
        <f>+D60</f>
        <v>341</v>
      </c>
      <c r="E67" s="181">
        <f>E60</f>
        <v>504</v>
      </c>
      <c r="F67" s="181">
        <f>F60</f>
        <v>667</v>
      </c>
      <c r="G67" s="181">
        <f>G60</f>
        <v>829</v>
      </c>
      <c r="H67" s="181">
        <f>H60</f>
        <v>992</v>
      </c>
      <c r="I67" s="182"/>
    </row>
    <row r="68" spans="1:9" s="812" customFormat="1" ht="24.95" customHeight="1">
      <c r="A68" s="81"/>
      <c r="B68" s="81"/>
      <c r="C68" s="81"/>
      <c r="D68" s="81"/>
      <c r="E68" s="81"/>
      <c r="F68" s="81"/>
      <c r="G68" s="81"/>
      <c r="H68" s="81"/>
      <c r="I68" s="81"/>
    </row>
    <row r="69" spans="1:9" s="812" customFormat="1" ht="24.95" customHeight="1">
      <c r="A69" s="170" t="s">
        <v>1577</v>
      </c>
      <c r="B69" s="277"/>
      <c r="C69" s="439"/>
      <c r="D69" s="439"/>
      <c r="E69" s="439"/>
      <c r="F69" s="439"/>
      <c r="G69" s="439"/>
      <c r="H69" s="439"/>
      <c r="I69" s="439"/>
    </row>
    <row r="70" spans="1:9" s="812" customFormat="1" ht="24.95" customHeight="1">
      <c r="A70" s="2220" t="s">
        <v>268</v>
      </c>
      <c r="B70" s="2221"/>
      <c r="C70" s="2217" t="s">
        <v>277</v>
      </c>
      <c r="D70" s="2218"/>
      <c r="E70" s="2218"/>
      <c r="F70" s="2218"/>
      <c r="G70" s="2218"/>
      <c r="H70" s="2219"/>
      <c r="I70" s="2229" t="s">
        <v>45</v>
      </c>
    </row>
    <row r="71" spans="1:9" s="812" customFormat="1" ht="24.95" customHeight="1">
      <c r="A71" s="2222"/>
      <c r="B71" s="2223"/>
      <c r="C71" s="183" t="s">
        <v>869</v>
      </c>
      <c r="D71" s="184" t="s">
        <v>50</v>
      </c>
      <c r="E71" s="184" t="s">
        <v>51</v>
      </c>
      <c r="F71" s="184" t="s">
        <v>52</v>
      </c>
      <c r="G71" s="184" t="s">
        <v>269</v>
      </c>
      <c r="H71" s="184" t="s">
        <v>278</v>
      </c>
      <c r="I71" s="2230"/>
    </row>
    <row r="72" spans="1:9" s="812" customFormat="1" ht="24.95" customHeight="1">
      <c r="A72" s="2227" t="s">
        <v>270</v>
      </c>
      <c r="B72" s="185" t="s">
        <v>48</v>
      </c>
      <c r="C72" s="171"/>
      <c r="D72" s="171">
        <f>+'감곡면(10년)'!$D$242</f>
        <v>601</v>
      </c>
      <c r="E72" s="171">
        <f>+'감곡면(10년)'!$D$247</f>
        <v>875</v>
      </c>
      <c r="F72" s="171">
        <f>+'감곡면(10년)'!$D$252</f>
        <v>1148</v>
      </c>
      <c r="G72" s="171">
        <f>+'감곡면(10년)'!$D$257</f>
        <v>1422</v>
      </c>
      <c r="H72" s="171">
        <f>+'감곡면(10년)'!$D$262</f>
        <v>1695</v>
      </c>
      <c r="I72" s="172" t="s">
        <v>1572</v>
      </c>
    </row>
    <row r="73" spans="1:9" s="812" customFormat="1" ht="24.95" customHeight="1">
      <c r="A73" s="2225"/>
      <c r="B73" s="186" t="s">
        <v>271</v>
      </c>
      <c r="C73" s="173"/>
      <c r="D73" s="171">
        <f>+'감곡면(10년)'!$E$242</f>
        <v>531</v>
      </c>
      <c r="E73" s="171">
        <f>+'감곡면(10년)'!$E$247</f>
        <v>644</v>
      </c>
      <c r="F73" s="171">
        <f>+'감곡면(10년)'!$E$252</f>
        <v>780</v>
      </c>
      <c r="G73" s="171">
        <f>+'감곡면(10년)'!$E$257</f>
        <v>945</v>
      </c>
      <c r="H73" s="171">
        <f>+'감곡면(10년)'!$E$262</f>
        <v>1145</v>
      </c>
      <c r="I73" s="174" t="s">
        <v>1572</v>
      </c>
    </row>
    <row r="74" spans="1:9" s="812" customFormat="1" ht="24.95" customHeight="1">
      <c r="A74" s="2225"/>
      <c r="B74" s="186" t="s">
        <v>49</v>
      </c>
      <c r="C74" s="173"/>
      <c r="D74" s="173">
        <f>+'감곡면(10년)'!$F$242</f>
        <v>469</v>
      </c>
      <c r="E74" s="173">
        <f>+'감곡면(10년)'!$F$247</f>
        <v>627</v>
      </c>
      <c r="F74" s="171">
        <f>+'감곡면(10년)'!$F$252</f>
        <v>785</v>
      </c>
      <c r="G74" s="171">
        <f>+'감곡면(10년)'!$F$257</f>
        <v>943</v>
      </c>
      <c r="H74" s="171">
        <f>+'감곡면(10년)'!$F$262</f>
        <v>1101</v>
      </c>
      <c r="I74" s="174"/>
    </row>
    <row r="75" spans="1:9" s="812" customFormat="1" ht="24.95" customHeight="1">
      <c r="A75" s="2225"/>
      <c r="B75" s="186" t="s">
        <v>279</v>
      </c>
      <c r="C75" s="173"/>
      <c r="D75" s="173">
        <f>+'감곡면(10년)'!$G$242</f>
        <v>1112</v>
      </c>
      <c r="E75" s="173">
        <f>+'감곡면(10년)'!$G$247</f>
        <v>2296</v>
      </c>
      <c r="F75" s="171">
        <f>+'감곡면(10년)'!$G$252</f>
        <v>3886</v>
      </c>
      <c r="G75" s="171">
        <f>+'감곡면(10년)'!$G$257</f>
        <v>5876</v>
      </c>
      <c r="H75" s="171">
        <f>+'감곡면(10년)'!$G$262</f>
        <v>8258</v>
      </c>
      <c r="I75" s="174" t="s">
        <v>1572</v>
      </c>
    </row>
    <row r="76" spans="1:9" s="812" customFormat="1" ht="24.95" customHeight="1">
      <c r="A76" s="2225"/>
      <c r="B76" s="187" t="s">
        <v>272</v>
      </c>
      <c r="C76" s="173"/>
      <c r="D76" s="173">
        <f>+'감곡면(10년)'!$H$242</f>
        <v>1401</v>
      </c>
      <c r="E76" s="173">
        <f>+'감곡면(10년)'!$H$247</f>
        <v>1952</v>
      </c>
      <c r="F76" s="171">
        <f>+'감곡면(10년)'!$H$252</f>
        <v>1998</v>
      </c>
      <c r="G76" s="171">
        <f>+'감곡면(10년)'!$H$257</f>
        <v>2000</v>
      </c>
      <c r="H76" s="171">
        <f>+'감곡면(10년)'!$H$262</f>
        <v>2000</v>
      </c>
      <c r="I76" s="174" t="s">
        <v>294</v>
      </c>
    </row>
    <row r="77" spans="1:9" s="812" customFormat="1" ht="24.95" customHeight="1">
      <c r="A77" s="2228"/>
      <c r="B77" s="188" t="s">
        <v>273</v>
      </c>
      <c r="C77" s="175">
        <f>+'대소면(10년)'!D49</f>
        <v>0</v>
      </c>
      <c r="D77" s="179">
        <f>AVERAGEIFS(D72:D76,$I72:$I76,"")</f>
        <v>469</v>
      </c>
      <c r="E77" s="179">
        <f>AVERAGEIFS(E72:E76,$I72:$I76,"")</f>
        <v>627</v>
      </c>
      <c r="F77" s="179">
        <f t="shared" ref="F77" si="22">AVERAGEIFS(F72:F76,$I72:$I76,"")</f>
        <v>785</v>
      </c>
      <c r="G77" s="179">
        <f t="shared" ref="G77" si="23">AVERAGEIFS(G72:G76,$I72:$I76,"")</f>
        <v>943</v>
      </c>
      <c r="H77" s="179">
        <f t="shared" ref="H77" si="24">AVERAGEIFS(H72:H76,$I72:$I76,"")</f>
        <v>1101</v>
      </c>
      <c r="I77" s="176"/>
    </row>
    <row r="78" spans="1:9" s="812" customFormat="1" ht="24.95" customHeight="1">
      <c r="A78" s="2224" t="s">
        <v>274</v>
      </c>
      <c r="B78" s="185" t="s">
        <v>48</v>
      </c>
      <c r="C78" s="177"/>
      <c r="D78" s="177">
        <f>+'감곡면(5년)'!$D$222</f>
        <v>556</v>
      </c>
      <c r="E78" s="177">
        <f>+'감곡면(5년)'!$D$227</f>
        <v>715</v>
      </c>
      <c r="F78" s="177">
        <f>+'감곡면(5년)'!$D$232</f>
        <v>874</v>
      </c>
      <c r="G78" s="177">
        <f>+'감곡면(5년)'!$D$237</f>
        <v>1033</v>
      </c>
      <c r="H78" s="177">
        <f>+'감곡면(5년)'!$D$242</f>
        <v>1192</v>
      </c>
      <c r="I78" s="178" t="s">
        <v>1572</v>
      </c>
    </row>
    <row r="79" spans="1:9" s="812" customFormat="1" ht="24.95" customHeight="1">
      <c r="A79" s="2225"/>
      <c r="B79" s="186" t="s">
        <v>271</v>
      </c>
      <c r="C79" s="173"/>
      <c r="D79" s="173">
        <f>+'감곡면(5년)'!$E$222</f>
        <v>571</v>
      </c>
      <c r="E79" s="173">
        <f>+'감곡면(5년)'!$E$227</f>
        <v>830</v>
      </c>
      <c r="F79" s="173">
        <f>+'감곡면(5년)'!$E$232</f>
        <v>1205</v>
      </c>
      <c r="G79" s="173">
        <f>+'감곡면(5년)'!$E$237</f>
        <v>1750</v>
      </c>
      <c r="H79" s="173">
        <f>+'감곡면(5년)'!$E$242</f>
        <v>2542</v>
      </c>
      <c r="I79" s="174" t="s">
        <v>1572</v>
      </c>
    </row>
    <row r="80" spans="1:9" s="812" customFormat="1" ht="24.95" customHeight="1">
      <c r="A80" s="2225"/>
      <c r="B80" s="186" t="s">
        <v>49</v>
      </c>
      <c r="C80" s="173"/>
      <c r="D80" s="173">
        <f>+'감곡면(5년)'!$F$222</f>
        <v>421</v>
      </c>
      <c r="E80" s="173">
        <f>+'감곡면(5년)'!$F$227</f>
        <v>549</v>
      </c>
      <c r="F80" s="173">
        <f>+'감곡면(5년)'!$F$232</f>
        <v>676</v>
      </c>
      <c r="G80" s="173">
        <f>+'감곡면(5년)'!$F$237</f>
        <v>804</v>
      </c>
      <c r="H80" s="173">
        <f>+'감곡면(5년)'!$F$242</f>
        <v>931</v>
      </c>
      <c r="I80" s="174" t="s">
        <v>294</v>
      </c>
    </row>
    <row r="81" spans="1:9" s="812" customFormat="1" ht="24.95" customHeight="1">
      <c r="A81" s="2225"/>
      <c r="B81" s="186" t="s">
        <v>279</v>
      </c>
      <c r="C81" s="173"/>
      <c r="D81" s="173">
        <f>+'감곡면(5년)'!$G$222</f>
        <v>395</v>
      </c>
      <c r="E81" s="173">
        <f>+'감곡면(5년)'!$G$227</f>
        <v>396</v>
      </c>
      <c r="F81" s="173">
        <f>+'감곡면(5년)'!$G$232</f>
        <v>396</v>
      </c>
      <c r="G81" s="173">
        <f>+'감곡면(5년)'!$G$237</f>
        <v>397</v>
      </c>
      <c r="H81" s="173">
        <f>+'감곡면(5년)'!$G$242</f>
        <v>397</v>
      </c>
      <c r="I81" s="174"/>
    </row>
    <row r="82" spans="1:9" s="812" customFormat="1" ht="24.95" customHeight="1">
      <c r="A82" s="2225"/>
      <c r="B82" s="187" t="s">
        <v>272</v>
      </c>
      <c r="C82" s="173"/>
      <c r="D82" s="173">
        <f>+'감곡면(5년)'!$H$222</f>
        <v>462</v>
      </c>
      <c r="E82" s="173">
        <f>+'감곡면(5년)'!$H$227</f>
        <v>610</v>
      </c>
      <c r="F82" s="173">
        <f>+'감곡면(5년)'!$H$232</f>
        <v>783</v>
      </c>
      <c r="G82" s="173">
        <f>+'감곡면(5년)'!$H$237</f>
        <v>970</v>
      </c>
      <c r="H82" s="173">
        <f>+'감곡면(5년)'!$H$242</f>
        <v>1160</v>
      </c>
      <c r="I82" s="174" t="s">
        <v>294</v>
      </c>
    </row>
    <row r="83" spans="1:9" s="812" customFormat="1" ht="24.95" customHeight="1">
      <c r="A83" s="2226"/>
      <c r="B83" s="188" t="s">
        <v>273</v>
      </c>
      <c r="C83" s="179">
        <f>+C77</f>
        <v>0</v>
      </c>
      <c r="D83" s="179">
        <f>AVERAGEIFS(D78:D82,$I78:$I82,"")</f>
        <v>395</v>
      </c>
      <c r="E83" s="179">
        <f>AVERAGEIFS(E78:E82,$I78:$I82,"")</f>
        <v>396</v>
      </c>
      <c r="F83" s="179">
        <f t="shared" ref="F83" si="25">AVERAGEIFS(F78:F82,$I78:$I82,"")</f>
        <v>396</v>
      </c>
      <c r="G83" s="179">
        <f t="shared" ref="G83" si="26">AVERAGEIFS(G78:G82,$I78:$I82,"")</f>
        <v>397</v>
      </c>
      <c r="H83" s="179">
        <f t="shared" ref="H83" si="27">AVERAGEIFS(H78:H82,$I78:$I82,"")</f>
        <v>397</v>
      </c>
      <c r="I83" s="180"/>
    </row>
    <row r="84" spans="1:9" s="812" customFormat="1" ht="24.95" customHeight="1">
      <c r="A84" s="2231" t="s">
        <v>275</v>
      </c>
      <c r="B84" s="2232"/>
      <c r="C84" s="181">
        <f>+C83</f>
        <v>0</v>
      </c>
      <c r="D84" s="181">
        <f>D83</f>
        <v>395</v>
      </c>
      <c r="E84" s="181">
        <f>E83</f>
        <v>396</v>
      </c>
      <c r="F84" s="181">
        <f>F83</f>
        <v>396</v>
      </c>
      <c r="G84" s="181">
        <f>G83</f>
        <v>397</v>
      </c>
      <c r="H84" s="181">
        <f>H83</f>
        <v>397</v>
      </c>
      <c r="I84" s="182"/>
    </row>
    <row r="85" spans="1:9" s="812" customFormat="1" ht="24.95" customHeight="1">
      <c r="A85" s="81"/>
      <c r="B85" s="81"/>
      <c r="C85" s="81"/>
      <c r="D85" s="81"/>
      <c r="E85" s="81"/>
      <c r="F85" s="81"/>
      <c r="G85" s="81"/>
      <c r="H85" s="81"/>
      <c r="I85" s="81"/>
    </row>
    <row r="86" spans="1:9" s="812" customFormat="1" ht="24.95" customHeight="1">
      <c r="A86" s="170" t="s">
        <v>1578</v>
      </c>
      <c r="B86" s="277"/>
      <c r="C86" s="439"/>
      <c r="D86" s="439"/>
      <c r="E86" s="439"/>
      <c r="F86" s="439"/>
      <c r="G86" s="439"/>
      <c r="H86" s="439"/>
      <c r="I86" s="439"/>
    </row>
    <row r="87" spans="1:9" s="812" customFormat="1" ht="24.95" customHeight="1">
      <c r="A87" s="2220" t="s">
        <v>268</v>
      </c>
      <c r="B87" s="2221"/>
      <c r="C87" s="2217" t="s">
        <v>277</v>
      </c>
      <c r="D87" s="2218"/>
      <c r="E87" s="2218"/>
      <c r="F87" s="2218"/>
      <c r="G87" s="2218"/>
      <c r="H87" s="2219"/>
      <c r="I87" s="2229" t="s">
        <v>45</v>
      </c>
    </row>
    <row r="88" spans="1:9" s="812" customFormat="1" ht="24.95" customHeight="1">
      <c r="A88" s="2222"/>
      <c r="B88" s="2223"/>
      <c r="C88" s="183" t="s">
        <v>869</v>
      </c>
      <c r="D88" s="184" t="s">
        <v>50</v>
      </c>
      <c r="E88" s="184" t="s">
        <v>51</v>
      </c>
      <c r="F88" s="184" t="s">
        <v>52</v>
      </c>
      <c r="G88" s="184" t="s">
        <v>269</v>
      </c>
      <c r="H88" s="184" t="s">
        <v>278</v>
      </c>
      <c r="I88" s="2230"/>
    </row>
    <row r="89" spans="1:9" s="812" customFormat="1" ht="24.95" customHeight="1">
      <c r="A89" s="2227" t="s">
        <v>270</v>
      </c>
      <c r="B89" s="185" t="s">
        <v>48</v>
      </c>
      <c r="C89" s="171"/>
      <c r="D89" s="171">
        <f>+'생극면(10년)'!$D$242</f>
        <v>316</v>
      </c>
      <c r="E89" s="171">
        <f>+'생극면(10년)'!$D$247</f>
        <v>474</v>
      </c>
      <c r="F89" s="171">
        <f>+'생극면(10년)'!$D$252</f>
        <v>632</v>
      </c>
      <c r="G89" s="171">
        <f>+'생극면(10년)'!$D$257</f>
        <v>790</v>
      </c>
      <c r="H89" s="171">
        <f>+'생극면(10년)'!$D$262</f>
        <v>948</v>
      </c>
      <c r="I89" s="172" t="s">
        <v>1572</v>
      </c>
    </row>
    <row r="90" spans="1:9" s="812" customFormat="1" ht="24.95" customHeight="1">
      <c r="A90" s="2225"/>
      <c r="B90" s="186" t="s">
        <v>271</v>
      </c>
      <c r="C90" s="173"/>
      <c r="D90" s="171">
        <f>+'생극면(10년)'!$E$242</f>
        <v>286</v>
      </c>
      <c r="E90" s="171">
        <f>+'생극면(10년)'!$E$247</f>
        <v>298</v>
      </c>
      <c r="F90" s="171">
        <f>+'생극면(10년)'!$E$252</f>
        <v>311</v>
      </c>
      <c r="G90" s="171">
        <f>+'생극면(10년)'!$E$257</f>
        <v>324</v>
      </c>
      <c r="H90" s="171">
        <f>+'생극면(10년)'!$E$262</f>
        <v>338</v>
      </c>
      <c r="I90" s="174"/>
    </row>
    <row r="91" spans="1:9" s="812" customFormat="1" ht="24.95" customHeight="1">
      <c r="A91" s="2225"/>
      <c r="B91" s="186" t="s">
        <v>49</v>
      </c>
      <c r="C91" s="173"/>
      <c r="D91" s="173">
        <f>+'생극면(10년)'!$F$242</f>
        <v>429</v>
      </c>
      <c r="E91" s="173">
        <f>+'생극면(10년)'!$F$247</f>
        <v>574</v>
      </c>
      <c r="F91" s="171">
        <f>+'생극면(10년)'!$F$252</f>
        <v>720</v>
      </c>
      <c r="G91" s="171">
        <f>+'생극면(10년)'!$F$257</f>
        <v>865</v>
      </c>
      <c r="H91" s="171">
        <f>+'생극면(10년)'!$F$262</f>
        <v>1011</v>
      </c>
      <c r="I91" s="174" t="s">
        <v>1572</v>
      </c>
    </row>
    <row r="92" spans="1:9" s="812" customFormat="1" ht="24.95" customHeight="1">
      <c r="A92" s="2225"/>
      <c r="B92" s="186" t="s">
        <v>279</v>
      </c>
      <c r="C92" s="173"/>
      <c r="D92" s="173">
        <f>+'생극면(10년)'!$G$242</f>
        <v>988</v>
      </c>
      <c r="E92" s="173">
        <f>+'생극면(10년)'!$G$247</f>
        <v>2215</v>
      </c>
      <c r="F92" s="171">
        <f>+'생극면(10년)'!$G$252</f>
        <v>3927</v>
      </c>
      <c r="G92" s="171">
        <f>+'생극면(10년)'!$G$257</f>
        <v>6124</v>
      </c>
      <c r="H92" s="171">
        <f>+'생극면(10년)'!$G$262</f>
        <v>8803</v>
      </c>
      <c r="I92" s="174" t="s">
        <v>1572</v>
      </c>
    </row>
    <row r="93" spans="1:9" s="812" customFormat="1" ht="24.95" customHeight="1">
      <c r="A93" s="2225"/>
      <c r="B93" s="187" t="s">
        <v>272</v>
      </c>
      <c r="C93" s="173"/>
      <c r="D93" s="173">
        <f>+'생극면(10년)'!$H$242</f>
        <v>781</v>
      </c>
      <c r="E93" s="173">
        <f>+'생극면(10년)'!$H$247</f>
        <v>986</v>
      </c>
      <c r="F93" s="171">
        <f>+'생극면(10년)'!$H$252</f>
        <v>1000</v>
      </c>
      <c r="G93" s="171">
        <f>+'생극면(10년)'!$H$257</f>
        <v>1000</v>
      </c>
      <c r="H93" s="171">
        <f>+'생극면(10년)'!$H$262</f>
        <v>1000</v>
      </c>
      <c r="I93" s="174" t="s">
        <v>1572</v>
      </c>
    </row>
    <row r="94" spans="1:9" s="812" customFormat="1" ht="24.95" customHeight="1">
      <c r="A94" s="2228"/>
      <c r="B94" s="188" t="s">
        <v>273</v>
      </c>
      <c r="C94" s="175">
        <f>+'감곡면(10년)'!D49</f>
        <v>0</v>
      </c>
      <c r="D94" s="179">
        <f>AVERAGEIFS(D89:D93,$I89:$I93,"")</f>
        <v>286</v>
      </c>
      <c r="E94" s="179">
        <f>AVERAGEIFS(E89:E93,$I89:$I93,"")</f>
        <v>298</v>
      </c>
      <c r="F94" s="179">
        <f t="shared" ref="F94" si="28">AVERAGEIFS(F89:F93,$I89:$I93,"")</f>
        <v>311</v>
      </c>
      <c r="G94" s="179">
        <f t="shared" ref="G94" si="29">AVERAGEIFS(G89:G93,$I89:$I93,"")</f>
        <v>324</v>
      </c>
      <c r="H94" s="179">
        <f t="shared" ref="H94" si="30">AVERAGEIFS(H89:H93,$I89:$I93,"")</f>
        <v>338</v>
      </c>
      <c r="I94" s="176"/>
    </row>
    <row r="95" spans="1:9" s="812" customFormat="1" ht="24.95" customHeight="1">
      <c r="A95" s="2224" t="s">
        <v>274</v>
      </c>
      <c r="B95" s="185" t="s">
        <v>48</v>
      </c>
      <c r="C95" s="177"/>
      <c r="D95" s="177">
        <f>+'생극면(5년)'!$D$222</f>
        <v>326</v>
      </c>
      <c r="E95" s="177">
        <f>+'생극면(5년)'!$D$227</f>
        <v>289</v>
      </c>
      <c r="F95" s="177">
        <f>+'생극면(5년)'!$D$232</f>
        <v>253</v>
      </c>
      <c r="G95" s="177">
        <f>+'생극면(5년)'!$D$237</f>
        <v>216</v>
      </c>
      <c r="H95" s="177">
        <f>+'생극면(5년)'!$D$242</f>
        <v>180</v>
      </c>
      <c r="I95" s="178"/>
    </row>
    <row r="96" spans="1:9" s="812" customFormat="1" ht="24.95" customHeight="1">
      <c r="A96" s="2225"/>
      <c r="B96" s="186" t="s">
        <v>271</v>
      </c>
      <c r="C96" s="173"/>
      <c r="D96" s="173">
        <f>+'생극면(5년)'!$E$222</f>
        <v>326</v>
      </c>
      <c r="E96" s="173">
        <f>+'생극면(5년)'!$E$227</f>
        <v>294</v>
      </c>
      <c r="F96" s="173">
        <f>+'생극면(5년)'!$E$232</f>
        <v>265</v>
      </c>
      <c r="G96" s="173">
        <f>+'생극면(5년)'!$E$237</f>
        <v>238</v>
      </c>
      <c r="H96" s="173">
        <f>+'생극면(5년)'!$E$242</f>
        <v>215</v>
      </c>
      <c r="I96" s="174"/>
    </row>
    <row r="97" spans="1:9" s="812" customFormat="1" ht="24.95" customHeight="1">
      <c r="A97" s="2225"/>
      <c r="B97" s="186" t="s">
        <v>49</v>
      </c>
      <c r="C97" s="173"/>
      <c r="D97" s="173">
        <f>+'생극면(5년)'!$F$222</f>
        <v>264</v>
      </c>
      <c r="E97" s="173">
        <f>+'생극면(5년)'!$F$227</f>
        <v>281</v>
      </c>
      <c r="F97" s="173">
        <f>+'생극면(5년)'!$F$232</f>
        <v>297</v>
      </c>
      <c r="G97" s="173">
        <f>+'생극면(5년)'!$F$237</f>
        <v>314</v>
      </c>
      <c r="H97" s="173">
        <f>+'생극면(5년)'!$F$242</f>
        <v>330</v>
      </c>
      <c r="I97" s="174"/>
    </row>
    <row r="98" spans="1:9" s="812" customFormat="1" ht="24.95" customHeight="1">
      <c r="A98" s="2225"/>
      <c r="B98" s="186" t="s">
        <v>279</v>
      </c>
      <c r="C98" s="173"/>
      <c r="D98" s="173">
        <f>+'생극면(5년)'!$G$222</f>
        <v>370</v>
      </c>
      <c r="E98" s="173">
        <f>+'생극면(5년)'!$G$227</f>
        <v>366</v>
      </c>
      <c r="F98" s="173">
        <f>+'생극면(5년)'!$G$232</f>
        <v>364</v>
      </c>
      <c r="G98" s="173">
        <f>+'생극면(5년)'!$G$237</f>
        <v>364</v>
      </c>
      <c r="H98" s="173">
        <f>+'생극면(5년)'!$G$242</f>
        <v>364</v>
      </c>
      <c r="I98" s="174"/>
    </row>
    <row r="99" spans="1:9" s="812" customFormat="1" ht="24.95" customHeight="1">
      <c r="A99" s="2225"/>
      <c r="B99" s="187" t="s">
        <v>272</v>
      </c>
      <c r="C99" s="173"/>
      <c r="D99" s="173">
        <f>+'생극면(5년)'!$H$222</f>
        <v>287</v>
      </c>
      <c r="E99" s="173">
        <f>+'생극면(5년)'!$H$227</f>
        <v>331</v>
      </c>
      <c r="F99" s="173">
        <f>+'생극면(5년)'!$H$232</f>
        <v>377</v>
      </c>
      <c r="G99" s="173">
        <f>+'생극면(5년)'!$H$237</f>
        <v>426</v>
      </c>
      <c r="H99" s="173">
        <f>+'생극면(5년)'!$H$242</f>
        <v>476</v>
      </c>
      <c r="I99" s="174" t="s">
        <v>1572</v>
      </c>
    </row>
    <row r="100" spans="1:9" s="812" customFormat="1" ht="24.95" customHeight="1">
      <c r="A100" s="2226"/>
      <c r="B100" s="188" t="s">
        <v>273</v>
      </c>
      <c r="C100" s="179">
        <f>+C94</f>
        <v>0</v>
      </c>
      <c r="D100" s="179">
        <f>AVERAGEIFS(D95:D99,$I95:$I99,"")</f>
        <v>321.5</v>
      </c>
      <c r="E100" s="179">
        <f>AVERAGEIFS(E95:E99,$I95:$I99,"")</f>
        <v>307.5</v>
      </c>
      <c r="F100" s="179">
        <f t="shared" ref="F100" si="31">AVERAGEIFS(F95:F99,$I95:$I99,"")</f>
        <v>294.75</v>
      </c>
      <c r="G100" s="179">
        <f t="shared" ref="G100" si="32">AVERAGEIFS(G95:G99,$I95:$I99,"")</f>
        <v>283</v>
      </c>
      <c r="H100" s="179">
        <f t="shared" ref="H100" si="33">AVERAGEIFS(H95:H99,$I95:$I99,"")</f>
        <v>272.25</v>
      </c>
      <c r="I100" s="180"/>
    </row>
    <row r="101" spans="1:9" s="812" customFormat="1" ht="24.95" customHeight="1">
      <c r="A101" s="2231" t="s">
        <v>275</v>
      </c>
      <c r="B101" s="2232"/>
      <c r="C101" s="181">
        <f>+C100</f>
        <v>0</v>
      </c>
      <c r="D101" s="181">
        <f>+D94</f>
        <v>286</v>
      </c>
      <c r="E101" s="181">
        <f>E94</f>
        <v>298</v>
      </c>
      <c r="F101" s="181">
        <f>F94</f>
        <v>311</v>
      </c>
      <c r="G101" s="181">
        <f>G94</f>
        <v>324</v>
      </c>
      <c r="H101" s="181">
        <f>H94</f>
        <v>338</v>
      </c>
      <c r="I101" s="182"/>
    </row>
  </sheetData>
  <mergeCells count="36">
    <mergeCell ref="A95:A100"/>
    <mergeCell ref="A101:B101"/>
    <mergeCell ref="A84:B84"/>
    <mergeCell ref="A87:B88"/>
    <mergeCell ref="C87:H87"/>
    <mergeCell ref="I87:I88"/>
    <mergeCell ref="A89:A94"/>
    <mergeCell ref="A70:B71"/>
    <mergeCell ref="C70:H70"/>
    <mergeCell ref="I70:I71"/>
    <mergeCell ref="A72:A77"/>
    <mergeCell ref="A78:A83"/>
    <mergeCell ref="A67:B67"/>
    <mergeCell ref="A53:B54"/>
    <mergeCell ref="C53:H53"/>
    <mergeCell ref="I53:I54"/>
    <mergeCell ref="A55:A60"/>
    <mergeCell ref="A61:A66"/>
    <mergeCell ref="A38:A43"/>
    <mergeCell ref="A44:A49"/>
    <mergeCell ref="A50:B50"/>
    <mergeCell ref="A28:A33"/>
    <mergeCell ref="A34:B34"/>
    <mergeCell ref="A36:B37"/>
    <mergeCell ref="C36:H36"/>
    <mergeCell ref="I36:I37"/>
    <mergeCell ref="A18:B18"/>
    <mergeCell ref="A20:B21"/>
    <mergeCell ref="C20:H20"/>
    <mergeCell ref="I20:I21"/>
    <mergeCell ref="A22:A27"/>
    <mergeCell ref="C4:H4"/>
    <mergeCell ref="A4:B5"/>
    <mergeCell ref="A12:A17"/>
    <mergeCell ref="A6:A11"/>
    <mergeCell ref="I4:I5"/>
  </mergeCells>
  <phoneticPr fontId="7" type="noConversion"/>
  <pageMargins left="0.7" right="0.7" top="0.75" bottom="0.75" header="0.3" footer="0.3"/>
  <pageSetup paperSize="9" scale="88" orientation="portrait" r:id="rId1"/>
  <colBreaks count="1" manualBreakCount="1">
    <brk id="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101"/>
  <sheetViews>
    <sheetView workbookViewId="0"/>
  </sheetViews>
  <sheetFormatPr defaultRowHeight="16.5"/>
  <cols>
    <col min="1" max="1" width="8.88671875" style="81"/>
    <col min="2" max="2" width="14.5546875" style="81" customWidth="1"/>
    <col min="3" max="9" width="8.88671875" style="81"/>
  </cols>
  <sheetData>
    <row r="1" spans="1:9" ht="24.95" customHeight="1">
      <c r="A1" s="169" t="s">
        <v>267</v>
      </c>
      <c r="B1" s="169"/>
      <c r="C1" s="168"/>
      <c r="D1" s="168"/>
      <c r="E1" s="168"/>
      <c r="F1" s="168"/>
      <c r="G1" s="168"/>
      <c r="H1" s="168"/>
      <c r="I1" s="168"/>
    </row>
    <row r="2" spans="1:9" ht="24.95" customHeight="1">
      <c r="A2" s="170" t="s">
        <v>978</v>
      </c>
      <c r="B2" s="169"/>
      <c r="C2" s="168"/>
      <c r="D2" s="168"/>
      <c r="E2" s="168"/>
      <c r="F2" s="168"/>
      <c r="G2" s="168"/>
      <c r="H2" s="168"/>
      <c r="I2" s="168"/>
    </row>
    <row r="3" spans="1:9" ht="24.95" customHeight="1">
      <c r="A3" s="2220" t="s">
        <v>268</v>
      </c>
      <c r="B3" s="2221"/>
      <c r="C3" s="2217" t="s">
        <v>473</v>
      </c>
      <c r="D3" s="2218"/>
      <c r="E3" s="2218"/>
      <c r="F3" s="2218"/>
      <c r="G3" s="2218"/>
      <c r="H3" s="2219"/>
      <c r="I3" s="2229" t="s">
        <v>45</v>
      </c>
    </row>
    <row r="4" spans="1:9" ht="24.95" customHeight="1">
      <c r="A4" s="2222"/>
      <c r="B4" s="2223"/>
      <c r="C4" s="183" t="s">
        <v>878</v>
      </c>
      <c r="D4" s="184" t="s">
        <v>50</v>
      </c>
      <c r="E4" s="184" t="s">
        <v>51</v>
      </c>
      <c r="F4" s="184" t="s">
        <v>52</v>
      </c>
      <c r="G4" s="184" t="s">
        <v>269</v>
      </c>
      <c r="H4" s="184" t="s">
        <v>278</v>
      </c>
      <c r="I4" s="2230"/>
    </row>
    <row r="5" spans="1:9" ht="24.95" customHeight="1">
      <c r="A5" s="2227" t="s">
        <v>270</v>
      </c>
      <c r="B5" s="185" t="s">
        <v>48</v>
      </c>
      <c r="C5" s="171"/>
      <c r="D5" s="171">
        <f>+'음성읍(10년) (사)'!$D$242</f>
        <v>238</v>
      </c>
      <c r="E5" s="171">
        <f>+'음성읍(10년) (사)'!$D$247</f>
        <v>259</v>
      </c>
      <c r="F5" s="171">
        <f>+'음성읍(10년) (사)'!$D$252</f>
        <v>279</v>
      </c>
      <c r="G5" s="171">
        <f>+'음성읍(10년) (사)'!$D$257</f>
        <v>300</v>
      </c>
      <c r="H5" s="171">
        <f>+'음성읍(10년) (사)'!$D$262</f>
        <v>320</v>
      </c>
      <c r="I5" s="172"/>
    </row>
    <row r="6" spans="1:9" ht="24.95" customHeight="1">
      <c r="A6" s="2225"/>
      <c r="B6" s="186" t="s">
        <v>271</v>
      </c>
      <c r="C6" s="173"/>
      <c r="D6" s="171">
        <f>+'음성읍(10년) (사)'!$E$242</f>
        <v>239</v>
      </c>
      <c r="E6" s="171">
        <f>+'음성읍(10년) (사)'!$E$247</f>
        <v>262</v>
      </c>
      <c r="F6" s="171">
        <f>+'음성읍(10년) (사)'!$E$252</f>
        <v>289</v>
      </c>
      <c r="G6" s="171">
        <f>+'음성읍(10년) (사)'!$E$257</f>
        <v>318</v>
      </c>
      <c r="H6" s="171">
        <f>+'음성읍(10년) (사)'!$E$262</f>
        <v>350</v>
      </c>
      <c r="I6" s="174"/>
    </row>
    <row r="7" spans="1:9" ht="24.95" customHeight="1">
      <c r="A7" s="2225"/>
      <c r="B7" s="186" t="s">
        <v>49</v>
      </c>
      <c r="C7" s="173"/>
      <c r="D7" s="173">
        <f>+'음성읍(10년) (사)'!$F$242</f>
        <v>257</v>
      </c>
      <c r="E7" s="173">
        <f>+'음성읍(10년) (사)'!$F$247</f>
        <v>294</v>
      </c>
      <c r="F7" s="171">
        <f>+'음성읍(10년) (사)'!$F$252</f>
        <v>332</v>
      </c>
      <c r="G7" s="171">
        <f>+'음성읍(10년) (사)'!$F$257</f>
        <v>369</v>
      </c>
      <c r="H7" s="171">
        <f>+'음성읍(10년) (사)'!$F$262</f>
        <v>407</v>
      </c>
      <c r="I7" s="174"/>
    </row>
    <row r="8" spans="1:9" ht="24.95" customHeight="1">
      <c r="A8" s="2225"/>
      <c r="B8" s="186" t="s">
        <v>280</v>
      </c>
      <c r="C8" s="173"/>
      <c r="D8" s="173">
        <f>+'음성읍(10년) (사)'!$G$242</f>
        <v>254</v>
      </c>
      <c r="E8" s="173">
        <f>+'음성읍(10년) (사)'!$G$247</f>
        <v>285</v>
      </c>
      <c r="F8" s="171">
        <f>+'음성읍(10년) (사)'!$G$252</f>
        <v>317</v>
      </c>
      <c r="G8" s="171">
        <f>+'음성읍(10년) (사)'!$G$257</f>
        <v>350</v>
      </c>
      <c r="H8" s="171">
        <f>+'음성읍(10년) (사)'!$G$262</f>
        <v>384</v>
      </c>
      <c r="I8" s="174"/>
    </row>
    <row r="9" spans="1:9" ht="24.95" customHeight="1">
      <c r="A9" s="2225"/>
      <c r="B9" s="187" t="s">
        <v>272</v>
      </c>
      <c r="C9" s="173"/>
      <c r="D9" s="173">
        <f>+'음성읍(10년) (사)'!$H$242</f>
        <v>258</v>
      </c>
      <c r="E9" s="173">
        <f>+'음성읍(10년) (사)'!$H$247</f>
        <v>298</v>
      </c>
      <c r="F9" s="171">
        <f>+'음성읍(10년) (사)'!$H$252</f>
        <v>339</v>
      </c>
      <c r="G9" s="171">
        <f>+'음성읍(10년) (사)'!$H$257</f>
        <v>379</v>
      </c>
      <c r="H9" s="171">
        <f>+'음성읍(10년) (사)'!$H$262</f>
        <v>416</v>
      </c>
      <c r="I9" s="174"/>
    </row>
    <row r="10" spans="1:9" ht="24.95" customHeight="1">
      <c r="A10" s="2228"/>
      <c r="B10" s="188" t="s">
        <v>273</v>
      </c>
      <c r="C10" s="175">
        <f>+'음성읍(10년) (사)'!D16</f>
        <v>234</v>
      </c>
      <c r="D10" s="179">
        <f>AVERAGEIFS(D5:D9,$I5:$I9,"")</f>
        <v>249.2</v>
      </c>
      <c r="E10" s="179">
        <f>AVERAGEIFS(E5:E9,$I5:$I9,"")</f>
        <v>279.60000000000002</v>
      </c>
      <c r="F10" s="179">
        <f t="shared" ref="F10:H10" si="0">AVERAGEIFS(F5:F9,$I5:$I9,"")</f>
        <v>311.2</v>
      </c>
      <c r="G10" s="179">
        <f t="shared" si="0"/>
        <v>343.2</v>
      </c>
      <c r="H10" s="179">
        <f t="shared" si="0"/>
        <v>375.4</v>
      </c>
      <c r="I10" s="176"/>
    </row>
    <row r="11" spans="1:9" ht="24.95" customHeight="1">
      <c r="A11" s="2224" t="s">
        <v>274</v>
      </c>
      <c r="B11" s="185" t="s">
        <v>48</v>
      </c>
      <c r="C11" s="177"/>
      <c r="D11" s="177">
        <f>+'음성읍(5년) (사)'!$D$222</f>
        <v>236</v>
      </c>
      <c r="E11" s="177">
        <f>+'음성읍(5년) (사)'!$D$227</f>
        <v>248</v>
      </c>
      <c r="F11" s="177">
        <f>+'음성읍(5년) (사)'!$D$232</f>
        <v>259</v>
      </c>
      <c r="G11" s="177">
        <f>+'음성읍(5년) (사)'!$D$237</f>
        <v>271</v>
      </c>
      <c r="H11" s="177">
        <f>+'음성읍(5년) (사)'!$D$242</f>
        <v>282</v>
      </c>
      <c r="I11" s="178"/>
    </row>
    <row r="12" spans="1:9" ht="24.95" customHeight="1">
      <c r="A12" s="2225"/>
      <c r="B12" s="186" t="s">
        <v>271</v>
      </c>
      <c r="C12" s="173"/>
      <c r="D12" s="173">
        <f>+'음성읍(5년) (사)'!$E$222</f>
        <v>236</v>
      </c>
      <c r="E12" s="173">
        <f>+'음성읍(5년) (사)'!$E$227</f>
        <v>248</v>
      </c>
      <c r="F12" s="173">
        <f>+'음성읍(5년) (사)'!$E$232</f>
        <v>261</v>
      </c>
      <c r="G12" s="173">
        <f>+'음성읍(5년) (사)'!$E$237</f>
        <v>274</v>
      </c>
      <c r="H12" s="173">
        <f>+'음성읍(5년) (사)'!$E$242</f>
        <v>287</v>
      </c>
      <c r="I12" s="174"/>
    </row>
    <row r="13" spans="1:9" ht="24.95" customHeight="1">
      <c r="A13" s="2225"/>
      <c r="B13" s="186" t="s">
        <v>49</v>
      </c>
      <c r="C13" s="173"/>
      <c r="D13" s="173">
        <f>+'음성읍(5년) (사)'!$F$222</f>
        <v>249</v>
      </c>
      <c r="E13" s="173">
        <f>+'음성읍(5년) (사)'!$F$227</f>
        <v>270</v>
      </c>
      <c r="F13" s="173">
        <f>+'음성읍(5년) (사)'!$F$232</f>
        <v>291</v>
      </c>
      <c r="G13" s="173">
        <f>+'음성읍(5년) (사)'!$F$237</f>
        <v>312</v>
      </c>
      <c r="H13" s="173">
        <f>+'음성읍(5년) (사)'!$F$242</f>
        <v>333</v>
      </c>
      <c r="I13" s="174"/>
    </row>
    <row r="14" spans="1:9" ht="24.95" customHeight="1">
      <c r="A14" s="2225"/>
      <c r="B14" s="186" t="s">
        <v>280</v>
      </c>
      <c r="C14" s="173"/>
      <c r="D14" s="173">
        <f>+'음성읍(5년) (사)'!$G$222</f>
        <v>241</v>
      </c>
      <c r="E14" s="173">
        <f>+'음성읍(5년) (사)'!$G$227</f>
        <v>258</v>
      </c>
      <c r="F14" s="173">
        <f>+'음성읍(5년) (사)'!$G$232</f>
        <v>276</v>
      </c>
      <c r="G14" s="173">
        <f>+'음성읍(5년) (사)'!$G$237</f>
        <v>294</v>
      </c>
      <c r="H14" s="173">
        <f>+'음성읍(5년) (사)'!$G$242</f>
        <v>312</v>
      </c>
      <c r="I14" s="174"/>
    </row>
    <row r="15" spans="1:9" ht="24.95" customHeight="1">
      <c r="A15" s="2225"/>
      <c r="B15" s="187" t="s">
        <v>272</v>
      </c>
      <c r="C15" s="173"/>
      <c r="D15" s="173">
        <f>+'음성읍(5년) (사)'!$H$222</f>
        <v>260</v>
      </c>
      <c r="E15" s="173">
        <f>+'음성읍(5년) (사)'!$H$227</f>
        <v>282</v>
      </c>
      <c r="F15" s="173">
        <f>+'음성읍(5년) (사)'!$H$232</f>
        <v>304</v>
      </c>
      <c r="G15" s="173">
        <f>+'음성읍(5년) (사)'!$H$237</f>
        <v>326</v>
      </c>
      <c r="H15" s="173">
        <f>+'음성읍(5년) (사)'!$H$242</f>
        <v>347</v>
      </c>
      <c r="I15" s="174"/>
    </row>
    <row r="16" spans="1:9" ht="24.95" customHeight="1">
      <c r="A16" s="2226"/>
      <c r="B16" s="188" t="s">
        <v>273</v>
      </c>
      <c r="C16" s="179">
        <f>+C10</f>
        <v>234</v>
      </c>
      <c r="D16" s="179">
        <f>AVERAGEIFS(D11:D15,$I11:$I15,"")</f>
        <v>244.4</v>
      </c>
      <c r="E16" s="179">
        <f>AVERAGEIFS(E11:E15,$I11:$I15,"")</f>
        <v>261.2</v>
      </c>
      <c r="F16" s="179">
        <f t="shared" ref="F16:H16" si="1">AVERAGEIFS(F11:F15,$I11:$I15,"")</f>
        <v>278.2</v>
      </c>
      <c r="G16" s="179">
        <f t="shared" si="1"/>
        <v>295.39999999999998</v>
      </c>
      <c r="H16" s="179">
        <f t="shared" si="1"/>
        <v>312.2</v>
      </c>
      <c r="I16" s="180"/>
    </row>
    <row r="17" spans="1:14" ht="24.95" customHeight="1">
      <c r="A17" s="2231" t="s">
        <v>275</v>
      </c>
      <c r="B17" s="2232"/>
      <c r="C17" s="181">
        <f>+C16</f>
        <v>234</v>
      </c>
      <c r="D17" s="825">
        <f>+D10</f>
        <v>249.2</v>
      </c>
      <c r="E17" s="181">
        <f>E10</f>
        <v>279.60000000000002</v>
      </c>
      <c r="F17" s="181">
        <f t="shared" ref="F17:H17" si="2">F10</f>
        <v>311.2</v>
      </c>
      <c r="G17" s="181">
        <f t="shared" si="2"/>
        <v>343.2</v>
      </c>
      <c r="H17" s="181">
        <f t="shared" si="2"/>
        <v>375.4</v>
      </c>
      <c r="I17" s="182"/>
    </row>
    <row r="18" spans="1:14" ht="24.95" customHeight="1">
      <c r="A18" s="170" t="s">
        <v>1499</v>
      </c>
      <c r="B18" s="169"/>
      <c r="C18" s="168"/>
      <c r="D18" s="168"/>
      <c r="E18" s="168"/>
      <c r="F18" s="168"/>
      <c r="G18" s="168"/>
      <c r="H18" s="168"/>
      <c r="I18" s="168"/>
    </row>
    <row r="19" spans="1:14" ht="24.95" customHeight="1">
      <c r="A19" s="2220" t="s">
        <v>268</v>
      </c>
      <c r="B19" s="2221"/>
      <c r="C19" s="2217" t="s">
        <v>473</v>
      </c>
      <c r="D19" s="2218"/>
      <c r="E19" s="2218"/>
      <c r="F19" s="2218"/>
      <c r="G19" s="2218"/>
      <c r="H19" s="2219"/>
      <c r="I19" s="2229" t="s">
        <v>45</v>
      </c>
    </row>
    <row r="20" spans="1:14" ht="24.95" customHeight="1">
      <c r="A20" s="2222"/>
      <c r="B20" s="2223"/>
      <c r="C20" s="183" t="s">
        <v>869</v>
      </c>
      <c r="D20" s="184" t="s">
        <v>50</v>
      </c>
      <c r="E20" s="184" t="s">
        <v>51</v>
      </c>
      <c r="F20" s="184" t="s">
        <v>52</v>
      </c>
      <c r="G20" s="184" t="s">
        <v>269</v>
      </c>
      <c r="H20" s="184" t="s">
        <v>278</v>
      </c>
      <c r="I20" s="2230"/>
    </row>
    <row r="21" spans="1:14" ht="24.95" customHeight="1">
      <c r="A21" s="2227" t="s">
        <v>270</v>
      </c>
      <c r="B21" s="185" t="s">
        <v>48</v>
      </c>
      <c r="C21" s="171"/>
      <c r="D21" s="171">
        <f>+'금왕읍(10년) (사)'!$D$242</f>
        <v>230</v>
      </c>
      <c r="E21" s="171">
        <f>+'금왕읍(10년) (사)'!$D$247</f>
        <v>264</v>
      </c>
      <c r="F21" s="171">
        <f>+'금왕읍(10년) (사)'!$D$252</f>
        <v>298</v>
      </c>
      <c r="G21" s="171">
        <f>+'금왕읍(10년) (사)'!$D$257</f>
        <v>332</v>
      </c>
      <c r="H21" s="171">
        <f>+'금왕읍(10년) (사)'!$D$262</f>
        <v>366</v>
      </c>
      <c r="I21" s="172"/>
    </row>
    <row r="22" spans="1:14" ht="24.95" customHeight="1">
      <c r="A22" s="2225"/>
      <c r="B22" s="186" t="s">
        <v>271</v>
      </c>
      <c r="C22" s="173"/>
      <c r="D22" s="171">
        <f>+'금왕읍(10년) (사)'!$E$242</f>
        <v>231</v>
      </c>
      <c r="E22" s="171">
        <f>+'금왕읍(10년) (사)'!$E$247</f>
        <v>276</v>
      </c>
      <c r="F22" s="171">
        <f>+'금왕읍(10년) (사)'!$E$252</f>
        <v>330</v>
      </c>
      <c r="G22" s="171">
        <f>+'금왕읍(10년) (사)'!$E$257</f>
        <v>394</v>
      </c>
      <c r="H22" s="171">
        <f>+'금왕읍(10년) (사)'!$E$262</f>
        <v>470</v>
      </c>
      <c r="I22" s="174"/>
    </row>
    <row r="23" spans="1:14" ht="24.95" customHeight="1">
      <c r="A23" s="2225"/>
      <c r="B23" s="186" t="s">
        <v>49</v>
      </c>
      <c r="C23" s="173"/>
      <c r="D23" s="173">
        <f>+'금왕읍(10년) (사)'!$F$242</f>
        <v>245</v>
      </c>
      <c r="E23" s="173">
        <f>+'금왕읍(10년) (사)'!$F$247</f>
        <v>276</v>
      </c>
      <c r="F23" s="171">
        <f>+'금왕읍(10년) (사)'!$F$252</f>
        <v>308</v>
      </c>
      <c r="G23" s="171">
        <f>+'금왕읍(10년) (사)'!$F$257</f>
        <v>339</v>
      </c>
      <c r="H23" s="171">
        <f>+'금왕읍(10년) (사)'!$F$262</f>
        <v>370</v>
      </c>
      <c r="I23" s="174"/>
    </row>
    <row r="24" spans="1:14" ht="24.95" customHeight="1">
      <c r="A24" s="2225"/>
      <c r="B24" s="186" t="s">
        <v>280</v>
      </c>
      <c r="C24" s="173"/>
      <c r="D24" s="173">
        <f>+'금왕읍(10년) (사)'!$G$242</f>
        <v>263</v>
      </c>
      <c r="E24" s="173">
        <f>+'금왕읍(10년) (사)'!$G$247</f>
        <v>308</v>
      </c>
      <c r="F24" s="171">
        <f>+'금왕읍(10년) (사)'!$G$252</f>
        <v>352</v>
      </c>
      <c r="G24" s="171">
        <f>+'금왕읍(10년) (사)'!$G$257</f>
        <v>395</v>
      </c>
      <c r="H24" s="171">
        <f>+'금왕읍(10년) (사)'!$G$262</f>
        <v>438</v>
      </c>
      <c r="I24" s="174"/>
    </row>
    <row r="25" spans="1:14" ht="24.95" customHeight="1">
      <c r="A25" s="2225"/>
      <c r="B25" s="187" t="s">
        <v>272</v>
      </c>
      <c r="C25" s="173"/>
      <c r="D25" s="173">
        <f>+'금왕읍(10년) (사)'!$H$242</f>
        <v>247</v>
      </c>
      <c r="E25" s="173">
        <f>+'금왕읍(10년) (사)'!$H$247</f>
        <v>283</v>
      </c>
      <c r="F25" s="171">
        <f>+'금왕읍(10년) (사)'!$H$252</f>
        <v>318</v>
      </c>
      <c r="G25" s="171">
        <f>+'금왕읍(10년) (사)'!$H$257</f>
        <v>354</v>
      </c>
      <c r="H25" s="171">
        <f>+'금왕읍(10년) (사)'!$H$262</f>
        <v>388</v>
      </c>
      <c r="I25" s="174"/>
    </row>
    <row r="26" spans="1:14" ht="24.95" customHeight="1">
      <c r="A26" s="2228"/>
      <c r="B26" s="188" t="s">
        <v>273</v>
      </c>
      <c r="C26" s="175">
        <f>+'금왕읍(10년) (사)'!D15</f>
        <v>226</v>
      </c>
      <c r="D26" s="179">
        <f>AVERAGEIFS(D21:D25,$I21:$I25,"")</f>
        <v>243.2</v>
      </c>
      <c r="E26" s="179">
        <f>AVERAGEIFS(E21:E25,$I21:$I25,"")</f>
        <v>281.39999999999998</v>
      </c>
      <c r="F26" s="179">
        <f t="shared" ref="F26" si="3">AVERAGEIFS(F21:F25,$I21:$I25,"")</f>
        <v>321.2</v>
      </c>
      <c r="G26" s="179">
        <f t="shared" ref="G26" si="4">AVERAGEIFS(G21:G25,$I21:$I25,"")</f>
        <v>362.8</v>
      </c>
      <c r="H26" s="179">
        <f t="shared" ref="H26" si="5">AVERAGEIFS(H21:H25,$I21:$I25,"")</f>
        <v>406.4</v>
      </c>
      <c r="I26" s="176"/>
    </row>
    <row r="27" spans="1:14" ht="24.95" customHeight="1">
      <c r="A27" s="2224" t="s">
        <v>274</v>
      </c>
      <c r="B27" s="185" t="s">
        <v>48</v>
      </c>
      <c r="C27" s="177"/>
      <c r="D27" s="177">
        <f>+'금왕읍(5년) (사)'!$D$222</f>
        <v>221</v>
      </c>
      <c r="E27" s="177">
        <f>+'금왕읍(5년) (사)'!$D$227</f>
        <v>208</v>
      </c>
      <c r="F27" s="177">
        <f>+'금왕읍(5년) (사)'!$D$232</f>
        <v>196</v>
      </c>
      <c r="G27" s="177">
        <f>+'금왕읍(5년) (사)'!$D$237</f>
        <v>183</v>
      </c>
      <c r="H27" s="177">
        <f>+'금왕읍(5년) (사)'!$D$242</f>
        <v>171</v>
      </c>
      <c r="I27" s="178"/>
    </row>
    <row r="28" spans="1:14" ht="24.95" customHeight="1">
      <c r="A28" s="2225"/>
      <c r="B28" s="186" t="s">
        <v>271</v>
      </c>
      <c r="C28" s="173"/>
      <c r="D28" s="173">
        <f>+'금왕읍(5년) (사)'!$E$222</f>
        <v>221</v>
      </c>
      <c r="E28" s="173">
        <f>+'금왕읍(5년) (사)'!$E$227</f>
        <v>209</v>
      </c>
      <c r="F28" s="173">
        <f>+'금왕읍(5년) (사)'!$E$232</f>
        <v>198</v>
      </c>
      <c r="G28" s="173">
        <f>+'금왕읍(5년) (사)'!$E$237</f>
        <v>187</v>
      </c>
      <c r="H28" s="173">
        <f>+'금왕읍(5년) (사)'!$E$242</f>
        <v>177</v>
      </c>
      <c r="I28" s="174"/>
    </row>
    <row r="29" spans="1:14" ht="24.95" customHeight="1">
      <c r="A29" s="2225"/>
      <c r="B29" s="186" t="s">
        <v>49</v>
      </c>
      <c r="C29" s="173"/>
      <c r="D29" s="173">
        <f>+'금왕읍(5년) (사)'!$F$222</f>
        <v>218</v>
      </c>
      <c r="E29" s="173">
        <f>+'금왕읍(5년) (사)'!$F$227</f>
        <v>206</v>
      </c>
      <c r="F29" s="173">
        <f>+'금왕읍(5년) (사)'!$F$232</f>
        <v>194</v>
      </c>
      <c r="G29" s="173">
        <f>+'금왕읍(5년) (사)'!$F$237</f>
        <v>182</v>
      </c>
      <c r="H29" s="173">
        <f>+'금왕읍(5년) (사)'!$F$242</f>
        <v>170</v>
      </c>
      <c r="I29" s="174"/>
    </row>
    <row r="30" spans="1:14" ht="24.95" customHeight="1">
      <c r="A30" s="2225"/>
      <c r="B30" s="186" t="s">
        <v>280</v>
      </c>
      <c r="C30" s="173"/>
      <c r="D30" s="173">
        <f>+'금왕읍(5년) (사)'!$G$222</f>
        <v>243</v>
      </c>
      <c r="E30" s="173">
        <f>+'금왕읍(5년) (사)'!$G$227</f>
        <v>249</v>
      </c>
      <c r="F30" s="173">
        <f>+'금왕읍(5년) (사)'!$G$232</f>
        <v>254</v>
      </c>
      <c r="G30" s="173">
        <f>+'금왕읍(5년) (사)'!$G$237</f>
        <v>258</v>
      </c>
      <c r="H30" s="173">
        <f>+'금왕읍(5년) (사)'!$G$242</f>
        <v>263</v>
      </c>
      <c r="I30" s="174"/>
      <c r="K30" s="280">
        <f>+E33</f>
        <v>281.39999999999998</v>
      </c>
    </row>
    <row r="31" spans="1:14" ht="24.95" customHeight="1">
      <c r="A31" s="2225"/>
      <c r="B31" s="187" t="s">
        <v>272</v>
      </c>
      <c r="C31" s="173"/>
      <c r="D31" s="173">
        <f>+'금왕읍(5년) (사)'!$H$222</f>
        <v>213</v>
      </c>
      <c r="E31" s="173">
        <f>+'금왕읍(5년) (사)'!$H$227</f>
        <v>201</v>
      </c>
      <c r="F31" s="173">
        <f>+'금왕읍(5년) (사)'!$H$232</f>
        <v>190</v>
      </c>
      <c r="G31" s="173">
        <f>+'금왕읍(5년) (사)'!$H$237</f>
        <v>179</v>
      </c>
      <c r="H31" s="173">
        <f>+'금왕읍(5년) (사)'!$H$242</f>
        <v>169</v>
      </c>
      <c r="I31" s="174"/>
      <c r="K31" s="279">
        <v>0.9</v>
      </c>
    </row>
    <row r="32" spans="1:14" ht="24.95" customHeight="1">
      <c r="A32" s="2226"/>
      <c r="B32" s="188" t="s">
        <v>273</v>
      </c>
      <c r="C32" s="179">
        <f>+C26</f>
        <v>226</v>
      </c>
      <c r="D32" s="179">
        <f>AVERAGEIFS(D27:D31,$I27:$I31,"")</f>
        <v>223.2</v>
      </c>
      <c r="E32" s="179">
        <f>AVERAGEIFS(E27:E31,$I27:$I31,"")</f>
        <v>214.6</v>
      </c>
      <c r="F32" s="179">
        <f t="shared" ref="F32" si="6">AVERAGEIFS(F27:F31,$I27:$I31,"")</f>
        <v>206.4</v>
      </c>
      <c r="G32" s="179">
        <f t="shared" ref="G32" si="7">AVERAGEIFS(G27:G31,$I27:$I31,"")</f>
        <v>197.8</v>
      </c>
      <c r="H32" s="179">
        <f t="shared" ref="H32" si="8">AVERAGEIFS(H27:H31,$I27:$I31,"")</f>
        <v>190</v>
      </c>
      <c r="I32" s="180"/>
      <c r="K32" s="281">
        <f>ROUND(+K30*K31,0)</f>
        <v>253</v>
      </c>
      <c r="N32">
        <v>220</v>
      </c>
    </row>
    <row r="33" spans="1:14" ht="24.95" customHeight="1">
      <c r="A33" s="2231" t="s">
        <v>275</v>
      </c>
      <c r="B33" s="2232"/>
      <c r="C33" s="181">
        <f>+C32</f>
        <v>226</v>
      </c>
      <c r="D33" s="181">
        <f>+D26</f>
        <v>243.2</v>
      </c>
      <c r="E33" s="181">
        <f t="shared" ref="E33:H33" si="9">+E26</f>
        <v>281.39999999999998</v>
      </c>
      <c r="F33" s="181">
        <f t="shared" si="9"/>
        <v>321.2</v>
      </c>
      <c r="G33" s="181">
        <f t="shared" si="9"/>
        <v>362.8</v>
      </c>
      <c r="H33" s="181">
        <f t="shared" si="9"/>
        <v>406.4</v>
      </c>
      <c r="I33" s="182"/>
      <c r="K33" s="279">
        <f>ROUND(+K32/0.8,0)</f>
        <v>316</v>
      </c>
      <c r="L33">
        <v>248</v>
      </c>
      <c r="N33">
        <v>0.9</v>
      </c>
    </row>
    <row r="34" spans="1:14" ht="24.95" customHeight="1">
      <c r="N34">
        <f>+N32*N33</f>
        <v>198</v>
      </c>
    </row>
    <row r="35" spans="1:14" ht="24" customHeight="1">
      <c r="A35" s="170" t="s">
        <v>1489</v>
      </c>
      <c r="B35" s="169"/>
      <c r="C35" s="168"/>
      <c r="D35" s="168"/>
      <c r="E35" s="168"/>
      <c r="F35" s="168"/>
      <c r="G35" s="168"/>
      <c r="H35" s="168"/>
      <c r="I35" s="168"/>
      <c r="N35">
        <f>+N34/0.8</f>
        <v>247.5</v>
      </c>
    </row>
    <row r="36" spans="1:14" ht="24" customHeight="1">
      <c r="A36" s="2220" t="s">
        <v>268</v>
      </c>
      <c r="B36" s="2221"/>
      <c r="C36" s="2217" t="s">
        <v>474</v>
      </c>
      <c r="D36" s="2218"/>
      <c r="E36" s="2218"/>
      <c r="F36" s="2218"/>
      <c r="G36" s="2218"/>
      <c r="H36" s="2219"/>
      <c r="I36" s="2229" t="s">
        <v>45</v>
      </c>
      <c r="K36" t="s">
        <v>285</v>
      </c>
    </row>
    <row r="37" spans="1:14" ht="24" customHeight="1">
      <c r="A37" s="2222"/>
      <c r="B37" s="2223"/>
      <c r="C37" s="183" t="s">
        <v>881</v>
      </c>
      <c r="D37" s="184" t="s">
        <v>50</v>
      </c>
      <c r="E37" s="184" t="s">
        <v>51</v>
      </c>
      <c r="F37" s="184" t="s">
        <v>52</v>
      </c>
      <c r="G37" s="184" t="s">
        <v>269</v>
      </c>
      <c r="H37" s="184" t="s">
        <v>278</v>
      </c>
      <c r="I37" s="2230"/>
    </row>
    <row r="38" spans="1:14" ht="24" customHeight="1">
      <c r="A38" s="2227" t="s">
        <v>270</v>
      </c>
      <c r="B38" s="185" t="s">
        <v>48</v>
      </c>
      <c r="C38" s="171"/>
      <c r="D38" s="171">
        <f>+'대소면(10년) (사)'!D242</f>
        <v>236</v>
      </c>
      <c r="E38" s="171">
        <f>+'대소면(10년) (사)'!$D$247</f>
        <v>354</v>
      </c>
      <c r="F38" s="171">
        <f>+'대소면(10년) (사)'!$D$252</f>
        <v>472</v>
      </c>
      <c r="G38" s="171">
        <f>+'대소면(10년) (사)'!$D$257</f>
        <v>590</v>
      </c>
      <c r="H38" s="171">
        <f>+'대소면(10년) (사)'!$D$262</f>
        <v>708</v>
      </c>
      <c r="I38" s="172"/>
    </row>
    <row r="39" spans="1:14" ht="24" customHeight="1">
      <c r="A39" s="2225"/>
      <c r="B39" s="186" t="s">
        <v>271</v>
      </c>
      <c r="C39" s="173"/>
      <c r="D39" s="171">
        <f>+'대소면(10년) (사)'!E242</f>
        <v>184</v>
      </c>
      <c r="E39" s="171">
        <f>+'대소면(10년) (사)'!$E$247</f>
        <v>91</v>
      </c>
      <c r="F39" s="171">
        <f>+'대소면(10년) (사)'!$E$252</f>
        <v>45</v>
      </c>
      <c r="G39" s="171">
        <f>+'대소면(10년) (사)'!$E$257</f>
        <v>22</v>
      </c>
      <c r="H39" s="171">
        <f>+'대소면(10년) (사)'!$E$262</f>
        <v>11</v>
      </c>
      <c r="I39" s="174" t="s">
        <v>1572</v>
      </c>
    </row>
    <row r="40" spans="1:14" ht="24" customHeight="1">
      <c r="A40" s="2225"/>
      <c r="B40" s="186" t="s">
        <v>49</v>
      </c>
      <c r="C40" s="173"/>
      <c r="D40" s="173">
        <f>+'대소면(10년) (사)'!F242</f>
        <v>333</v>
      </c>
      <c r="E40" s="173">
        <f>+'대소면(10년) (사)'!$F$247</f>
        <v>419</v>
      </c>
      <c r="F40" s="171">
        <f>+'대소면(10년) (사)'!$F$252</f>
        <v>506</v>
      </c>
      <c r="G40" s="171">
        <f>+'대소면(10년) (사)'!$F$257</f>
        <v>593</v>
      </c>
      <c r="H40" s="171">
        <f>+'대소면(10년) (사)'!$F$262</f>
        <v>679</v>
      </c>
      <c r="I40" s="174"/>
    </row>
    <row r="41" spans="1:14" ht="24" customHeight="1">
      <c r="A41" s="2225"/>
      <c r="B41" s="186" t="s">
        <v>280</v>
      </c>
      <c r="C41" s="173"/>
      <c r="D41" s="173">
        <f>+'대소면(10년) (사)'!G242</f>
        <v>679</v>
      </c>
      <c r="E41" s="173">
        <f>+'대소면(10년) (사)'!$G$247</f>
        <v>1395</v>
      </c>
      <c r="F41" s="171">
        <f>+'대소면(10년) (사)'!$G$252</f>
        <v>2324</v>
      </c>
      <c r="G41" s="171">
        <f>+'대소면(10년) (사)'!$G$257</f>
        <v>3454</v>
      </c>
      <c r="H41" s="171">
        <f>+'대소면(10년) (사)'!$G$262</f>
        <v>4774</v>
      </c>
      <c r="I41" s="174" t="s">
        <v>294</v>
      </c>
    </row>
    <row r="42" spans="1:14" ht="24" customHeight="1">
      <c r="A42" s="2225"/>
      <c r="B42" s="187" t="s">
        <v>272</v>
      </c>
      <c r="C42" s="173"/>
      <c r="D42" s="173">
        <f>+'대소면(10년) (사)'!H242</f>
        <v>517</v>
      </c>
      <c r="E42" s="173">
        <f>+'대소면(10년) (사)'!$H$247</f>
        <v>594</v>
      </c>
      <c r="F42" s="171">
        <f>+'대소면(10년) (사)'!$H$252</f>
        <v>600</v>
      </c>
      <c r="G42" s="171">
        <f>+'대소면(10년) (사)'!$H$257</f>
        <v>600</v>
      </c>
      <c r="H42" s="171">
        <f>+'대소면(10년) (사)'!$H$262</f>
        <v>600</v>
      </c>
      <c r="I42" s="174" t="s">
        <v>294</v>
      </c>
    </row>
    <row r="43" spans="1:14" ht="24" customHeight="1">
      <c r="A43" s="2228"/>
      <c r="B43" s="188" t="s">
        <v>273</v>
      </c>
      <c r="C43" s="175">
        <f>+'대소면(10년) (사)'!D16</f>
        <v>212</v>
      </c>
      <c r="D43" s="179">
        <f>AVERAGEIFS(D38:D42,$I38:$I42,"")</f>
        <v>284.5</v>
      </c>
      <c r="E43" s="179">
        <f>AVERAGEIFS(E38:E42,$I38:$I42,"")</f>
        <v>386.5</v>
      </c>
      <c r="F43" s="179">
        <f t="shared" ref="F43" si="10">AVERAGEIFS(F38:F42,$I38:$I42,"")</f>
        <v>489</v>
      </c>
      <c r="G43" s="179">
        <f t="shared" ref="G43" si="11">AVERAGEIFS(G38:G42,$I38:$I42,"")</f>
        <v>591.5</v>
      </c>
      <c r="H43" s="179">
        <f t="shared" ref="H43" si="12">AVERAGEIFS(H38:H42,$I38:$I42,"")</f>
        <v>693.5</v>
      </c>
      <c r="I43" s="176"/>
    </row>
    <row r="44" spans="1:14" ht="24" customHeight="1">
      <c r="A44" s="2224" t="s">
        <v>274</v>
      </c>
      <c r="B44" s="185" t="s">
        <v>48</v>
      </c>
      <c r="C44" s="177"/>
      <c r="D44" s="177">
        <f>+'대소면(5년) (사)'!$D$222</f>
        <v>214</v>
      </c>
      <c r="E44" s="177">
        <f>+'대소면(5년) (사)'!$D$227</f>
        <v>221</v>
      </c>
      <c r="F44" s="177">
        <f>+'대소면(5년) (사)'!$D$232</f>
        <v>229</v>
      </c>
      <c r="G44" s="177">
        <f>+'대소면(5년) (사)'!$D$237</f>
        <v>236</v>
      </c>
      <c r="H44" s="177">
        <f>+'대소면(5년) (사)'!$D$242</f>
        <v>244</v>
      </c>
      <c r="I44" s="178"/>
    </row>
    <row r="45" spans="1:14" ht="24" customHeight="1">
      <c r="A45" s="2225"/>
      <c r="B45" s="186" t="s">
        <v>271</v>
      </c>
      <c r="C45" s="173"/>
      <c r="D45" s="173">
        <f>+'대소면(5년) (사)'!$E$222</f>
        <v>214</v>
      </c>
      <c r="E45" s="173">
        <f>+'대소면(5년) (사)'!$E$227</f>
        <v>221</v>
      </c>
      <c r="F45" s="173">
        <f>+'대소면(5년) (사)'!$E$232</f>
        <v>229</v>
      </c>
      <c r="G45" s="173">
        <f>+'대소면(5년) (사)'!$E$237</f>
        <v>238</v>
      </c>
      <c r="H45" s="173">
        <f>+'대소면(5년) (사)'!$E$242</f>
        <v>246</v>
      </c>
      <c r="I45" s="174"/>
    </row>
    <row r="46" spans="1:14" ht="24" customHeight="1">
      <c r="A46" s="2225"/>
      <c r="B46" s="186" t="s">
        <v>49</v>
      </c>
      <c r="C46" s="173"/>
      <c r="D46" s="173">
        <f>+'대소면(5년) (사)'!$F$222</f>
        <v>186</v>
      </c>
      <c r="E46" s="173">
        <f>+'대소면(5년) (사)'!$F$227</f>
        <v>18</v>
      </c>
      <c r="F46" s="173">
        <f>+'대소면(5년) (사)'!$F$232</f>
        <v>-151</v>
      </c>
      <c r="G46" s="173">
        <f>+'대소면(5년) (사)'!$F$237</f>
        <v>-319</v>
      </c>
      <c r="H46" s="173">
        <f>+'대소면(5년) (사)'!$F$242</f>
        <v>-487</v>
      </c>
      <c r="I46" s="174" t="s">
        <v>1572</v>
      </c>
    </row>
    <row r="47" spans="1:14" ht="24" customHeight="1">
      <c r="A47" s="2225"/>
      <c r="B47" s="186" t="s">
        <v>280</v>
      </c>
      <c r="C47" s="173"/>
      <c r="D47" s="173">
        <f>+'대소면(5년) (사)'!$G$222</f>
        <v>207</v>
      </c>
      <c r="E47" s="173">
        <f>+'대소면(5년) (사)'!$G$227</f>
        <v>207</v>
      </c>
      <c r="F47" s="173">
        <f>+'대소면(5년) (사)'!$G$232</f>
        <v>207</v>
      </c>
      <c r="G47" s="173">
        <f>+'대소면(5년) (사)'!$G$237</f>
        <v>207</v>
      </c>
      <c r="H47" s="173">
        <f>+'대소면(5년) (사)'!$G$242</f>
        <v>207</v>
      </c>
      <c r="I47" s="174"/>
      <c r="K47" s="280">
        <f>+E50</f>
        <v>386.5</v>
      </c>
    </row>
    <row r="48" spans="1:14" ht="24" customHeight="1">
      <c r="A48" s="2225"/>
      <c r="B48" s="187" t="s">
        <v>272</v>
      </c>
      <c r="C48" s="173"/>
      <c r="D48" s="173">
        <f>+'대소면(5년) (사)'!$H$222</f>
        <v>87</v>
      </c>
      <c r="E48" s="173">
        <f>+'대소면(5년) (사)'!$H$227</f>
        <v>17</v>
      </c>
      <c r="F48" s="173">
        <f>+'대소면(5년) (사)'!$H$232</f>
        <v>3</v>
      </c>
      <c r="G48" s="173">
        <f>+'대소면(5년) (사)'!$H$237</f>
        <v>1</v>
      </c>
      <c r="H48" s="173">
        <f>+'대소면(5년) (사)'!$H$242</f>
        <v>1</v>
      </c>
      <c r="I48" s="174" t="s">
        <v>1572</v>
      </c>
      <c r="K48" s="279">
        <v>0.9</v>
      </c>
    </row>
    <row r="49" spans="1:12" ht="24" customHeight="1">
      <c r="A49" s="2226"/>
      <c r="B49" s="188" t="s">
        <v>273</v>
      </c>
      <c r="C49" s="179">
        <f>+'대소면(5년) (사)'!D11</f>
        <v>212</v>
      </c>
      <c r="D49" s="179">
        <f>AVERAGEIFS(D44:D48,$I44:$I48,"")</f>
        <v>211.66666666666666</v>
      </c>
      <c r="E49" s="179">
        <f>AVERAGEIFS(E44:E48,$I44:$I48,"")</f>
        <v>216.33333333333334</v>
      </c>
      <c r="F49" s="179">
        <f t="shared" ref="F49" si="13">AVERAGEIFS(F44:F48,$I44:$I48,"")</f>
        <v>221.66666666666666</v>
      </c>
      <c r="G49" s="179">
        <f t="shared" ref="G49" si="14">AVERAGEIFS(G44:G48,$I44:$I48,"")</f>
        <v>227</v>
      </c>
      <c r="H49" s="179">
        <f t="shared" ref="H49" si="15">AVERAGEIFS(H44:H48,$I44:$I48,"")</f>
        <v>232.33333333333334</v>
      </c>
      <c r="I49" s="180"/>
      <c r="K49" s="281">
        <f>ROUND(+K47*K48,0)</f>
        <v>348</v>
      </c>
    </row>
    <row r="50" spans="1:12" ht="24" customHeight="1">
      <c r="A50" s="2231" t="s">
        <v>275</v>
      </c>
      <c r="B50" s="2232"/>
      <c r="C50" s="181">
        <f>+C43</f>
        <v>212</v>
      </c>
      <c r="D50" s="181">
        <f>+D43</f>
        <v>284.5</v>
      </c>
      <c r="E50" s="181">
        <f t="shared" ref="E50:H50" si="16">+E43</f>
        <v>386.5</v>
      </c>
      <c r="F50" s="181">
        <f t="shared" si="16"/>
        <v>489</v>
      </c>
      <c r="G50" s="181">
        <f t="shared" si="16"/>
        <v>591.5</v>
      </c>
      <c r="H50" s="181">
        <f t="shared" si="16"/>
        <v>693.5</v>
      </c>
      <c r="I50" s="182"/>
      <c r="K50" s="279">
        <f>ROUND(+K49/0.8,0)</f>
        <v>435</v>
      </c>
      <c r="L50">
        <v>215</v>
      </c>
    </row>
    <row r="51" spans="1:12" ht="24" customHeight="1"/>
    <row r="52" spans="1:12" ht="24" customHeight="1">
      <c r="A52" s="170" t="s">
        <v>1575</v>
      </c>
      <c r="B52" s="277"/>
      <c r="C52" s="439"/>
      <c r="D52" s="439"/>
      <c r="E52" s="439"/>
      <c r="F52" s="439"/>
      <c r="G52" s="439"/>
      <c r="H52" s="439"/>
      <c r="I52" s="439"/>
    </row>
    <row r="53" spans="1:12" ht="24" customHeight="1">
      <c r="A53" s="2220" t="s">
        <v>268</v>
      </c>
      <c r="B53" s="2221"/>
      <c r="C53" s="2217" t="s">
        <v>473</v>
      </c>
      <c r="D53" s="2218"/>
      <c r="E53" s="2218"/>
      <c r="F53" s="2218"/>
      <c r="G53" s="2218"/>
      <c r="H53" s="2219"/>
      <c r="I53" s="2229" t="s">
        <v>45</v>
      </c>
    </row>
    <row r="54" spans="1:12" ht="24" customHeight="1">
      <c r="A54" s="2222"/>
      <c r="B54" s="2223"/>
      <c r="C54" s="183" t="s">
        <v>881</v>
      </c>
      <c r="D54" s="184" t="s">
        <v>50</v>
      </c>
      <c r="E54" s="184" t="s">
        <v>51</v>
      </c>
      <c r="F54" s="184" t="s">
        <v>52</v>
      </c>
      <c r="G54" s="184" t="s">
        <v>269</v>
      </c>
      <c r="H54" s="184" t="s">
        <v>278</v>
      </c>
      <c r="I54" s="2230"/>
    </row>
    <row r="55" spans="1:12" ht="24" customHeight="1">
      <c r="A55" s="2227" t="s">
        <v>270</v>
      </c>
      <c r="B55" s="185" t="s">
        <v>48</v>
      </c>
      <c r="C55" s="171"/>
      <c r="D55" s="171">
        <f>+'삼성면(10년) (사)'!$D$242</f>
        <v>208</v>
      </c>
      <c r="E55" s="171">
        <f>+'삼성면(10년) (사)'!$D$247</f>
        <v>312</v>
      </c>
      <c r="F55" s="171">
        <f>+'삼성면(10년) (사)'!$D$252</f>
        <v>416</v>
      </c>
      <c r="G55" s="171">
        <f>+'삼성면(10년) (사)'!$D$257</f>
        <v>520</v>
      </c>
      <c r="H55" s="171">
        <f>+'삼성면(10년) (사)'!$D$262</f>
        <v>624</v>
      </c>
      <c r="I55" s="172"/>
    </row>
    <row r="56" spans="1:12" ht="24" customHeight="1">
      <c r="A56" s="2225"/>
      <c r="B56" s="186" t="s">
        <v>271</v>
      </c>
      <c r="C56" s="173"/>
      <c r="D56" s="171">
        <f>+'삼성면(10년) (사)'!$E$242</f>
        <v>215</v>
      </c>
      <c r="E56" s="171">
        <f>+'삼성면(10년) (사)'!$E$247</f>
        <v>434</v>
      </c>
      <c r="F56" s="171">
        <f>+'삼성면(10년) (사)'!$E$252</f>
        <v>876</v>
      </c>
      <c r="G56" s="171">
        <f>+'삼성면(10년) (사)'!$E$257</f>
        <v>1767</v>
      </c>
      <c r="H56" s="171">
        <f>+'삼성면(10년) (사)'!$E$262</f>
        <v>3565</v>
      </c>
      <c r="I56" s="172" t="s">
        <v>1572</v>
      </c>
    </row>
    <row r="57" spans="1:12" ht="24" customHeight="1">
      <c r="A57" s="2225"/>
      <c r="B57" s="186" t="s">
        <v>49</v>
      </c>
      <c r="C57" s="173"/>
      <c r="D57" s="173">
        <f>+'삼성면(10년) (사)'!$F$242</f>
        <v>247</v>
      </c>
      <c r="E57" s="173">
        <f>+'삼성면(10년) (사)'!$F$247</f>
        <v>374</v>
      </c>
      <c r="F57" s="171">
        <f>+'삼성면(10년) (사)'!$F$252</f>
        <v>500</v>
      </c>
      <c r="G57" s="171">
        <f>+'삼성면(10년) (사)'!$F$257</f>
        <v>627</v>
      </c>
      <c r="H57" s="171">
        <f>+'삼성면(10년) (사)'!$F$262</f>
        <v>753</v>
      </c>
      <c r="I57" s="174"/>
    </row>
    <row r="58" spans="1:12" ht="24" customHeight="1">
      <c r="A58" s="2225"/>
      <c r="B58" s="186" t="s">
        <v>279</v>
      </c>
      <c r="C58" s="173"/>
      <c r="D58" s="173">
        <f>+'삼성면(10년) (사)'!$G$242</f>
        <v>424</v>
      </c>
      <c r="E58" s="173">
        <f>+'삼성면(10년) (사)'!$G$247</f>
        <v>968</v>
      </c>
      <c r="F58" s="171">
        <f>+'삼성면(10년) (사)'!$G$252</f>
        <v>1738</v>
      </c>
      <c r="G58" s="171">
        <f>+'삼성면(10년) (사)'!$G$257</f>
        <v>2736</v>
      </c>
      <c r="H58" s="171">
        <f>+'삼성면(10년) (사)'!$G$262</f>
        <v>3966</v>
      </c>
      <c r="I58" s="174" t="s">
        <v>504</v>
      </c>
    </row>
    <row r="59" spans="1:12" ht="24" customHeight="1">
      <c r="A59" s="2225"/>
      <c r="B59" s="187" t="s">
        <v>272</v>
      </c>
      <c r="C59" s="173"/>
      <c r="D59" s="173">
        <f>+'삼성면(10년) (사)'!$H$242</f>
        <v>439</v>
      </c>
      <c r="E59" s="173">
        <f>+'삼성면(10년) (사)'!$H$247</f>
        <v>590</v>
      </c>
      <c r="F59" s="171">
        <f>+'삼성면(10년) (사)'!$H$252</f>
        <v>600</v>
      </c>
      <c r="G59" s="171">
        <f>+'삼성면(10년) (사)'!$H$257</f>
        <v>600</v>
      </c>
      <c r="H59" s="171">
        <f>+'삼성면(10년) (사)'!$H$262</f>
        <v>600</v>
      </c>
      <c r="I59" s="174" t="s">
        <v>294</v>
      </c>
    </row>
    <row r="60" spans="1:12" ht="24" customHeight="1">
      <c r="A60" s="2228"/>
      <c r="B60" s="188" t="s">
        <v>273</v>
      </c>
      <c r="C60" s="175">
        <f>+'삼성면(10년) (사)'!D16</f>
        <v>187</v>
      </c>
      <c r="D60" s="179">
        <f>AVERAGEIFS(D55:D59,$I55:$I59,"")</f>
        <v>227.5</v>
      </c>
      <c r="E60" s="179">
        <f>AVERAGEIFS(E55:E59,$I55:$I59,"")</f>
        <v>343</v>
      </c>
      <c r="F60" s="179">
        <f t="shared" ref="F60" si="17">AVERAGEIFS(F55:F59,$I55:$I59,"")</f>
        <v>458</v>
      </c>
      <c r="G60" s="179">
        <f t="shared" ref="G60" si="18">AVERAGEIFS(G55:G59,$I55:$I59,"")</f>
        <v>573.5</v>
      </c>
      <c r="H60" s="179">
        <f t="shared" ref="H60" si="19">AVERAGEIFS(H55:H59,$I55:$I59,"")</f>
        <v>688.5</v>
      </c>
      <c r="I60" s="176"/>
    </row>
    <row r="61" spans="1:12" ht="24" customHeight="1">
      <c r="A61" s="2224" t="s">
        <v>274</v>
      </c>
      <c r="B61" s="185" t="s">
        <v>48</v>
      </c>
      <c r="C61" s="177"/>
      <c r="D61" s="177">
        <f>+'삼성면(5년) (사)'!$D$222</f>
        <v>210</v>
      </c>
      <c r="E61" s="177">
        <f>+'삼성면(5년) (사)'!$D$227</f>
        <v>324</v>
      </c>
      <c r="F61" s="177">
        <f>+'삼성면(5년) (사)'!$D$232</f>
        <v>438</v>
      </c>
      <c r="G61" s="177">
        <f>+'삼성면(5년) (사)'!$D$237</f>
        <v>552</v>
      </c>
      <c r="H61" s="177">
        <f>+'삼성면(5년) (사)'!$D$242</f>
        <v>666</v>
      </c>
      <c r="I61" s="178"/>
    </row>
    <row r="62" spans="1:12" ht="24" customHeight="1">
      <c r="A62" s="2225"/>
      <c r="B62" s="186" t="s">
        <v>271</v>
      </c>
      <c r="C62" s="173"/>
      <c r="D62" s="173">
        <f>+'삼성면(5년) (사)'!$E$222</f>
        <v>221</v>
      </c>
      <c r="E62" s="173">
        <f>+'삼성면(5년) (사)'!$E$227</f>
        <v>508</v>
      </c>
      <c r="F62" s="173">
        <f>+'삼성면(5년) (사)'!$E$232</f>
        <v>1170</v>
      </c>
      <c r="G62" s="173">
        <f>+'삼성면(5년) (사)'!$E$237</f>
        <v>2692</v>
      </c>
      <c r="H62" s="173">
        <f>+'삼성면(5년) (사)'!$E$242</f>
        <v>6196</v>
      </c>
      <c r="I62" s="174" t="s">
        <v>294</v>
      </c>
    </row>
    <row r="63" spans="1:12" ht="24" customHeight="1">
      <c r="A63" s="2225"/>
      <c r="B63" s="186" t="s">
        <v>49</v>
      </c>
      <c r="C63" s="173"/>
      <c r="D63" s="173">
        <f>+'삼성면(5년) (사)'!$F$222</f>
        <v>254</v>
      </c>
      <c r="E63" s="173">
        <f>+'삼성면(5년) (사)'!$F$227</f>
        <v>391</v>
      </c>
      <c r="F63" s="173">
        <f>+'삼성면(5년) (사)'!$F$232</f>
        <v>527</v>
      </c>
      <c r="G63" s="173">
        <f>+'삼성면(5년) (사)'!$F$237</f>
        <v>664</v>
      </c>
      <c r="H63" s="173">
        <f>+'삼성면(5년) (사)'!$F$242</f>
        <v>800</v>
      </c>
      <c r="I63" s="174" t="s">
        <v>294</v>
      </c>
    </row>
    <row r="64" spans="1:12" ht="24" customHeight="1">
      <c r="A64" s="2225"/>
      <c r="B64" s="186" t="s">
        <v>279</v>
      </c>
      <c r="C64" s="173"/>
      <c r="D64" s="173">
        <f>+'삼성면(5년) (사)'!$G$222</f>
        <v>153</v>
      </c>
      <c r="E64" s="173">
        <f>+'삼성면(5년) (사)'!$G$227</f>
        <v>204</v>
      </c>
      <c r="F64" s="173">
        <f>+'삼성면(5년) (사)'!$G$232</f>
        <v>252</v>
      </c>
      <c r="G64" s="173">
        <f>+'삼성면(5년) (사)'!$G$237</f>
        <v>299</v>
      </c>
      <c r="H64" s="173">
        <f>+'삼성면(5년) (사)'!$G$242</f>
        <v>346</v>
      </c>
      <c r="I64" s="174"/>
    </row>
    <row r="65" spans="1:14" ht="24" customHeight="1">
      <c r="A65" s="2225"/>
      <c r="B65" s="187" t="s">
        <v>272</v>
      </c>
      <c r="C65" s="173"/>
      <c r="D65" s="173">
        <f>+'삼성면(5년) (사)'!$H$222</f>
        <v>362</v>
      </c>
      <c r="E65" s="173">
        <f>+'삼성면(5년) (사)'!$H$227</f>
        <v>505</v>
      </c>
      <c r="F65" s="173">
        <f>+'삼성면(5년) (사)'!$H$232</f>
        <v>570</v>
      </c>
      <c r="G65" s="173">
        <f>+'삼성면(5년) (사)'!$H$237</f>
        <v>591</v>
      </c>
      <c r="H65" s="173">
        <f>+'삼성면(5년) (사)'!$H$242</f>
        <v>598</v>
      </c>
      <c r="I65" s="174" t="s">
        <v>294</v>
      </c>
    </row>
    <row r="66" spans="1:14" ht="24" customHeight="1">
      <c r="A66" s="2226"/>
      <c r="B66" s="188" t="s">
        <v>273</v>
      </c>
      <c r="C66" s="179">
        <f>+C60</f>
        <v>187</v>
      </c>
      <c r="D66" s="179">
        <f>AVERAGEIFS(D61:D65,$I61:$I65,"")</f>
        <v>181.5</v>
      </c>
      <c r="E66" s="179">
        <f>AVERAGEIFS(E61:E65,$I61:$I65,"")</f>
        <v>264</v>
      </c>
      <c r="F66" s="179">
        <f t="shared" ref="F66" si="20">AVERAGEIFS(F61:F65,$I61:$I65,"")</f>
        <v>345</v>
      </c>
      <c r="G66" s="179">
        <f t="shared" ref="G66" si="21">AVERAGEIFS(G61:G65,$I61:$I65,"")</f>
        <v>425.5</v>
      </c>
      <c r="H66" s="179">
        <f t="shared" ref="H66" si="22">AVERAGEIFS(H61:H65,$I61:$I65,"")</f>
        <v>506</v>
      </c>
      <c r="I66" s="180"/>
    </row>
    <row r="67" spans="1:14" ht="24" customHeight="1">
      <c r="A67" s="2231" t="s">
        <v>275</v>
      </c>
      <c r="B67" s="2232"/>
      <c r="C67" s="181">
        <f>+C60</f>
        <v>187</v>
      </c>
      <c r="D67" s="181">
        <f>+D60</f>
        <v>227.5</v>
      </c>
      <c r="E67" s="181">
        <f t="shared" ref="E67:H67" si="23">+E60</f>
        <v>343</v>
      </c>
      <c r="F67" s="181">
        <f t="shared" si="23"/>
        <v>458</v>
      </c>
      <c r="G67" s="181">
        <f t="shared" si="23"/>
        <v>573.5</v>
      </c>
      <c r="H67" s="181">
        <f t="shared" si="23"/>
        <v>688.5</v>
      </c>
      <c r="I67" s="182"/>
    </row>
    <row r="68" spans="1:14" s="812" customFormat="1" ht="24.95" customHeight="1">
      <c r="A68" s="81"/>
      <c r="B68" s="81"/>
      <c r="C68" s="81"/>
      <c r="D68" s="81"/>
      <c r="E68" s="81"/>
      <c r="F68" s="81"/>
      <c r="G68" s="81"/>
      <c r="H68" s="81"/>
      <c r="I68" s="81"/>
      <c r="N68" s="812">
        <f>+N66*N67</f>
        <v>0</v>
      </c>
    </row>
    <row r="69" spans="1:14" s="812" customFormat="1" ht="24" customHeight="1">
      <c r="A69" s="170" t="s">
        <v>1576</v>
      </c>
      <c r="B69" s="277"/>
      <c r="C69" s="439"/>
      <c r="D69" s="439"/>
      <c r="E69" s="439"/>
      <c r="F69" s="439"/>
      <c r="G69" s="439"/>
      <c r="H69" s="439"/>
      <c r="I69" s="439"/>
      <c r="N69" s="812">
        <f>+N68/0.8</f>
        <v>0</v>
      </c>
    </row>
    <row r="70" spans="1:14" s="812" customFormat="1" ht="24" customHeight="1">
      <c r="A70" s="2220" t="s">
        <v>268</v>
      </c>
      <c r="B70" s="2221"/>
      <c r="C70" s="2217" t="s">
        <v>473</v>
      </c>
      <c r="D70" s="2218"/>
      <c r="E70" s="2218"/>
      <c r="F70" s="2218"/>
      <c r="G70" s="2218"/>
      <c r="H70" s="2219"/>
      <c r="I70" s="2229" t="s">
        <v>45</v>
      </c>
      <c r="K70" s="812" t="s">
        <v>285</v>
      </c>
    </row>
    <row r="71" spans="1:14" s="812" customFormat="1" ht="24" customHeight="1">
      <c r="A71" s="2222"/>
      <c r="B71" s="2223"/>
      <c r="C71" s="183" t="s">
        <v>869</v>
      </c>
      <c r="D71" s="184" t="s">
        <v>50</v>
      </c>
      <c r="E71" s="184" t="s">
        <v>51</v>
      </c>
      <c r="F71" s="184" t="s">
        <v>52</v>
      </c>
      <c r="G71" s="184" t="s">
        <v>269</v>
      </c>
      <c r="H71" s="184" t="s">
        <v>278</v>
      </c>
      <c r="I71" s="2230"/>
    </row>
    <row r="72" spans="1:14" s="812" customFormat="1" ht="24" customHeight="1">
      <c r="A72" s="2227" t="s">
        <v>270</v>
      </c>
      <c r="B72" s="185" t="s">
        <v>48</v>
      </c>
      <c r="C72" s="171"/>
      <c r="D72" s="171">
        <f>+'생극면(10년) (사)'!$D$242</f>
        <v>153</v>
      </c>
      <c r="E72" s="171">
        <f>+'생극면(10년) (사)'!$D$247</f>
        <v>230</v>
      </c>
      <c r="F72" s="171">
        <f>+'생극면(10년) (사)'!$D$252</f>
        <v>306</v>
      </c>
      <c r="G72" s="171">
        <f>+'생극면(10년) (사)'!$D$257</f>
        <v>383</v>
      </c>
      <c r="H72" s="171">
        <f>+'생극면(10년) (사)'!$D$262</f>
        <v>459</v>
      </c>
      <c r="I72" s="172"/>
    </row>
    <row r="73" spans="1:14" s="812" customFormat="1" ht="24" customHeight="1">
      <c r="A73" s="2225"/>
      <c r="B73" s="186" t="s">
        <v>271</v>
      </c>
      <c r="C73" s="173"/>
      <c r="D73" s="171">
        <f>+'생극면(10년) (사)'!$E$242</f>
        <v>118</v>
      </c>
      <c r="E73" s="171">
        <f>+'생극면(10년) (사)'!$E$247</f>
        <v>55</v>
      </c>
      <c r="F73" s="171">
        <f>+'생극면(10년) (사)'!$E$252</f>
        <v>25</v>
      </c>
      <c r="G73" s="171">
        <f>+'생극면(10년) (사)'!$E$257</f>
        <v>12</v>
      </c>
      <c r="H73" s="171">
        <f>+'생극면(10년) (사)'!$E$262</f>
        <v>5</v>
      </c>
      <c r="I73" s="174" t="s">
        <v>1572</v>
      </c>
    </row>
    <row r="74" spans="1:14" s="812" customFormat="1" ht="24" customHeight="1">
      <c r="A74" s="2225"/>
      <c r="B74" s="186" t="s">
        <v>49</v>
      </c>
      <c r="C74" s="173"/>
      <c r="D74" s="173">
        <f>+'생극면(10년) (사)'!$F$242</f>
        <v>338</v>
      </c>
      <c r="E74" s="173">
        <f>+'생극면(10년) (사)'!$F$247</f>
        <v>414</v>
      </c>
      <c r="F74" s="171">
        <f>+'생극면(10년) (사)'!$F$252</f>
        <v>490</v>
      </c>
      <c r="G74" s="171">
        <f>+'생극면(10년) (사)'!$F$257</f>
        <v>566</v>
      </c>
      <c r="H74" s="171">
        <f>+'생극면(10년) (사)'!$F$262</f>
        <v>642</v>
      </c>
      <c r="I74" s="174"/>
    </row>
    <row r="75" spans="1:14" s="812" customFormat="1" ht="24" customHeight="1">
      <c r="A75" s="2225"/>
      <c r="B75" s="186" t="s">
        <v>279</v>
      </c>
      <c r="C75" s="173"/>
      <c r="D75" s="173">
        <f>+'생극면(10년) (사)'!$G$242</f>
        <v>746</v>
      </c>
      <c r="E75" s="173">
        <f>+'생극면(10년) (사)'!$G$247</f>
        <v>1514</v>
      </c>
      <c r="F75" s="171">
        <f>+'생극면(10년) (사)'!$G$252</f>
        <v>2500</v>
      </c>
      <c r="G75" s="171">
        <f>+'생극면(10년) (사)'!$G$257</f>
        <v>3690</v>
      </c>
      <c r="H75" s="171">
        <f>+'생극면(10년) (사)'!$G$262</f>
        <v>5072</v>
      </c>
      <c r="I75" s="174" t="s">
        <v>294</v>
      </c>
    </row>
    <row r="76" spans="1:14" s="812" customFormat="1" ht="24" customHeight="1">
      <c r="A76" s="2225"/>
      <c r="B76" s="187" t="s">
        <v>272</v>
      </c>
      <c r="C76" s="173"/>
      <c r="D76" s="173">
        <f>+'생극면(10년) (사)'!$H$242</f>
        <v>504</v>
      </c>
      <c r="E76" s="173">
        <f>+'생극면(10년) (사)'!$H$247</f>
        <v>592</v>
      </c>
      <c r="F76" s="171">
        <f>+'생극면(10년) (사)'!$H$252</f>
        <v>600</v>
      </c>
      <c r="G76" s="171">
        <f>+'생극면(10년) (사)'!$H$257</f>
        <v>600</v>
      </c>
      <c r="H76" s="171">
        <f>+'생극면(10년) (사)'!$H$262</f>
        <v>600</v>
      </c>
      <c r="I76" s="174" t="s">
        <v>294</v>
      </c>
    </row>
    <row r="77" spans="1:14" s="812" customFormat="1" ht="24" customHeight="1">
      <c r="A77" s="2228"/>
      <c r="B77" s="188" t="s">
        <v>273</v>
      </c>
      <c r="C77" s="175">
        <f>+'생극면(10년) (사)'!D50</f>
        <v>0</v>
      </c>
      <c r="D77" s="179">
        <f>AVERAGEIFS(D72:D76,$I72:$I76,"")</f>
        <v>245.5</v>
      </c>
      <c r="E77" s="179">
        <f>AVERAGEIFS(E72:E76,$I72:$I76,"")</f>
        <v>322</v>
      </c>
      <c r="F77" s="179">
        <f t="shared" ref="F77" si="24">AVERAGEIFS(F72:F76,$I72:$I76,"")</f>
        <v>398</v>
      </c>
      <c r="G77" s="179">
        <f t="shared" ref="G77" si="25">AVERAGEIFS(G72:G76,$I72:$I76,"")</f>
        <v>474.5</v>
      </c>
      <c r="H77" s="179">
        <f t="shared" ref="H77" si="26">AVERAGEIFS(H72:H76,$I72:$I76,"")</f>
        <v>550.5</v>
      </c>
      <c r="I77" s="176"/>
    </row>
    <row r="78" spans="1:14" s="812" customFormat="1" ht="24" customHeight="1">
      <c r="A78" s="2233" t="s">
        <v>274</v>
      </c>
      <c r="B78" s="1027" t="s">
        <v>48</v>
      </c>
      <c r="C78" s="1028"/>
      <c r="D78" s="1028">
        <f>+'생극면(5년) (사)'!$D$222</f>
        <v>87</v>
      </c>
      <c r="E78" s="1028">
        <f>+'생극면(5년) (사)'!$D$227</f>
        <v>-171</v>
      </c>
      <c r="F78" s="1028">
        <f>+'생극면(5년) (사)'!$D$232</f>
        <v>-429</v>
      </c>
      <c r="G78" s="1028">
        <f>+'생극면(5년) (사)'!$D$237</f>
        <v>-686</v>
      </c>
      <c r="H78" s="1028">
        <f>+'생극면(5년) (사)'!$D$242</f>
        <v>-944</v>
      </c>
      <c r="I78" s="1029" t="s">
        <v>1572</v>
      </c>
    </row>
    <row r="79" spans="1:14" s="812" customFormat="1" ht="24" customHeight="1">
      <c r="A79" s="2234"/>
      <c r="B79" s="1030" t="s">
        <v>271</v>
      </c>
      <c r="C79" s="1031"/>
      <c r="D79" s="1031">
        <f>+'생극면(5년) (사)'!$E$222</f>
        <v>110</v>
      </c>
      <c r="E79" s="1031">
        <f>+'생극면(5년) (사)'!$E$227</f>
        <v>35</v>
      </c>
      <c r="F79" s="1031">
        <f>+'생극면(5년) (사)'!$E$232</f>
        <v>11</v>
      </c>
      <c r="G79" s="1031">
        <f>+'생극면(5년) (사)'!$E$237</f>
        <v>4</v>
      </c>
      <c r="H79" s="1031">
        <f>+'생극면(5년) (사)'!$E$242</f>
        <v>1</v>
      </c>
      <c r="I79" s="1032" t="s">
        <v>1572</v>
      </c>
    </row>
    <row r="80" spans="1:14" s="812" customFormat="1" ht="24" customHeight="1">
      <c r="A80" s="2234"/>
      <c r="B80" s="1030" t="s">
        <v>49</v>
      </c>
      <c r="C80" s="1031"/>
      <c r="D80" s="1031">
        <f>+'생극면(5년) (사)'!$F$222</f>
        <v>127</v>
      </c>
      <c r="E80" s="1031">
        <f>+'생극면(5년) (사)'!$F$227</f>
        <v>-136</v>
      </c>
      <c r="F80" s="1031">
        <f>+'생극면(5년) (사)'!$F$232</f>
        <v>-397</v>
      </c>
      <c r="G80" s="1031">
        <f>+'생극면(5년) (사)'!$F$237</f>
        <v>-659</v>
      </c>
      <c r="H80" s="1031">
        <f>+'생극면(5년) (사)'!$F$242</f>
        <v>-920</v>
      </c>
      <c r="I80" s="1032" t="s">
        <v>1572</v>
      </c>
    </row>
    <row r="81" spans="1:12" s="812" customFormat="1" ht="24" customHeight="1">
      <c r="A81" s="2234"/>
      <c r="B81" s="1030" t="s">
        <v>279</v>
      </c>
      <c r="C81" s="1031"/>
      <c r="D81" s="1031">
        <f>+'생극면(5년) (사)'!$G$222</f>
        <v>411</v>
      </c>
      <c r="E81" s="1031">
        <f>+'생극면(5년) (사)'!$G$227</f>
        <v>488</v>
      </c>
      <c r="F81" s="1031">
        <f>+'생극면(5년) (사)'!$G$232</f>
        <v>570</v>
      </c>
      <c r="G81" s="1031">
        <f>+'생극면(5년) (사)'!$G$237</f>
        <v>655</v>
      </c>
      <c r="H81" s="1031">
        <f>+'생극면(5년) (사)'!$G$242</f>
        <v>743</v>
      </c>
      <c r="I81" s="1032"/>
      <c r="K81" s="280">
        <f>+E84</f>
        <v>322</v>
      </c>
    </row>
    <row r="82" spans="1:12" s="812" customFormat="1" ht="24" customHeight="1">
      <c r="A82" s="2234"/>
      <c r="B82" s="1033" t="s">
        <v>272</v>
      </c>
      <c r="C82" s="1031"/>
      <c r="D82" s="1031">
        <f>+'생극면(5년) (사)'!$H$222</f>
        <v>60</v>
      </c>
      <c r="E82" s="1031">
        <f>+'생극면(5년) (사)'!$H$227</f>
        <v>10</v>
      </c>
      <c r="F82" s="1031">
        <f>+'생극면(5년) (사)'!$H$232</f>
        <v>2</v>
      </c>
      <c r="G82" s="1031">
        <f>+'생극면(5년) (사)'!$H$237</f>
        <v>1</v>
      </c>
      <c r="H82" s="1031">
        <f>+'생극면(5년) (사)'!$H$242</f>
        <v>1</v>
      </c>
      <c r="I82" s="1032" t="s">
        <v>1572</v>
      </c>
      <c r="K82" s="279">
        <v>0.9</v>
      </c>
    </row>
    <row r="83" spans="1:12" s="812" customFormat="1" ht="24" customHeight="1">
      <c r="A83" s="2235"/>
      <c r="B83" s="1034" t="s">
        <v>273</v>
      </c>
      <c r="C83" s="1035">
        <f>+'생극면(5년) (사)'!D45</f>
        <v>0</v>
      </c>
      <c r="D83" s="1035">
        <f>AVERAGEIFS(D78:D82,$I78:$I82,"")</f>
        <v>411</v>
      </c>
      <c r="E83" s="1035">
        <f>AVERAGEIFS(E78:E82,$I78:$I82,"")</f>
        <v>488</v>
      </c>
      <c r="F83" s="1035">
        <f t="shared" ref="F83" si="27">AVERAGEIFS(F78:F82,$I78:$I82,"")</f>
        <v>570</v>
      </c>
      <c r="G83" s="1035">
        <f t="shared" ref="G83" si="28">AVERAGEIFS(G78:G82,$I78:$I82,"")</f>
        <v>655</v>
      </c>
      <c r="H83" s="1035">
        <f t="shared" ref="H83" si="29">AVERAGEIFS(H78:H82,$I78:$I82,"")</f>
        <v>743</v>
      </c>
      <c r="I83" s="1036"/>
      <c r="K83" s="281">
        <f>ROUND(+K81*K82,0)</f>
        <v>290</v>
      </c>
    </row>
    <row r="84" spans="1:12" s="812" customFormat="1" ht="24" customHeight="1">
      <c r="A84" s="2236" t="s">
        <v>275</v>
      </c>
      <c r="B84" s="2237"/>
      <c r="C84" s="1025">
        <f>+C77</f>
        <v>0</v>
      </c>
      <c r="D84" s="1025">
        <f>+D77</f>
        <v>245.5</v>
      </c>
      <c r="E84" s="1025">
        <f t="shared" ref="E84:H84" si="30">+E77</f>
        <v>322</v>
      </c>
      <c r="F84" s="1025">
        <f t="shared" si="30"/>
        <v>398</v>
      </c>
      <c r="G84" s="1025">
        <f t="shared" si="30"/>
        <v>474.5</v>
      </c>
      <c r="H84" s="1025">
        <f t="shared" si="30"/>
        <v>550.5</v>
      </c>
      <c r="I84" s="1026"/>
      <c r="K84" s="279">
        <f>ROUND(+K83/0.8,0)</f>
        <v>363</v>
      </c>
      <c r="L84" s="812">
        <v>215</v>
      </c>
    </row>
    <row r="85" spans="1:12" s="812" customFormat="1" ht="24" customHeight="1">
      <c r="A85" s="81"/>
      <c r="B85" s="81"/>
      <c r="C85" s="81"/>
      <c r="D85" s="81"/>
      <c r="E85" s="81"/>
      <c r="F85" s="81"/>
      <c r="G85" s="81"/>
      <c r="H85" s="81"/>
      <c r="I85" s="81"/>
    </row>
    <row r="86" spans="1:12" s="812" customFormat="1" ht="24" customHeight="1">
      <c r="A86" s="170" t="s">
        <v>1005</v>
      </c>
      <c r="B86" s="277"/>
      <c r="C86" s="439"/>
      <c r="D86" s="439"/>
      <c r="E86" s="439"/>
      <c r="F86" s="439"/>
      <c r="G86" s="439"/>
      <c r="H86" s="439"/>
      <c r="I86" s="439"/>
    </row>
    <row r="87" spans="1:12" s="812" customFormat="1" ht="24" customHeight="1">
      <c r="A87" s="2220" t="s">
        <v>268</v>
      </c>
      <c r="B87" s="2221"/>
      <c r="C87" s="2217" t="s">
        <v>473</v>
      </c>
      <c r="D87" s="2218"/>
      <c r="E87" s="2218"/>
      <c r="F87" s="2218"/>
      <c r="G87" s="2218"/>
      <c r="H87" s="2219"/>
      <c r="I87" s="2229" t="s">
        <v>45</v>
      </c>
    </row>
    <row r="88" spans="1:12" s="812" customFormat="1" ht="24" customHeight="1">
      <c r="A88" s="2222"/>
      <c r="B88" s="2223"/>
      <c r="C88" s="183" t="s">
        <v>869</v>
      </c>
      <c r="D88" s="184" t="s">
        <v>50</v>
      </c>
      <c r="E88" s="184" t="s">
        <v>51</v>
      </c>
      <c r="F88" s="184" t="s">
        <v>52</v>
      </c>
      <c r="G88" s="184" t="s">
        <v>269</v>
      </c>
      <c r="H88" s="184" t="s">
        <v>278</v>
      </c>
      <c r="I88" s="2230"/>
    </row>
    <row r="89" spans="1:12" s="812" customFormat="1" ht="24" customHeight="1">
      <c r="A89" s="2227" t="s">
        <v>270</v>
      </c>
      <c r="B89" s="185" t="s">
        <v>48</v>
      </c>
      <c r="C89" s="171"/>
      <c r="D89" s="171">
        <f>+'감곡면(10년) (사)'!$D$242</f>
        <v>293</v>
      </c>
      <c r="E89" s="171">
        <f>+'감곡면(10년) (사)'!$D$247</f>
        <v>440</v>
      </c>
      <c r="F89" s="171">
        <f>+'감곡면(10년) (사)'!$D$252</f>
        <v>586</v>
      </c>
      <c r="G89" s="171">
        <f>+'감곡면(10년) (사)'!$D$257</f>
        <v>733</v>
      </c>
      <c r="H89" s="171">
        <f>+'감곡면(10년) (사)'!$D$262</f>
        <v>879</v>
      </c>
      <c r="I89" s="172" t="s">
        <v>1572</v>
      </c>
    </row>
    <row r="90" spans="1:12" s="812" customFormat="1" ht="24" customHeight="1">
      <c r="A90" s="2225"/>
      <c r="B90" s="186" t="s">
        <v>271</v>
      </c>
      <c r="C90" s="173"/>
      <c r="D90" s="171">
        <f>+'감곡면(10년) (사)'!$E$242</f>
        <v>262</v>
      </c>
      <c r="E90" s="171">
        <f>+'감곡면(10년) (사)'!$E$247</f>
        <v>255</v>
      </c>
      <c r="F90" s="171">
        <f>+'감곡면(10년) (사)'!$E$252</f>
        <v>248</v>
      </c>
      <c r="G90" s="171">
        <f>+'감곡면(10년) (사)'!$E$257</f>
        <v>240</v>
      </c>
      <c r="H90" s="171">
        <f>+'감곡면(10년) (사)'!$E$262</f>
        <v>234</v>
      </c>
      <c r="I90" s="174"/>
    </row>
    <row r="91" spans="1:12" s="812" customFormat="1" ht="24" customHeight="1">
      <c r="A91" s="2225"/>
      <c r="B91" s="186" t="s">
        <v>49</v>
      </c>
      <c r="C91" s="173"/>
      <c r="D91" s="173">
        <f>+'감곡면(10년) (사)'!$F$242</f>
        <v>335</v>
      </c>
      <c r="E91" s="173">
        <f>+'감곡면(10년) (사)'!$F$247</f>
        <v>456</v>
      </c>
      <c r="F91" s="171">
        <f>+'감곡면(10년) (사)'!$F$252</f>
        <v>576</v>
      </c>
      <c r="G91" s="171">
        <f>+'감곡면(10년) (사)'!$F$257</f>
        <v>697</v>
      </c>
      <c r="H91" s="171">
        <f>+'감곡면(10년) (사)'!$F$262</f>
        <v>818</v>
      </c>
      <c r="I91" s="174"/>
    </row>
    <row r="92" spans="1:12" s="812" customFormat="1" ht="24" customHeight="1">
      <c r="A92" s="2225"/>
      <c r="B92" s="186" t="s">
        <v>279</v>
      </c>
      <c r="C92" s="173"/>
      <c r="D92" s="173">
        <f>+'감곡면(10년) (사)'!$G$242</f>
        <v>720</v>
      </c>
      <c r="E92" s="173">
        <f>+'감곡면(10년) (사)'!$G$247</f>
        <v>1551</v>
      </c>
      <c r="F92" s="171">
        <f>+'감곡면(10년) (사)'!$G$252</f>
        <v>2673</v>
      </c>
      <c r="G92" s="171">
        <f>+'감곡면(10년) (사)'!$G$257</f>
        <v>4078</v>
      </c>
      <c r="H92" s="171">
        <f>+'감곡면(10년) (사)'!$G$262</f>
        <v>5758</v>
      </c>
      <c r="I92" s="174" t="s">
        <v>294</v>
      </c>
    </row>
    <row r="93" spans="1:12" s="812" customFormat="1" ht="24" customHeight="1">
      <c r="A93" s="2225"/>
      <c r="B93" s="187" t="s">
        <v>272</v>
      </c>
      <c r="C93" s="173"/>
      <c r="D93" s="173">
        <f>+'감곡면(10년) (사)'!$H$242</f>
        <v>506</v>
      </c>
      <c r="E93" s="173">
        <f>+'감곡면(10년) (사)'!$H$247</f>
        <v>595</v>
      </c>
      <c r="F93" s="171">
        <f>+'감곡면(10년) (사)'!$H$252</f>
        <v>600</v>
      </c>
      <c r="G93" s="171">
        <f>+'감곡면(10년) (사)'!$H$257</f>
        <v>600</v>
      </c>
      <c r="H93" s="171">
        <f>+'감곡면(10년) (사)'!$H$262</f>
        <v>600</v>
      </c>
      <c r="I93" s="174" t="s">
        <v>294</v>
      </c>
    </row>
    <row r="94" spans="1:12" s="812" customFormat="1" ht="24" customHeight="1">
      <c r="A94" s="2228"/>
      <c r="B94" s="188" t="s">
        <v>273</v>
      </c>
      <c r="C94" s="175">
        <f>+'감곡면(10년) (사)'!D50</f>
        <v>0</v>
      </c>
      <c r="D94" s="179">
        <f>AVERAGEIFS(D89:D93,$I89:$I93,"")</f>
        <v>298.5</v>
      </c>
      <c r="E94" s="179">
        <f>AVERAGEIFS(E89:E93,$I89:$I93,"")</f>
        <v>355.5</v>
      </c>
      <c r="F94" s="179">
        <f t="shared" ref="F94" si="31">AVERAGEIFS(F89:F93,$I89:$I93,"")</f>
        <v>412</v>
      </c>
      <c r="G94" s="179">
        <f t="shared" ref="G94" si="32">AVERAGEIFS(G89:G93,$I89:$I93,"")</f>
        <v>468.5</v>
      </c>
      <c r="H94" s="179">
        <f t="shared" ref="H94" si="33">AVERAGEIFS(H89:H93,$I89:$I93,"")</f>
        <v>526</v>
      </c>
      <c r="I94" s="176"/>
    </row>
    <row r="95" spans="1:12" s="812" customFormat="1" ht="24" customHeight="1">
      <c r="A95" s="2224" t="s">
        <v>274</v>
      </c>
      <c r="B95" s="185" t="s">
        <v>48</v>
      </c>
      <c r="C95" s="177"/>
      <c r="D95" s="177">
        <f>+'감곡면(5년) (사)'!$D$222</f>
        <v>264</v>
      </c>
      <c r="E95" s="177">
        <f>+'감곡면(5년) (사)'!$D$227</f>
        <v>264</v>
      </c>
      <c r="F95" s="177">
        <f>+'감곡면(5년) (사)'!$D$232</f>
        <v>264</v>
      </c>
      <c r="G95" s="177">
        <f>+'감곡면(5년) (사)'!$D$237</f>
        <v>264</v>
      </c>
      <c r="H95" s="177">
        <f>+'감곡면(5년) (사)'!$D$242</f>
        <v>264</v>
      </c>
      <c r="I95" s="178"/>
    </row>
    <row r="96" spans="1:12" s="812" customFormat="1" ht="24" customHeight="1">
      <c r="A96" s="2225"/>
      <c r="B96" s="186" t="s">
        <v>271</v>
      </c>
      <c r="C96" s="173"/>
      <c r="D96" s="173">
        <f>+'감곡면(5년) (사)'!$E$222</f>
        <v>264</v>
      </c>
      <c r="E96" s="173">
        <f>+'감곡면(5년) (사)'!$E$227</f>
        <v>264</v>
      </c>
      <c r="F96" s="173">
        <f>+'감곡면(5년) (사)'!$E$232</f>
        <v>264</v>
      </c>
      <c r="G96" s="173">
        <f>+'감곡면(5년) (사)'!$E$237</f>
        <v>264</v>
      </c>
      <c r="H96" s="173">
        <f>+'감곡면(5년) (사)'!$E$242</f>
        <v>264</v>
      </c>
      <c r="I96" s="174"/>
    </row>
    <row r="97" spans="1:9" s="812" customFormat="1" ht="24" customHeight="1">
      <c r="A97" s="2225"/>
      <c r="B97" s="186" t="s">
        <v>49</v>
      </c>
      <c r="C97" s="173"/>
      <c r="D97" s="173">
        <f>+'감곡면(5년) (사)'!$F$222</f>
        <v>254</v>
      </c>
      <c r="E97" s="173">
        <f>+'감곡면(5년) (사)'!$F$227</f>
        <v>254</v>
      </c>
      <c r="F97" s="173">
        <f>+'감곡면(5년) (사)'!$F$232</f>
        <v>255</v>
      </c>
      <c r="G97" s="173">
        <f>+'감곡면(5년) (사)'!$F$237</f>
        <v>255</v>
      </c>
      <c r="H97" s="173">
        <f>+'감곡면(5년) (사)'!$F$242</f>
        <v>256</v>
      </c>
      <c r="I97" s="174"/>
    </row>
    <row r="98" spans="1:9" s="812" customFormat="1" ht="24" customHeight="1">
      <c r="A98" s="2225"/>
      <c r="B98" s="186" t="s">
        <v>279</v>
      </c>
      <c r="C98" s="173"/>
      <c r="D98" s="173">
        <f>+'감곡면(5년) (사)'!$G$222</f>
        <v>265</v>
      </c>
      <c r="E98" s="173">
        <f>+'감곡면(5년) (사)'!$G$227</f>
        <v>265</v>
      </c>
      <c r="F98" s="173">
        <f>+'감곡면(5년) (사)'!$G$232</f>
        <v>265</v>
      </c>
      <c r="G98" s="173">
        <f>+'감곡면(5년) (사)'!$G$237</f>
        <v>265</v>
      </c>
      <c r="H98" s="173">
        <f>+'감곡면(5년) (사)'!$G$242</f>
        <v>265</v>
      </c>
      <c r="I98" s="174"/>
    </row>
    <row r="99" spans="1:9" s="812" customFormat="1" ht="24" customHeight="1">
      <c r="A99" s="2225"/>
      <c r="B99" s="187" t="s">
        <v>272</v>
      </c>
      <c r="C99" s="173"/>
      <c r="D99" s="173">
        <f>+'감곡면(5년) (사)'!$H$222</f>
        <v>254</v>
      </c>
      <c r="E99" s="173">
        <f>+'감곡면(5년) (사)'!$H$227</f>
        <v>255</v>
      </c>
      <c r="F99" s="173">
        <f>+'감곡면(5년) (사)'!$H$232</f>
        <v>255</v>
      </c>
      <c r="G99" s="173">
        <f>+'감곡면(5년) (사)'!$H$237</f>
        <v>256</v>
      </c>
      <c r="H99" s="173">
        <f>+'감곡면(5년) (사)'!$H$242</f>
        <v>256</v>
      </c>
      <c r="I99" s="174"/>
    </row>
    <row r="100" spans="1:9" s="812" customFormat="1" ht="24" customHeight="1">
      <c r="A100" s="2226"/>
      <c r="B100" s="188" t="s">
        <v>273</v>
      </c>
      <c r="C100" s="179">
        <f>+C94</f>
        <v>0</v>
      </c>
      <c r="D100" s="179">
        <f>AVERAGEIFS(D95:D99,$I95:$I99,"")</f>
        <v>260.2</v>
      </c>
      <c r="E100" s="179">
        <f>AVERAGEIFS(E95:E99,$I95:$I99,"")</f>
        <v>260.39999999999998</v>
      </c>
      <c r="F100" s="179">
        <f t="shared" ref="F100" si="34">AVERAGEIFS(F95:F99,$I95:$I99,"")</f>
        <v>260.60000000000002</v>
      </c>
      <c r="G100" s="179">
        <f t="shared" ref="G100" si="35">AVERAGEIFS(G95:G99,$I95:$I99,"")</f>
        <v>260.8</v>
      </c>
      <c r="H100" s="179">
        <f t="shared" ref="H100" si="36">AVERAGEIFS(H95:H99,$I95:$I99,"")</f>
        <v>261</v>
      </c>
      <c r="I100" s="180"/>
    </row>
    <row r="101" spans="1:9" s="812" customFormat="1" ht="24" customHeight="1">
      <c r="A101" s="2231" t="s">
        <v>275</v>
      </c>
      <c r="B101" s="2232"/>
      <c r="C101" s="181">
        <f>+C94</f>
        <v>0</v>
      </c>
      <c r="D101" s="181">
        <f>+D94</f>
        <v>298.5</v>
      </c>
      <c r="E101" s="181">
        <f t="shared" ref="E101:H101" si="37">+E94</f>
        <v>355.5</v>
      </c>
      <c r="F101" s="181">
        <f t="shared" si="37"/>
        <v>412</v>
      </c>
      <c r="G101" s="181">
        <f t="shared" si="37"/>
        <v>468.5</v>
      </c>
      <c r="H101" s="181">
        <f t="shared" si="37"/>
        <v>526</v>
      </c>
      <c r="I101" s="182"/>
    </row>
  </sheetData>
  <mergeCells count="36">
    <mergeCell ref="A95:A100"/>
    <mergeCell ref="A101:B101"/>
    <mergeCell ref="A84:B84"/>
    <mergeCell ref="A87:B88"/>
    <mergeCell ref="C87:H87"/>
    <mergeCell ref="I87:I88"/>
    <mergeCell ref="A89:A94"/>
    <mergeCell ref="A70:B71"/>
    <mergeCell ref="C70:H70"/>
    <mergeCell ref="I70:I71"/>
    <mergeCell ref="A72:A77"/>
    <mergeCell ref="A78:A83"/>
    <mergeCell ref="A67:B67"/>
    <mergeCell ref="A53:B54"/>
    <mergeCell ref="C53:H53"/>
    <mergeCell ref="I53:I54"/>
    <mergeCell ref="A55:A60"/>
    <mergeCell ref="A61:A66"/>
    <mergeCell ref="A50:B50"/>
    <mergeCell ref="A19:B20"/>
    <mergeCell ref="C19:H19"/>
    <mergeCell ref="I19:I20"/>
    <mergeCell ref="A21:A26"/>
    <mergeCell ref="A27:A32"/>
    <mergeCell ref="A33:B33"/>
    <mergeCell ref="A36:B37"/>
    <mergeCell ref="C36:H36"/>
    <mergeCell ref="I36:I37"/>
    <mergeCell ref="A38:A43"/>
    <mergeCell ref="A44:A49"/>
    <mergeCell ref="A17:B17"/>
    <mergeCell ref="A3:B4"/>
    <mergeCell ref="C3:H3"/>
    <mergeCell ref="I3:I4"/>
    <mergeCell ref="A5:A10"/>
    <mergeCell ref="A11:A16"/>
  </mergeCells>
  <phoneticPr fontId="7" type="noConversion"/>
  <pageMargins left="0.7" right="0.7" top="0.75" bottom="0.75" header="0.3" footer="0.3"/>
  <pageSetup paperSize="9" scale="88" orientation="portrait" r:id="rId1"/>
  <colBreaks count="1" manualBreakCount="1">
    <brk id="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101"/>
  <sheetViews>
    <sheetView topLeftCell="A34" workbookViewId="0"/>
  </sheetViews>
  <sheetFormatPr defaultRowHeight="16.5"/>
  <cols>
    <col min="1" max="1" width="8.88671875" style="963"/>
    <col min="2" max="2" width="14.5546875" style="963" customWidth="1"/>
    <col min="3" max="9" width="8.88671875" style="963"/>
    <col min="10" max="16384" width="8.88671875" style="950"/>
  </cols>
  <sheetData>
    <row r="1" spans="1:9" ht="24.95" customHeight="1">
      <c r="A1" s="277" t="s">
        <v>988</v>
      </c>
      <c r="B1" s="277"/>
      <c r="C1" s="439"/>
      <c r="D1" s="439"/>
      <c r="E1" s="439"/>
      <c r="F1" s="439"/>
      <c r="G1" s="439"/>
      <c r="H1" s="439"/>
      <c r="I1" s="439"/>
    </row>
    <row r="2" spans="1:9" ht="24.95" customHeight="1">
      <c r="A2" s="170" t="s">
        <v>978</v>
      </c>
      <c r="B2" s="277"/>
      <c r="C2" s="439"/>
      <c r="D2" s="439"/>
      <c r="E2" s="439"/>
      <c r="F2" s="439"/>
      <c r="G2" s="439"/>
      <c r="H2" s="439"/>
      <c r="I2" s="439"/>
    </row>
    <row r="3" spans="1:9" ht="24.95" customHeight="1">
      <c r="A3" s="2240" t="s">
        <v>268</v>
      </c>
      <c r="B3" s="2241"/>
      <c r="C3" s="2217" t="s">
        <v>473</v>
      </c>
      <c r="D3" s="2218"/>
      <c r="E3" s="2218"/>
      <c r="F3" s="2218"/>
      <c r="G3" s="2218"/>
      <c r="H3" s="2219"/>
      <c r="I3" s="2244" t="s">
        <v>45</v>
      </c>
    </row>
    <row r="4" spans="1:9" ht="24.95" customHeight="1">
      <c r="A4" s="2242"/>
      <c r="B4" s="2243"/>
      <c r="C4" s="951" t="s">
        <v>869</v>
      </c>
      <c r="D4" s="952" t="s">
        <v>986</v>
      </c>
      <c r="E4" s="952" t="s">
        <v>51</v>
      </c>
      <c r="F4" s="952" t="s">
        <v>52</v>
      </c>
      <c r="G4" s="952" t="s">
        <v>269</v>
      </c>
      <c r="H4" s="952" t="s">
        <v>278</v>
      </c>
      <c r="I4" s="2245"/>
    </row>
    <row r="5" spans="1:9" ht="24.95" customHeight="1">
      <c r="A5" s="2246" t="s">
        <v>989</v>
      </c>
      <c r="B5" s="185" t="s">
        <v>48</v>
      </c>
      <c r="C5" s="953"/>
      <c r="D5" s="953">
        <f>'음성읍(10년) (물)'!D215</f>
        <v>257</v>
      </c>
      <c r="E5" s="953">
        <f>'음성읍(10년) (물)'!D219</f>
        <v>220</v>
      </c>
      <c r="F5" s="953">
        <f>'음성읍(10년) (물)'!D224</f>
        <v>173</v>
      </c>
      <c r="G5" s="953">
        <f>'음성읍(10년) (물)'!D229</f>
        <v>127</v>
      </c>
      <c r="H5" s="953">
        <f>'음성읍(10년) (물)'!D234</f>
        <v>80</v>
      </c>
      <c r="I5" s="172"/>
    </row>
    <row r="6" spans="1:9" ht="24.95" customHeight="1">
      <c r="A6" s="2247"/>
      <c r="B6" s="186" t="s">
        <v>271</v>
      </c>
      <c r="C6" s="173"/>
      <c r="D6" s="953">
        <f>'음성읍(10년) (물)'!E215</f>
        <v>257</v>
      </c>
      <c r="E6" s="953">
        <f>'음성읍(10년) (물)'!E219</f>
        <v>225</v>
      </c>
      <c r="F6" s="953">
        <f>'음성읍(10년) (물)'!E224</f>
        <v>190</v>
      </c>
      <c r="G6" s="953">
        <f>'음성읍(10년) (물)'!E229</f>
        <v>161</v>
      </c>
      <c r="H6" s="953">
        <f>'음성읍(10년) (물)'!E234</f>
        <v>136</v>
      </c>
      <c r="I6" s="954"/>
    </row>
    <row r="7" spans="1:9" ht="24.95" customHeight="1">
      <c r="A7" s="2247"/>
      <c r="B7" s="186" t="s">
        <v>49</v>
      </c>
      <c r="C7" s="173"/>
      <c r="D7" s="173">
        <f>'음성읍(10년) (물)'!F215</f>
        <v>309</v>
      </c>
      <c r="E7" s="173">
        <f>'음성읍(10년) (물)'!F219</f>
        <v>303</v>
      </c>
      <c r="F7" s="953">
        <f>'음성읍(10년) (물)'!F224</f>
        <v>295</v>
      </c>
      <c r="G7" s="953">
        <f>'음성읍(10년) (물)'!F229</f>
        <v>286</v>
      </c>
      <c r="H7" s="953">
        <f>'음성읍(10년) (물)'!F234</f>
        <v>278</v>
      </c>
      <c r="I7" s="954" t="s">
        <v>1795</v>
      </c>
    </row>
    <row r="8" spans="1:9" ht="24.95" customHeight="1">
      <c r="A8" s="2247"/>
      <c r="B8" s="186" t="s">
        <v>279</v>
      </c>
      <c r="C8" s="173"/>
      <c r="D8" s="173">
        <f>'음성읍(10년) (물)'!G215</f>
        <v>396</v>
      </c>
      <c r="E8" s="173">
        <f>'음성읍(10년) (물)'!G219</f>
        <v>493</v>
      </c>
      <c r="F8" s="953">
        <f>'음성읍(10년) (물)'!G224</f>
        <v>629</v>
      </c>
      <c r="G8" s="953">
        <f>'음성읍(10년) (물)'!G229</f>
        <v>777</v>
      </c>
      <c r="H8" s="953">
        <f>'음성읍(10년) (물)'!G234</f>
        <v>934</v>
      </c>
      <c r="I8" s="954" t="s">
        <v>1795</v>
      </c>
    </row>
    <row r="9" spans="1:9" ht="24.95" customHeight="1">
      <c r="A9" s="2247"/>
      <c r="B9" s="187" t="s">
        <v>272</v>
      </c>
      <c r="C9" s="173"/>
      <c r="D9" s="173">
        <f>'음성읍(10년) (물)'!H215</f>
        <v>307</v>
      </c>
      <c r="E9" s="173">
        <f>'음성읍(10년) (물)'!H219</f>
        <v>301</v>
      </c>
      <c r="F9" s="953">
        <f>'음성읍(10년) (물)'!H224</f>
        <v>293</v>
      </c>
      <c r="G9" s="953">
        <f>'음성읍(10년) (물)'!H229</f>
        <v>285</v>
      </c>
      <c r="H9" s="953">
        <f>'음성읍(10년) (물)'!H234</f>
        <v>278</v>
      </c>
      <c r="I9" s="954" t="s">
        <v>1795</v>
      </c>
    </row>
    <row r="10" spans="1:9" ht="24.95" customHeight="1">
      <c r="A10" s="2248"/>
      <c r="B10" s="955" t="s">
        <v>273</v>
      </c>
      <c r="C10" s="956"/>
      <c r="D10" s="179">
        <f>AVERAGEIFS(D5:D9,$I5:$I9,"")</f>
        <v>257</v>
      </c>
      <c r="E10" s="179">
        <f>AVERAGEIFS(E5:E9,$I5:$I9,"")</f>
        <v>222.5</v>
      </c>
      <c r="F10" s="179">
        <f t="shared" ref="F10:H10" si="0">AVERAGEIFS(F5:F9,$I5:$I9,"")</f>
        <v>181.5</v>
      </c>
      <c r="G10" s="179">
        <f t="shared" si="0"/>
        <v>144</v>
      </c>
      <c r="H10" s="179">
        <f t="shared" si="0"/>
        <v>108</v>
      </c>
      <c r="I10" s="957"/>
    </row>
    <row r="11" spans="1:9" ht="24.95" customHeight="1">
      <c r="A11" s="2224" t="s">
        <v>274</v>
      </c>
      <c r="B11" s="185" t="s">
        <v>48</v>
      </c>
      <c r="C11" s="177"/>
      <c r="D11" s="177">
        <f>'음성읍(5년) (물)'!D211</f>
        <v>257</v>
      </c>
      <c r="E11" s="177">
        <f>'음성읍(5년) (물)'!D215</f>
        <v>224</v>
      </c>
      <c r="F11" s="177">
        <f>'음성읍(5년) (물)'!D220</f>
        <v>182</v>
      </c>
      <c r="G11" s="177">
        <f>'음성읍(5년) (물)'!D225</f>
        <v>141</v>
      </c>
      <c r="H11" s="177">
        <f>'음성읍(5년) (물)'!D230</f>
        <v>99</v>
      </c>
      <c r="I11" s="178"/>
    </row>
    <row r="12" spans="1:9" ht="24.95" customHeight="1">
      <c r="A12" s="2247"/>
      <c r="B12" s="186" t="s">
        <v>271</v>
      </c>
      <c r="C12" s="173"/>
      <c r="D12" s="173">
        <f xml:space="preserve">  '음성읍(5년) (물)'!E211</f>
        <v>257</v>
      </c>
      <c r="E12" s="173">
        <f>'음성읍(5년) (물)'!E215</f>
        <v>228</v>
      </c>
      <c r="F12" s="173">
        <f>'음성읍(5년) (물)'!E220</f>
        <v>195</v>
      </c>
      <c r="G12" s="173">
        <f>'음성읍(5년) (물)'!E225</f>
        <v>168</v>
      </c>
      <c r="H12" s="173">
        <f>'음성읍(5년) (물)'!E230</f>
        <v>144</v>
      </c>
      <c r="I12" s="954"/>
    </row>
    <row r="13" spans="1:9" ht="24.95" customHeight="1">
      <c r="A13" s="2247"/>
      <c r="B13" s="186" t="s">
        <v>49</v>
      </c>
      <c r="C13" s="173"/>
      <c r="D13" s="173">
        <f xml:space="preserve"> '음성읍(5년) (물)'!F211</f>
        <v>304</v>
      </c>
      <c r="E13" s="173">
        <f>'음성읍(5년) (물)'!F215</f>
        <v>281</v>
      </c>
      <c r="F13" s="173">
        <f>'음성읍(5년) (물)'!F220</f>
        <v>252</v>
      </c>
      <c r="G13" s="173">
        <f>'음성읍(5년) (물)'!F225</f>
        <v>223</v>
      </c>
      <c r="H13" s="173">
        <f>'음성읍(5년) (물)'!F230</f>
        <v>194</v>
      </c>
      <c r="I13" s="954" t="s">
        <v>1794</v>
      </c>
    </row>
    <row r="14" spans="1:9" ht="24.95" customHeight="1">
      <c r="A14" s="2247"/>
      <c r="B14" s="186" t="s">
        <v>279</v>
      </c>
      <c r="C14" s="173"/>
      <c r="D14" s="173">
        <f>'음성읍(5년) (물)'!G211</f>
        <v>306</v>
      </c>
      <c r="E14" s="173">
        <f>'음성읍(5년) (물)'!G215</f>
        <v>310</v>
      </c>
      <c r="F14" s="173">
        <f>'음성읍(5년) (물)'!G220</f>
        <v>313</v>
      </c>
      <c r="G14" s="173">
        <f>'음성읍(5년) (물)'!G225</f>
        <v>315</v>
      </c>
      <c r="H14" s="173">
        <f>'음성읍(5년) (물)'!G230</f>
        <v>316</v>
      </c>
      <c r="I14" s="954" t="s">
        <v>1794</v>
      </c>
    </row>
    <row r="15" spans="1:9" ht="24.95" customHeight="1">
      <c r="A15" s="2247"/>
      <c r="B15" s="187" t="s">
        <v>272</v>
      </c>
      <c r="C15" s="173"/>
      <c r="D15" s="173">
        <f>'음성읍(5년) (물)'!H211</f>
        <v>290</v>
      </c>
      <c r="E15" s="173">
        <f>'음성읍(5년) (물)'!H215</f>
        <v>267</v>
      </c>
      <c r="F15" s="173">
        <f>'음성읍(5년) (물)'!H220</f>
        <v>238</v>
      </c>
      <c r="G15" s="173">
        <f>'음성읍(5년) (물)'!H225</f>
        <v>211</v>
      </c>
      <c r="H15" s="173">
        <f>'음성읍(5년) (물)'!H230</f>
        <v>185</v>
      </c>
      <c r="I15" s="954" t="s">
        <v>1794</v>
      </c>
    </row>
    <row r="16" spans="1:9" ht="24.95" customHeight="1">
      <c r="A16" s="2249"/>
      <c r="B16" s="955" t="s">
        <v>273</v>
      </c>
      <c r="C16" s="958">
        <f>+C10</f>
        <v>0</v>
      </c>
      <c r="D16" s="179">
        <f>AVERAGEIFS(D11:D15,$I11:$I15,"")</f>
        <v>257</v>
      </c>
      <c r="E16" s="179">
        <f>AVERAGEIFS(E11:E15,$I11:$I15,"")</f>
        <v>226</v>
      </c>
      <c r="F16" s="179">
        <f t="shared" ref="F16" si="1">AVERAGEIFS(F11:F15,$I11:$I15,"")</f>
        <v>188.5</v>
      </c>
      <c r="G16" s="179">
        <f t="shared" ref="G16" si="2">AVERAGEIFS(G11:G15,$I11:$I15,"")</f>
        <v>154.5</v>
      </c>
      <c r="H16" s="179">
        <f t="shared" ref="H16" si="3">AVERAGEIFS(H11:H15,$I11:$I15,"")</f>
        <v>121.5</v>
      </c>
      <c r="I16" s="959"/>
    </row>
    <row r="17" spans="1:14" ht="24.95" customHeight="1">
      <c r="A17" s="2238" t="s">
        <v>275</v>
      </c>
      <c r="B17" s="2239"/>
      <c r="C17" s="181">
        <f>+C16</f>
        <v>0</v>
      </c>
      <c r="D17" s="825">
        <f>+D10</f>
        <v>257</v>
      </c>
      <c r="E17" s="825">
        <f t="shared" ref="E17:H17" si="4">+E10</f>
        <v>222.5</v>
      </c>
      <c r="F17" s="825">
        <f t="shared" si="4"/>
        <v>181.5</v>
      </c>
      <c r="G17" s="825">
        <f t="shared" si="4"/>
        <v>144</v>
      </c>
      <c r="H17" s="825">
        <f t="shared" si="4"/>
        <v>108</v>
      </c>
      <c r="I17" s="182"/>
    </row>
    <row r="18" spans="1:14" ht="24.95" customHeight="1">
      <c r="A18" s="170" t="s">
        <v>990</v>
      </c>
      <c r="B18" s="277"/>
      <c r="C18" s="439"/>
      <c r="D18" s="439"/>
      <c r="E18" s="439"/>
      <c r="F18" s="439"/>
      <c r="G18" s="439"/>
      <c r="H18" s="439"/>
      <c r="I18" s="439"/>
    </row>
    <row r="19" spans="1:14" ht="24.95" customHeight="1">
      <c r="A19" s="2240" t="s">
        <v>268</v>
      </c>
      <c r="B19" s="2241"/>
      <c r="C19" s="2217" t="s">
        <v>473</v>
      </c>
      <c r="D19" s="2218"/>
      <c r="E19" s="2218"/>
      <c r="F19" s="2218"/>
      <c r="G19" s="2218"/>
      <c r="H19" s="2219"/>
      <c r="I19" s="2244" t="s">
        <v>45</v>
      </c>
    </row>
    <row r="20" spans="1:14" ht="24.95" customHeight="1">
      <c r="A20" s="2242"/>
      <c r="B20" s="2243"/>
      <c r="C20" s="951" t="s">
        <v>869</v>
      </c>
      <c r="D20" s="952" t="s">
        <v>986</v>
      </c>
      <c r="E20" s="952" t="s">
        <v>51</v>
      </c>
      <c r="F20" s="952" t="s">
        <v>52</v>
      </c>
      <c r="G20" s="952" t="s">
        <v>269</v>
      </c>
      <c r="H20" s="952" t="s">
        <v>278</v>
      </c>
      <c r="I20" s="2245"/>
    </row>
    <row r="21" spans="1:14" ht="24.95" customHeight="1">
      <c r="A21" s="2246" t="s">
        <v>989</v>
      </c>
      <c r="B21" s="185" t="s">
        <v>48</v>
      </c>
      <c r="C21" s="953"/>
      <c r="D21" s="953">
        <f>'금왕읍(10년) (물)'!D215</f>
        <v>267</v>
      </c>
      <c r="E21" s="953">
        <f>'금왕읍(10년) (물)'!D219</f>
        <v>281</v>
      </c>
      <c r="F21" s="953">
        <f>'금왕읍(10년) (물)'!D224</f>
        <v>298</v>
      </c>
      <c r="G21" s="953">
        <f>'금왕읍(10년) (물)'!D229</f>
        <v>316</v>
      </c>
      <c r="H21" s="953">
        <f>'금왕읍(10년) (물)'!D234</f>
        <v>333</v>
      </c>
      <c r="I21" s="172"/>
    </row>
    <row r="22" spans="1:14" ht="24.95" customHeight="1">
      <c r="A22" s="2247"/>
      <c r="B22" s="186" t="s">
        <v>271</v>
      </c>
      <c r="C22" s="173"/>
      <c r="D22" s="953">
        <f>'금왕읍(10년) (물)'!E215</f>
        <v>267</v>
      </c>
      <c r="E22" s="953">
        <f>'금왕읍(10년) (물)'!E219</f>
        <v>281</v>
      </c>
      <c r="F22" s="953">
        <f>'금왕읍(10년) (물)'!E224</f>
        <v>301</v>
      </c>
      <c r="G22" s="953">
        <f>'금왕읍(10년) (물)'!E229</f>
        <v>322</v>
      </c>
      <c r="H22" s="953">
        <f>'금왕읍(10년) (물)'!E234</f>
        <v>344</v>
      </c>
      <c r="I22" s="954"/>
    </row>
    <row r="23" spans="1:14" ht="24.95" customHeight="1">
      <c r="A23" s="2247"/>
      <c r="B23" s="186" t="s">
        <v>49</v>
      </c>
      <c r="C23" s="173"/>
      <c r="D23" s="173">
        <f>'금왕읍(10년) (물)'!F215</f>
        <v>264</v>
      </c>
      <c r="E23" s="173">
        <f>'금왕읍(10년) (물)'!F219</f>
        <v>258</v>
      </c>
      <c r="F23" s="953">
        <f>'금왕읍(10년) (물)'!F224</f>
        <v>250</v>
      </c>
      <c r="G23" s="953">
        <f>'금왕읍(10년) (물)'!F229</f>
        <v>242</v>
      </c>
      <c r="H23" s="953">
        <f>'금왕읍(10년) (물)'!F234</f>
        <v>234</v>
      </c>
      <c r="I23" s="954" t="s">
        <v>1794</v>
      </c>
    </row>
    <row r="24" spans="1:14" ht="24.95" customHeight="1">
      <c r="A24" s="2247"/>
      <c r="B24" s="186" t="s">
        <v>279</v>
      </c>
      <c r="C24" s="173"/>
      <c r="D24" s="173">
        <f>'금왕읍(10년) (물)'!G215</f>
        <v>263</v>
      </c>
      <c r="E24" s="173">
        <f>'금왕읍(10년) (물)'!G219</f>
        <v>258</v>
      </c>
      <c r="F24" s="953">
        <f>'금왕읍(10년) (물)'!G224</f>
        <v>256</v>
      </c>
      <c r="G24" s="953">
        <f>'금왕읍(10년) (물)'!G229</f>
        <v>255</v>
      </c>
      <c r="H24" s="953">
        <f>'금왕읍(10년) (물)'!G234</f>
        <v>254</v>
      </c>
      <c r="I24" s="954" t="s">
        <v>1794</v>
      </c>
    </row>
    <row r="25" spans="1:14" ht="24.95" customHeight="1">
      <c r="A25" s="2247"/>
      <c r="B25" s="187" t="s">
        <v>272</v>
      </c>
      <c r="C25" s="173"/>
      <c r="D25" s="173">
        <f>'금왕읍(10년) (물)'!H215</f>
        <v>262</v>
      </c>
      <c r="E25" s="173">
        <f>'금왕읍(10년) (물)'!H219</f>
        <v>255</v>
      </c>
      <c r="F25" s="953">
        <f>'금왕읍(10년) (물)'!H224</f>
        <v>248</v>
      </c>
      <c r="G25" s="953">
        <f>'금왕읍(10년) (물)'!H229</f>
        <v>240</v>
      </c>
      <c r="H25" s="953">
        <f>'금왕읍(10년) (물)'!H234</f>
        <v>232</v>
      </c>
      <c r="I25" s="954" t="s">
        <v>1794</v>
      </c>
    </row>
    <row r="26" spans="1:14" ht="24.95" customHeight="1">
      <c r="A26" s="2248"/>
      <c r="B26" s="955" t="s">
        <v>273</v>
      </c>
      <c r="C26" s="956"/>
      <c r="D26" s="179">
        <f>AVERAGEIFS(D21:D25,$I21:$I25,"")</f>
        <v>267</v>
      </c>
      <c r="E26" s="179">
        <f>AVERAGEIFS(E21:E25,$I21:$I25,"")</f>
        <v>281</v>
      </c>
      <c r="F26" s="179">
        <f t="shared" ref="F26" si="5">AVERAGEIFS(F21:F25,$I21:$I25,"")</f>
        <v>299.5</v>
      </c>
      <c r="G26" s="179">
        <f t="shared" ref="G26" si="6">AVERAGEIFS(G21:G25,$I21:$I25,"")</f>
        <v>319</v>
      </c>
      <c r="H26" s="179">
        <f t="shared" ref="H26" si="7">AVERAGEIFS(H21:H25,$I21:$I25,"")</f>
        <v>338.5</v>
      </c>
      <c r="I26" s="957"/>
    </row>
    <row r="27" spans="1:14" ht="24.95" customHeight="1">
      <c r="A27" s="2224" t="s">
        <v>274</v>
      </c>
      <c r="B27" s="185" t="s">
        <v>48</v>
      </c>
      <c r="C27" s="177"/>
      <c r="D27" s="177">
        <f>'금왕읍(5년) (물)'!D211</f>
        <v>267</v>
      </c>
      <c r="E27" s="177">
        <f>'금왕읍(5년) (물)'!D215</f>
        <v>248</v>
      </c>
      <c r="F27" s="177">
        <f>'금왕읍(5년) (물)'!D220</f>
        <v>224</v>
      </c>
      <c r="G27" s="177">
        <f>'금왕읍(5년) (물)'!D225</f>
        <v>201</v>
      </c>
      <c r="H27" s="177">
        <f>'금왕읍(5년) (물)'!D230</f>
        <v>177</v>
      </c>
      <c r="I27" s="178"/>
    </row>
    <row r="28" spans="1:14" ht="24.95" customHeight="1">
      <c r="A28" s="2247"/>
      <c r="B28" s="186" t="s">
        <v>271</v>
      </c>
      <c r="C28" s="173"/>
      <c r="D28" s="173">
        <f xml:space="preserve">  '금왕읍(5년) (물)'!E211</f>
        <v>267</v>
      </c>
      <c r="E28" s="173">
        <f>'금왕읍(5년) (물)'!E215</f>
        <v>249</v>
      </c>
      <c r="F28" s="173">
        <f>'금왕읍(5년) (물)'!E220</f>
        <v>229</v>
      </c>
      <c r="G28" s="173">
        <f>'금왕읍(5년) (물)'!E225</f>
        <v>210</v>
      </c>
      <c r="H28" s="173">
        <f>'금왕읍(5년) (물)'!E230</f>
        <v>193</v>
      </c>
      <c r="I28" s="954"/>
    </row>
    <row r="29" spans="1:14" ht="24.95" customHeight="1">
      <c r="A29" s="2247"/>
      <c r="B29" s="186" t="s">
        <v>49</v>
      </c>
      <c r="C29" s="173"/>
      <c r="D29" s="173">
        <f xml:space="preserve"> '금왕읍(5년) (물)'!F211</f>
        <v>255</v>
      </c>
      <c r="E29" s="173">
        <f>'금왕읍(5년) (물)'!F215</f>
        <v>221</v>
      </c>
      <c r="F29" s="173">
        <f>'금왕읍(5년) (물)'!F220</f>
        <v>178</v>
      </c>
      <c r="G29" s="173">
        <f>'금왕읍(5년) (물)'!F225</f>
        <v>135</v>
      </c>
      <c r="H29" s="173">
        <f>'금왕읍(5년) (물)'!F230</f>
        <v>92</v>
      </c>
      <c r="I29" s="954" t="s">
        <v>1794</v>
      </c>
    </row>
    <row r="30" spans="1:14" ht="24.95" customHeight="1">
      <c r="A30" s="2247"/>
      <c r="B30" s="186" t="s">
        <v>279</v>
      </c>
      <c r="C30" s="173"/>
      <c r="D30" s="173">
        <f>'금왕읍(5년) (물)'!G211</f>
        <v>296</v>
      </c>
      <c r="E30" s="173">
        <f>'금왕읍(5년) (물)'!G215</f>
        <v>296</v>
      </c>
      <c r="F30" s="173">
        <f>'금왕읍(5년) (물)'!G220</f>
        <v>296</v>
      </c>
      <c r="G30" s="173">
        <f>'금왕읍(5년) (물)'!G225</f>
        <v>296</v>
      </c>
      <c r="H30" s="173">
        <f>'금왕읍(5년) (물)'!G230</f>
        <v>296</v>
      </c>
      <c r="I30" s="954" t="s">
        <v>1794</v>
      </c>
      <c r="K30" s="960">
        <f>+E33</f>
        <v>281</v>
      </c>
    </row>
    <row r="31" spans="1:14" ht="24.95" customHeight="1">
      <c r="A31" s="2247"/>
      <c r="B31" s="187" t="s">
        <v>272</v>
      </c>
      <c r="C31" s="173"/>
      <c r="D31" s="173">
        <f>'금왕읍(5년) (물)'!H211</f>
        <v>235</v>
      </c>
      <c r="E31" s="173">
        <f>'금왕읍(5년) (물)'!H215</f>
        <v>203</v>
      </c>
      <c r="F31" s="173">
        <f>'금왕읍(5년) (물)'!H220</f>
        <v>166</v>
      </c>
      <c r="G31" s="173">
        <f>'금왕읍(5년) (물)'!H225</f>
        <v>134</v>
      </c>
      <c r="H31" s="173">
        <f>'금왕읍(5년) (물)'!H230</f>
        <v>106</v>
      </c>
      <c r="I31" s="954" t="s">
        <v>1794</v>
      </c>
      <c r="K31" s="961">
        <v>0.9</v>
      </c>
    </row>
    <row r="32" spans="1:14" ht="24.95" customHeight="1">
      <c r="A32" s="2249"/>
      <c r="B32" s="955" t="s">
        <v>273</v>
      </c>
      <c r="C32" s="958">
        <f>+C26</f>
        <v>0</v>
      </c>
      <c r="D32" s="179">
        <f>AVERAGEIFS(D27:D31,$I27:$I31,"")</f>
        <v>267</v>
      </c>
      <c r="E32" s="179">
        <f>AVERAGEIFS(E27:E31,$I27:$I31,"")</f>
        <v>248.5</v>
      </c>
      <c r="F32" s="179">
        <f t="shared" ref="F32" si="8">AVERAGEIFS(F27:F31,$I27:$I31,"")</f>
        <v>226.5</v>
      </c>
      <c r="G32" s="179">
        <f t="shared" ref="G32" si="9">AVERAGEIFS(G27:G31,$I27:$I31,"")</f>
        <v>205.5</v>
      </c>
      <c r="H32" s="179">
        <f t="shared" ref="H32" si="10">AVERAGEIFS(H27:H31,$I27:$I31,"")</f>
        <v>185</v>
      </c>
      <c r="I32" s="959"/>
      <c r="K32" s="962">
        <f>ROUND(+K30*K31,0)</f>
        <v>253</v>
      </c>
      <c r="N32" s="950">
        <v>220</v>
      </c>
    </row>
    <row r="33" spans="1:14" ht="24.95" customHeight="1">
      <c r="A33" s="2238" t="s">
        <v>275</v>
      </c>
      <c r="B33" s="2239"/>
      <c r="C33" s="181">
        <f>+C32</f>
        <v>0</v>
      </c>
      <c r="D33" s="825">
        <f>+D26</f>
        <v>267</v>
      </c>
      <c r="E33" s="825">
        <f t="shared" ref="E33:H33" si="11">+E26</f>
        <v>281</v>
      </c>
      <c r="F33" s="825">
        <f t="shared" si="11"/>
        <v>299.5</v>
      </c>
      <c r="G33" s="825">
        <f t="shared" si="11"/>
        <v>319</v>
      </c>
      <c r="H33" s="825">
        <f t="shared" si="11"/>
        <v>338.5</v>
      </c>
      <c r="I33" s="182"/>
      <c r="K33" s="961">
        <f>ROUND(+K32/0.8,0)</f>
        <v>316</v>
      </c>
      <c r="L33" s="950">
        <v>248</v>
      </c>
      <c r="N33" s="950">
        <v>0.9</v>
      </c>
    </row>
    <row r="34" spans="1:14" ht="24.95" customHeight="1">
      <c r="N34" s="950">
        <f>+N32*N33</f>
        <v>198</v>
      </c>
    </row>
    <row r="35" spans="1:14" ht="24" customHeight="1">
      <c r="A35" s="170" t="s">
        <v>991</v>
      </c>
      <c r="B35" s="277"/>
      <c r="C35" s="439"/>
      <c r="D35" s="439"/>
      <c r="E35" s="439"/>
      <c r="F35" s="439"/>
      <c r="G35" s="439"/>
      <c r="H35" s="439"/>
      <c r="I35" s="439"/>
      <c r="N35" s="950">
        <f>+N34/0.8</f>
        <v>247.5</v>
      </c>
    </row>
    <row r="36" spans="1:14" ht="24" customHeight="1">
      <c r="A36" s="2240" t="s">
        <v>268</v>
      </c>
      <c r="B36" s="2241"/>
      <c r="C36" s="2217" t="s">
        <v>473</v>
      </c>
      <c r="D36" s="2218"/>
      <c r="E36" s="2218"/>
      <c r="F36" s="2218"/>
      <c r="G36" s="2218"/>
      <c r="H36" s="2219"/>
      <c r="I36" s="2244" t="s">
        <v>45</v>
      </c>
      <c r="K36" s="950" t="s">
        <v>285</v>
      </c>
    </row>
    <row r="37" spans="1:14" ht="24" customHeight="1">
      <c r="A37" s="2242"/>
      <c r="B37" s="2243"/>
      <c r="C37" s="951" t="s">
        <v>869</v>
      </c>
      <c r="D37" s="952" t="s">
        <v>986</v>
      </c>
      <c r="E37" s="952" t="s">
        <v>51</v>
      </c>
      <c r="F37" s="952" t="s">
        <v>52</v>
      </c>
      <c r="G37" s="952" t="s">
        <v>269</v>
      </c>
      <c r="H37" s="952" t="s">
        <v>278</v>
      </c>
      <c r="I37" s="2245"/>
    </row>
    <row r="38" spans="1:14" ht="24" customHeight="1">
      <c r="A38" s="2246" t="s">
        <v>989</v>
      </c>
      <c r="B38" s="185" t="s">
        <v>48</v>
      </c>
      <c r="C38" s="953"/>
      <c r="D38" s="953">
        <f>'대소면(10년) (물)'!D215</f>
        <v>269</v>
      </c>
      <c r="E38" s="953">
        <f>'대소면(10년) (물)'!D219</f>
        <v>241</v>
      </c>
      <c r="F38" s="953">
        <f>'대소면(10년) (물)'!D224</f>
        <v>206</v>
      </c>
      <c r="G38" s="953">
        <f>'대소면(10년) (물)'!D229</f>
        <v>171</v>
      </c>
      <c r="H38" s="953">
        <f>'대소면(10년) (물)'!D234</f>
        <v>136</v>
      </c>
      <c r="I38" s="172"/>
    </row>
    <row r="39" spans="1:14" ht="24" customHeight="1">
      <c r="A39" s="2247"/>
      <c r="B39" s="186" t="s">
        <v>271</v>
      </c>
      <c r="C39" s="173"/>
      <c r="D39" s="953">
        <f>'대소면(10년) (물)'!E215</f>
        <v>269</v>
      </c>
      <c r="E39" s="953">
        <f>'대소면(10년) (물)'!E219</f>
        <v>244</v>
      </c>
      <c r="F39" s="953">
        <f>'대소면(10년) (물)'!E224</f>
        <v>215</v>
      </c>
      <c r="G39" s="953">
        <f>'대소면(10년) (물)'!E229</f>
        <v>191</v>
      </c>
      <c r="H39" s="953">
        <f>'대소면(10년) (물)'!E234</f>
        <v>169</v>
      </c>
      <c r="I39" s="954"/>
    </row>
    <row r="40" spans="1:14" ht="24" customHeight="1">
      <c r="A40" s="2247"/>
      <c r="B40" s="186" t="s">
        <v>49</v>
      </c>
      <c r="C40" s="173"/>
      <c r="D40" s="173">
        <f>'대소면(10년) (물)'!F215</f>
        <v>272</v>
      </c>
      <c r="E40" s="173">
        <f>'대소면(10년) (물)'!F219</f>
        <v>242</v>
      </c>
      <c r="F40" s="953">
        <f>'대소면(10년) (물)'!F224</f>
        <v>204</v>
      </c>
      <c r="G40" s="953">
        <f>'대소면(10년) (물)'!F229</f>
        <v>167</v>
      </c>
      <c r="H40" s="953">
        <f>'대소면(10년) (물)'!F234</f>
        <v>129</v>
      </c>
      <c r="I40" s="954" t="s">
        <v>1794</v>
      </c>
    </row>
    <row r="41" spans="1:14" ht="24" customHeight="1">
      <c r="A41" s="2247"/>
      <c r="B41" s="186" t="s">
        <v>279</v>
      </c>
      <c r="C41" s="173"/>
      <c r="D41" s="173">
        <f>'대소면(10년) (물)'!G215</f>
        <v>320</v>
      </c>
      <c r="E41" s="173">
        <f>'대소면(10년) (물)'!G219</f>
        <v>320</v>
      </c>
      <c r="F41" s="953">
        <f>'대소면(10년) (물)'!G224</f>
        <v>320</v>
      </c>
      <c r="G41" s="953">
        <f>'대소면(10년) (물)'!G229</f>
        <v>320</v>
      </c>
      <c r="H41" s="953">
        <f>'대소면(10년) (물)'!G234</f>
        <v>320</v>
      </c>
      <c r="I41" s="954" t="s">
        <v>1794</v>
      </c>
    </row>
    <row r="42" spans="1:14" ht="24" customHeight="1">
      <c r="A42" s="2247"/>
      <c r="B42" s="187" t="s">
        <v>272</v>
      </c>
      <c r="C42" s="173"/>
      <c r="D42" s="173">
        <f>'대소면(10년) (물)'!H215</f>
        <v>257</v>
      </c>
      <c r="E42" s="173">
        <f>'대소면(10년) (물)'!H219</f>
        <v>228</v>
      </c>
      <c r="F42" s="953">
        <f>'대소면(10년) (물)'!H224</f>
        <v>194</v>
      </c>
      <c r="G42" s="953">
        <f>'대소면(10년) (물)'!H229</f>
        <v>162</v>
      </c>
      <c r="H42" s="953">
        <f>'대소면(10년) (물)'!H234</f>
        <v>135</v>
      </c>
      <c r="I42" s="954" t="s">
        <v>1794</v>
      </c>
    </row>
    <row r="43" spans="1:14" ht="24" customHeight="1">
      <c r="A43" s="2248"/>
      <c r="B43" s="955" t="s">
        <v>273</v>
      </c>
      <c r="C43" s="956"/>
      <c r="D43" s="179">
        <f>AVERAGEIFS(D38:D42,$I38:$I42,"")</f>
        <v>269</v>
      </c>
      <c r="E43" s="179">
        <f>AVERAGEIFS(E38:E42,$I38:$I42,"")</f>
        <v>242.5</v>
      </c>
      <c r="F43" s="179">
        <f t="shared" ref="F43" si="12">AVERAGEIFS(F38:F42,$I38:$I42,"")</f>
        <v>210.5</v>
      </c>
      <c r="G43" s="179">
        <f t="shared" ref="G43" si="13">AVERAGEIFS(G38:G42,$I38:$I42,"")</f>
        <v>181</v>
      </c>
      <c r="H43" s="179">
        <f t="shared" ref="H43" si="14">AVERAGEIFS(H38:H42,$I38:$I42,"")</f>
        <v>152.5</v>
      </c>
      <c r="I43" s="957"/>
    </row>
    <row r="44" spans="1:14" ht="24" customHeight="1">
      <c r="A44" s="2224" t="s">
        <v>274</v>
      </c>
      <c r="B44" s="185" t="s">
        <v>48</v>
      </c>
      <c r="C44" s="177"/>
      <c r="D44" s="177">
        <f>'대소면(5년) (물)'!D211</f>
        <v>269</v>
      </c>
      <c r="E44" s="177">
        <f>'대소면(5년) (물)'!D215</f>
        <v>243</v>
      </c>
      <c r="F44" s="177">
        <f>'대소면(5년) (물)'!D220</f>
        <v>210</v>
      </c>
      <c r="G44" s="177">
        <f>'대소면(5년) (물)'!D225</f>
        <v>178</v>
      </c>
      <c r="H44" s="177">
        <f>'대소면(5년) (물)'!D230</f>
        <v>145</v>
      </c>
      <c r="I44" s="178"/>
    </row>
    <row r="45" spans="1:14" ht="24" customHeight="1">
      <c r="A45" s="2247"/>
      <c r="B45" s="186" t="s">
        <v>271</v>
      </c>
      <c r="C45" s="173"/>
      <c r="D45" s="173">
        <f xml:space="preserve">  '대소면(5년) (물)'!E211</f>
        <v>269</v>
      </c>
      <c r="E45" s="173">
        <f>'대소면(5년) (물)'!E215</f>
        <v>245</v>
      </c>
      <c r="F45" s="173">
        <f>'대소면(5년) (물)'!E220</f>
        <v>218</v>
      </c>
      <c r="G45" s="173">
        <f>'대소면(5년) (물)'!E225</f>
        <v>194</v>
      </c>
      <c r="H45" s="173">
        <f>'대소면(5년) (물)'!E230</f>
        <v>173</v>
      </c>
      <c r="I45" s="954"/>
    </row>
    <row r="46" spans="1:14" ht="24" customHeight="1">
      <c r="A46" s="2247"/>
      <c r="B46" s="186" t="s">
        <v>49</v>
      </c>
      <c r="C46" s="173"/>
      <c r="D46" s="173">
        <f xml:space="preserve"> '대소면(5년) (물)'!F211</f>
        <v>269</v>
      </c>
      <c r="E46" s="173">
        <f>'대소면(5년) (물)'!F215</f>
        <v>231</v>
      </c>
      <c r="F46" s="173">
        <f>'대소면(5년) (물)'!F220</f>
        <v>184</v>
      </c>
      <c r="G46" s="173">
        <f>'대소면(5년) (물)'!F225</f>
        <v>137</v>
      </c>
      <c r="H46" s="173">
        <f>'대소면(5년) (물)'!F230</f>
        <v>90</v>
      </c>
      <c r="I46" s="954" t="s">
        <v>1794</v>
      </c>
    </row>
    <row r="47" spans="1:14" ht="24" customHeight="1">
      <c r="A47" s="2247"/>
      <c r="B47" s="186" t="s">
        <v>992</v>
      </c>
      <c r="C47" s="173"/>
      <c r="D47" s="173">
        <f>'대소면(5년) (물)'!G211</f>
        <v>303</v>
      </c>
      <c r="E47" s="173">
        <f>'대소면(5년) (물)'!G215</f>
        <v>302</v>
      </c>
      <c r="F47" s="173">
        <f>'대소면(5년) (물)'!G220</f>
        <v>302</v>
      </c>
      <c r="G47" s="173">
        <f>'대소면(5년) (물)'!G225</f>
        <v>301</v>
      </c>
      <c r="H47" s="173">
        <f>'대소면(5년) (물)'!G230</f>
        <v>301</v>
      </c>
      <c r="I47" s="954" t="s">
        <v>1794</v>
      </c>
      <c r="K47" s="960">
        <f>+E50</f>
        <v>242.5</v>
      </c>
    </row>
    <row r="48" spans="1:14" ht="24" customHeight="1">
      <c r="A48" s="2247"/>
      <c r="B48" s="187" t="s">
        <v>272</v>
      </c>
      <c r="C48" s="173"/>
      <c r="D48" s="173">
        <f>'대소면(5년) (물)'!H211</f>
        <v>246</v>
      </c>
      <c r="E48" s="173">
        <f>'대소면(5년) (물)'!H215</f>
        <v>210</v>
      </c>
      <c r="F48" s="173">
        <f>'대소면(5년) (물)'!H220</f>
        <v>170</v>
      </c>
      <c r="G48" s="173">
        <f>'대소면(5년) (물)'!H225</f>
        <v>134</v>
      </c>
      <c r="H48" s="173">
        <f>'대소면(5년) (물)'!H230</f>
        <v>105</v>
      </c>
      <c r="I48" s="954" t="s">
        <v>1794</v>
      </c>
      <c r="K48" s="961">
        <v>0.9</v>
      </c>
    </row>
    <row r="49" spans="1:12" ht="24" customHeight="1">
      <c r="A49" s="2249"/>
      <c r="B49" s="955" t="s">
        <v>273</v>
      </c>
      <c r="C49" s="958"/>
      <c r="D49" s="179">
        <f>AVERAGEIFS(D44:D48,$I44:$I48,"")</f>
        <v>269</v>
      </c>
      <c r="E49" s="179">
        <f>AVERAGEIFS(E44:E48,$I44:$I48,"")</f>
        <v>244</v>
      </c>
      <c r="F49" s="179">
        <f t="shared" ref="F49" si="15">AVERAGEIFS(F44:F48,$I44:$I48,"")</f>
        <v>214</v>
      </c>
      <c r="G49" s="179">
        <f t="shared" ref="G49" si="16">AVERAGEIFS(G44:G48,$I44:$I48,"")</f>
        <v>186</v>
      </c>
      <c r="H49" s="179">
        <f t="shared" ref="H49" si="17">AVERAGEIFS(H44:H48,$I44:$I48,"")</f>
        <v>159</v>
      </c>
      <c r="I49" s="959"/>
      <c r="K49" s="962">
        <f>ROUND(+K47*K48,0)</f>
        <v>218</v>
      </c>
    </row>
    <row r="50" spans="1:12" ht="24" customHeight="1">
      <c r="A50" s="2238" t="s">
        <v>275</v>
      </c>
      <c r="B50" s="2239"/>
      <c r="C50" s="181">
        <f>+C43</f>
        <v>0</v>
      </c>
      <c r="D50" s="825">
        <f>+D43</f>
        <v>269</v>
      </c>
      <c r="E50" s="825">
        <f t="shared" ref="E50:H50" si="18">+E43</f>
        <v>242.5</v>
      </c>
      <c r="F50" s="825">
        <f t="shared" si="18"/>
        <v>210.5</v>
      </c>
      <c r="G50" s="825">
        <f t="shared" si="18"/>
        <v>181</v>
      </c>
      <c r="H50" s="825">
        <f t="shared" si="18"/>
        <v>152.5</v>
      </c>
      <c r="I50" s="182"/>
      <c r="K50" s="961">
        <f>ROUND(+K49/0.8,0)</f>
        <v>273</v>
      </c>
      <c r="L50" s="950">
        <v>215</v>
      </c>
    </row>
    <row r="51" spans="1:12" ht="24" customHeight="1"/>
    <row r="52" spans="1:12" ht="24" customHeight="1">
      <c r="A52" s="170" t="s">
        <v>993</v>
      </c>
      <c r="B52" s="277"/>
      <c r="C52" s="439"/>
      <c r="D52" s="439"/>
      <c r="E52" s="439"/>
      <c r="F52" s="439"/>
      <c r="G52" s="439"/>
      <c r="H52" s="439"/>
      <c r="I52" s="439"/>
    </row>
    <row r="53" spans="1:12" ht="24" customHeight="1">
      <c r="A53" s="2240" t="s">
        <v>268</v>
      </c>
      <c r="B53" s="2241"/>
      <c r="C53" s="2217" t="s">
        <v>994</v>
      </c>
      <c r="D53" s="2218"/>
      <c r="E53" s="2218"/>
      <c r="F53" s="2218"/>
      <c r="G53" s="2218"/>
      <c r="H53" s="2219"/>
      <c r="I53" s="2244" t="s">
        <v>45</v>
      </c>
    </row>
    <row r="54" spans="1:12" ht="24" customHeight="1">
      <c r="A54" s="2242"/>
      <c r="B54" s="2243"/>
      <c r="C54" s="951" t="s">
        <v>995</v>
      </c>
      <c r="D54" s="952" t="s">
        <v>996</v>
      </c>
      <c r="E54" s="952" t="s">
        <v>51</v>
      </c>
      <c r="F54" s="952" t="s">
        <v>52</v>
      </c>
      <c r="G54" s="952" t="s">
        <v>269</v>
      </c>
      <c r="H54" s="952" t="s">
        <v>997</v>
      </c>
      <c r="I54" s="2245"/>
    </row>
    <row r="55" spans="1:12" ht="24" customHeight="1">
      <c r="A55" s="2246" t="s">
        <v>998</v>
      </c>
      <c r="B55" s="185" t="s">
        <v>48</v>
      </c>
      <c r="C55" s="953"/>
      <c r="D55" s="953">
        <f>'삼성면(10년) (물)'!D215</f>
        <v>214</v>
      </c>
      <c r="E55" s="953">
        <f>'삼성면(10년) (물)'!D219</f>
        <v>257</v>
      </c>
      <c r="F55" s="953">
        <f>'삼성면(10년) (물)'!D224</f>
        <v>311</v>
      </c>
      <c r="G55" s="953">
        <f>'삼성면(10년) (물)'!D229</f>
        <v>364</v>
      </c>
      <c r="H55" s="953">
        <f>'삼성면(10년) (물)'!D234</f>
        <v>418</v>
      </c>
      <c r="I55" s="172"/>
    </row>
    <row r="56" spans="1:12" ht="24" customHeight="1">
      <c r="A56" s="2247"/>
      <c r="B56" s="186" t="s">
        <v>271</v>
      </c>
      <c r="C56" s="173"/>
      <c r="D56" s="953">
        <f>'삼성면(10년) (물)'!E215</f>
        <v>214</v>
      </c>
      <c r="E56" s="953">
        <f>'삼성면(10년) (물)'!E219</f>
        <v>270</v>
      </c>
      <c r="F56" s="953">
        <f>'삼성면(10년) (물)'!E224</f>
        <v>360</v>
      </c>
      <c r="G56" s="953">
        <f>'삼성면(10년) (물)'!E229</f>
        <v>480</v>
      </c>
      <c r="H56" s="953">
        <f>'삼성면(10년) (물)'!E234</f>
        <v>640</v>
      </c>
      <c r="I56" s="954"/>
    </row>
    <row r="57" spans="1:12" ht="24" customHeight="1">
      <c r="A57" s="2247"/>
      <c r="B57" s="186" t="s">
        <v>49</v>
      </c>
      <c r="C57" s="173"/>
      <c r="D57" s="173">
        <f>'삼성면(10년) (물)'!F215</f>
        <v>225</v>
      </c>
      <c r="E57" s="173">
        <f>'삼성면(10년) (물)'!F219</f>
        <v>219</v>
      </c>
      <c r="F57" s="953">
        <f>'삼성면(10년) (물)'!F224</f>
        <v>211</v>
      </c>
      <c r="G57" s="953">
        <f>'삼성면(10년) (물)'!F229</f>
        <v>204</v>
      </c>
      <c r="H57" s="953">
        <f>'삼성면(10년) (물)'!F234</f>
        <v>196</v>
      </c>
      <c r="I57" s="954" t="s">
        <v>1794</v>
      </c>
    </row>
    <row r="58" spans="1:12" ht="24" customHeight="1">
      <c r="A58" s="2247"/>
      <c r="B58" s="186" t="s">
        <v>992</v>
      </c>
      <c r="C58" s="173"/>
      <c r="D58" s="173">
        <f>'삼성면(10년) (물)'!G215</f>
        <v>169</v>
      </c>
      <c r="E58" s="173">
        <f>'삼성면(10년) (물)'!G219</f>
        <v>164</v>
      </c>
      <c r="F58" s="953">
        <f>'삼성면(10년) (물)'!G224</f>
        <v>162</v>
      </c>
      <c r="G58" s="953">
        <f>'삼성면(10년) (물)'!G229</f>
        <v>162</v>
      </c>
      <c r="H58" s="953">
        <f>'삼성면(10년) (물)'!G234</f>
        <v>162</v>
      </c>
      <c r="I58" s="954" t="s">
        <v>1794</v>
      </c>
    </row>
    <row r="59" spans="1:12" ht="24" customHeight="1">
      <c r="A59" s="2247"/>
      <c r="B59" s="187" t="s">
        <v>272</v>
      </c>
      <c r="C59" s="173"/>
      <c r="D59" s="173">
        <f>'삼성면(10년) (물)'!H215</f>
        <v>224</v>
      </c>
      <c r="E59" s="173">
        <f>'삼성면(10년) (물)'!H219</f>
        <v>222</v>
      </c>
      <c r="F59" s="953">
        <f>'삼성면(10년) (물)'!H224</f>
        <v>220</v>
      </c>
      <c r="G59" s="953">
        <f>'삼성면(10년) (물)'!H229</f>
        <v>217</v>
      </c>
      <c r="H59" s="953">
        <f>'삼성면(10년) (물)'!H234</f>
        <v>214</v>
      </c>
      <c r="I59" s="954" t="s">
        <v>1794</v>
      </c>
    </row>
    <row r="60" spans="1:12" ht="24" customHeight="1">
      <c r="A60" s="2248"/>
      <c r="B60" s="955" t="s">
        <v>273</v>
      </c>
      <c r="C60" s="956"/>
      <c r="D60" s="179">
        <f>AVERAGEIFS(D55:D59,$I55:$I59,"")</f>
        <v>214</v>
      </c>
      <c r="E60" s="179">
        <f>AVERAGEIFS(E55:E59,$I55:$I59,"")</f>
        <v>263.5</v>
      </c>
      <c r="F60" s="179">
        <f t="shared" ref="F60" si="19">AVERAGEIFS(F55:F59,$I55:$I59,"")</f>
        <v>335.5</v>
      </c>
      <c r="G60" s="179">
        <f t="shared" ref="G60" si="20">AVERAGEIFS(G55:G59,$I55:$I59,"")</f>
        <v>422</v>
      </c>
      <c r="H60" s="179">
        <f t="shared" ref="H60" si="21">AVERAGEIFS(H55:H59,$I55:$I59,"")</f>
        <v>529</v>
      </c>
      <c r="I60" s="957"/>
    </row>
    <row r="61" spans="1:12" ht="24" customHeight="1">
      <c r="A61" s="2224" t="s">
        <v>274</v>
      </c>
      <c r="B61" s="185" t="s">
        <v>48</v>
      </c>
      <c r="C61" s="177"/>
      <c r="D61" s="177">
        <f>'삼성면(5년) (물)'!D211</f>
        <v>214</v>
      </c>
      <c r="E61" s="177">
        <f>'삼성면(5년) (물)'!D215</f>
        <v>144</v>
      </c>
      <c r="F61" s="177">
        <f>'삼성면(5년) (물)'!D220</f>
        <v>57</v>
      </c>
      <c r="G61" s="177">
        <f>'삼성면(5년) (물)'!D225</f>
        <v>-31</v>
      </c>
      <c r="H61" s="177">
        <f>'삼성면(5년) (물)'!D230</f>
        <v>-118</v>
      </c>
      <c r="I61" s="178"/>
    </row>
    <row r="62" spans="1:12" ht="24" customHeight="1">
      <c r="A62" s="2247"/>
      <c r="B62" s="186" t="s">
        <v>271</v>
      </c>
      <c r="C62" s="173"/>
      <c r="D62" s="173">
        <f xml:space="preserve">  '삼성면(5년) (물)'!E211</f>
        <v>214</v>
      </c>
      <c r="E62" s="173">
        <f>'삼성면(5년) (물)'!E215</f>
        <v>162</v>
      </c>
      <c r="F62" s="173">
        <f>'삼성면(5년) (물)'!E220</f>
        <v>113</v>
      </c>
      <c r="G62" s="173">
        <f>'삼성면(5년) (물)'!E225</f>
        <v>80</v>
      </c>
      <c r="H62" s="173">
        <f>'삼성면(5년) (물)'!E230</f>
        <v>56</v>
      </c>
      <c r="I62" s="954"/>
    </row>
    <row r="63" spans="1:12" ht="24" customHeight="1">
      <c r="A63" s="2247"/>
      <c r="B63" s="186" t="s">
        <v>49</v>
      </c>
      <c r="C63" s="173"/>
      <c r="D63" s="173">
        <f xml:space="preserve"> '삼성면(5년) (물)'!F211</f>
        <v>197</v>
      </c>
      <c r="E63" s="173">
        <f>'삼성면(5년) (물)'!F215</f>
        <v>105</v>
      </c>
      <c r="F63" s="173">
        <f>'삼성면(5년) (물)'!F220</f>
        <v>-11</v>
      </c>
      <c r="G63" s="173">
        <f>'삼성면(5년) (물)'!F225</f>
        <v>-126</v>
      </c>
      <c r="H63" s="173">
        <f>'삼성면(5년) (물)'!F230</f>
        <v>-241</v>
      </c>
      <c r="I63" s="954" t="s">
        <v>1794</v>
      </c>
    </row>
    <row r="64" spans="1:12" ht="24" customHeight="1">
      <c r="A64" s="2247"/>
      <c r="B64" s="186" t="s">
        <v>992</v>
      </c>
      <c r="C64" s="173"/>
      <c r="D64" s="173">
        <f>'삼성면(5년) (물)'!G211</f>
        <v>325</v>
      </c>
      <c r="E64" s="173">
        <f>'삼성면(5년) (물)'!G215</f>
        <v>373</v>
      </c>
      <c r="F64" s="173">
        <f>'삼성면(5년) (물)'!G220</f>
        <v>437</v>
      </c>
      <c r="G64" s="173">
        <f>'삼성면(5년) (물)'!G225</f>
        <v>506</v>
      </c>
      <c r="H64" s="173">
        <f>'삼성면(5년) (물)'!G230</f>
        <v>577</v>
      </c>
      <c r="I64" s="954" t="s">
        <v>1794</v>
      </c>
      <c r="K64" s="960">
        <f>+E67</f>
        <v>263.5</v>
      </c>
    </row>
    <row r="65" spans="1:14" ht="24" customHeight="1">
      <c r="A65" s="2247"/>
      <c r="B65" s="187" t="s">
        <v>272</v>
      </c>
      <c r="C65" s="173"/>
      <c r="D65" s="173">
        <f>'삼성면(5년) (물)'!H211</f>
        <v>149</v>
      </c>
      <c r="E65" s="173">
        <f>'삼성면(5년) (물)'!H215</f>
        <v>90</v>
      </c>
      <c r="F65" s="173">
        <f>'삼성면(5년) (물)'!H220</f>
        <v>44</v>
      </c>
      <c r="G65" s="173">
        <f>'삼성면(5년) (물)'!H225</f>
        <v>21</v>
      </c>
      <c r="H65" s="173">
        <f>'삼성면(5년) (물)'!H230</f>
        <v>10</v>
      </c>
      <c r="I65" s="954" t="s">
        <v>1794</v>
      </c>
      <c r="K65" s="961">
        <v>0.9</v>
      </c>
    </row>
    <row r="66" spans="1:14" ht="24" customHeight="1">
      <c r="A66" s="2249"/>
      <c r="B66" s="955" t="s">
        <v>273</v>
      </c>
      <c r="C66" s="958">
        <f>+C60</f>
        <v>0</v>
      </c>
      <c r="D66" s="179">
        <f>AVERAGEIFS(D61:D65,$I61:$I65,"")</f>
        <v>214</v>
      </c>
      <c r="E66" s="179">
        <f>AVERAGEIFS(E61:E65,$I61:$I65,"")</f>
        <v>153</v>
      </c>
      <c r="F66" s="179">
        <f t="shared" ref="F66" si="22">AVERAGEIFS(F61:F65,$I61:$I65,"")</f>
        <v>85</v>
      </c>
      <c r="G66" s="179">
        <f t="shared" ref="G66" si="23">AVERAGEIFS(G61:G65,$I61:$I65,"")</f>
        <v>24.5</v>
      </c>
      <c r="H66" s="179">
        <f t="shared" ref="H66" si="24">AVERAGEIFS(H61:H65,$I61:$I65,"")</f>
        <v>-31</v>
      </c>
      <c r="I66" s="959"/>
      <c r="K66" s="962">
        <f>ROUND(+K64*K65,0)</f>
        <v>237</v>
      </c>
    </row>
    <row r="67" spans="1:14" ht="24" customHeight="1">
      <c r="A67" s="2238" t="s">
        <v>275</v>
      </c>
      <c r="B67" s="2239"/>
      <c r="C67" s="181">
        <f>+C60</f>
        <v>0</v>
      </c>
      <c r="D67" s="825">
        <f>+D60</f>
        <v>214</v>
      </c>
      <c r="E67" s="825">
        <f t="shared" ref="E67:H67" si="25">+E60</f>
        <v>263.5</v>
      </c>
      <c r="F67" s="825">
        <f t="shared" si="25"/>
        <v>335.5</v>
      </c>
      <c r="G67" s="825">
        <f t="shared" si="25"/>
        <v>422</v>
      </c>
      <c r="H67" s="825">
        <f t="shared" si="25"/>
        <v>529</v>
      </c>
      <c r="I67" s="182"/>
      <c r="K67" s="961">
        <f>ROUND(+K66/0.8,0)</f>
        <v>296</v>
      </c>
    </row>
    <row r="68" spans="1:14" ht="24.95" customHeight="1">
      <c r="N68" s="950">
        <f>+N66*N67</f>
        <v>0</v>
      </c>
    </row>
    <row r="69" spans="1:14" ht="24" customHeight="1">
      <c r="A69" s="170" t="s">
        <v>999</v>
      </c>
      <c r="B69" s="277"/>
      <c r="C69" s="439"/>
      <c r="D69" s="439"/>
      <c r="E69" s="439"/>
      <c r="F69" s="439"/>
      <c r="G69" s="439"/>
      <c r="H69" s="439"/>
      <c r="I69" s="439"/>
      <c r="N69" s="950">
        <f>+N68/0.8</f>
        <v>0</v>
      </c>
    </row>
    <row r="70" spans="1:14" ht="24" customHeight="1">
      <c r="A70" s="2240" t="s">
        <v>268</v>
      </c>
      <c r="B70" s="2241"/>
      <c r="C70" s="2217" t="s">
        <v>1000</v>
      </c>
      <c r="D70" s="2218"/>
      <c r="E70" s="2218"/>
      <c r="F70" s="2218"/>
      <c r="G70" s="2218"/>
      <c r="H70" s="2219"/>
      <c r="I70" s="2244" t="s">
        <v>45</v>
      </c>
      <c r="K70" s="950" t="s">
        <v>1001</v>
      </c>
    </row>
    <row r="71" spans="1:14" ht="24" customHeight="1">
      <c r="A71" s="2242"/>
      <c r="B71" s="2243"/>
      <c r="C71" s="951" t="s">
        <v>1002</v>
      </c>
      <c r="D71" s="952" t="s">
        <v>987</v>
      </c>
      <c r="E71" s="952" t="s">
        <v>51</v>
      </c>
      <c r="F71" s="952" t="s">
        <v>52</v>
      </c>
      <c r="G71" s="952" t="s">
        <v>269</v>
      </c>
      <c r="H71" s="952" t="s">
        <v>1003</v>
      </c>
      <c r="I71" s="2245"/>
    </row>
    <row r="72" spans="1:14" ht="24" customHeight="1">
      <c r="A72" s="2246" t="s">
        <v>1004</v>
      </c>
      <c r="B72" s="185" t="s">
        <v>48</v>
      </c>
      <c r="C72" s="953"/>
      <c r="D72" s="953">
        <f>'생극면(10년) (물)'!D215</f>
        <v>215</v>
      </c>
      <c r="E72" s="953">
        <f>'생극면(10년) (물)'!D219</f>
        <v>133</v>
      </c>
      <c r="F72" s="953">
        <f>'생극면(10년) (물)'!D224</f>
        <v>29</v>
      </c>
      <c r="G72" s="953">
        <f>'생극면(10년) (물)'!D229</f>
        <v>-74</v>
      </c>
      <c r="H72" s="953">
        <f>'생극면(10년) (물)'!D234</f>
        <v>-178</v>
      </c>
      <c r="I72" s="172"/>
    </row>
    <row r="73" spans="1:14" ht="24" customHeight="1">
      <c r="A73" s="2247"/>
      <c r="B73" s="186" t="s">
        <v>271</v>
      </c>
      <c r="C73" s="173"/>
      <c r="D73" s="953">
        <f>'생극면(10년) (물)'!E215</f>
        <v>215</v>
      </c>
      <c r="E73" s="953">
        <f>'생극면(10년) (물)'!E219</f>
        <v>157</v>
      </c>
      <c r="F73" s="953">
        <f>'생극면(10년) (물)'!E224</f>
        <v>106</v>
      </c>
      <c r="G73" s="953">
        <f>'생극면(10년) (물)'!E229</f>
        <v>72</v>
      </c>
      <c r="H73" s="953">
        <f>'생극면(10년) (물)'!E234</f>
        <v>48</v>
      </c>
      <c r="I73" s="954"/>
    </row>
    <row r="74" spans="1:14" ht="24" customHeight="1">
      <c r="A74" s="2247"/>
      <c r="B74" s="186" t="s">
        <v>49</v>
      </c>
      <c r="C74" s="173"/>
      <c r="D74" s="173">
        <f>'생극면(10년) (물)'!F215</f>
        <v>227</v>
      </c>
      <c r="E74" s="173">
        <f>'생극면(10년) (물)'!F219</f>
        <v>161</v>
      </c>
      <c r="F74" s="953">
        <f>'생극면(10년) (물)'!F224</f>
        <v>80</v>
      </c>
      <c r="G74" s="953">
        <f>'생극면(10년) (물)'!F229</f>
        <v>-3</v>
      </c>
      <c r="H74" s="953">
        <f>'생극면(10년) (물)'!F234</f>
        <v>-85</v>
      </c>
      <c r="I74" s="954" t="s">
        <v>1794</v>
      </c>
    </row>
    <row r="75" spans="1:14" ht="24" customHeight="1">
      <c r="A75" s="2247"/>
      <c r="B75" s="186" t="s">
        <v>992</v>
      </c>
      <c r="C75" s="173"/>
      <c r="D75" s="173">
        <f>'생극면(10년) (물)'!G215</f>
        <v>344</v>
      </c>
      <c r="E75" s="173">
        <f>'생극면(10년) (물)'!G219</f>
        <v>337</v>
      </c>
      <c r="F75" s="953">
        <f>'생극면(10년) (물)'!G224</f>
        <v>333</v>
      </c>
      <c r="G75" s="953">
        <f>'생극면(10년) (물)'!G229</f>
        <v>331</v>
      </c>
      <c r="H75" s="953">
        <f>'생극면(10년) (물)'!G234</f>
        <v>330</v>
      </c>
      <c r="I75" s="954" t="s">
        <v>1794</v>
      </c>
    </row>
    <row r="76" spans="1:14" ht="24" customHeight="1">
      <c r="A76" s="2247"/>
      <c r="B76" s="187" t="s">
        <v>272</v>
      </c>
      <c r="C76" s="173"/>
      <c r="D76" s="173">
        <f>'생극면(10년) (물)'!H215</f>
        <v>196</v>
      </c>
      <c r="E76" s="173">
        <f>'생극면(10년) (물)'!H219</f>
        <v>143</v>
      </c>
      <c r="F76" s="953">
        <f>'생극면(10년) (물)'!H224</f>
        <v>91</v>
      </c>
      <c r="G76" s="953">
        <f>'생극면(10년) (물)'!H229</f>
        <v>56</v>
      </c>
      <c r="H76" s="953">
        <f>'생극면(10년) (물)'!H234</f>
        <v>34</v>
      </c>
      <c r="I76" s="954" t="s">
        <v>1794</v>
      </c>
    </row>
    <row r="77" spans="1:14" ht="24" customHeight="1">
      <c r="A77" s="2248"/>
      <c r="B77" s="955" t="s">
        <v>273</v>
      </c>
      <c r="C77" s="956">
        <f>+'[6]이월면(10년) (사)'!D50</f>
        <v>0</v>
      </c>
      <c r="D77" s="179">
        <f>AVERAGEIFS(D72:D76,$I72:$I76,"")</f>
        <v>215</v>
      </c>
      <c r="E77" s="179">
        <f>AVERAGEIFS(E72:E76,$I72:$I76,"")</f>
        <v>145</v>
      </c>
      <c r="F77" s="179">
        <f t="shared" ref="F77" si="26">AVERAGEIFS(F72:F76,$I72:$I76,"")</f>
        <v>67.5</v>
      </c>
      <c r="G77" s="179">
        <f t="shared" ref="G77" si="27">AVERAGEIFS(G72:G76,$I72:$I76,"")</f>
        <v>-1</v>
      </c>
      <c r="H77" s="179">
        <f t="shared" ref="H77" si="28">AVERAGEIFS(H72:H76,$I72:$I76,"")</f>
        <v>-65</v>
      </c>
      <c r="I77" s="957"/>
    </row>
    <row r="78" spans="1:14" ht="24" customHeight="1">
      <c r="A78" s="2224" t="s">
        <v>274</v>
      </c>
      <c r="B78" s="185" t="s">
        <v>48</v>
      </c>
      <c r="C78" s="177"/>
      <c r="D78" s="177">
        <f>'생극면(5년) (물)'!D211</f>
        <v>215</v>
      </c>
      <c r="E78" s="177">
        <f>'생극면(5년) (물)'!D215</f>
        <v>174</v>
      </c>
      <c r="F78" s="177">
        <f>'생극면(5년) (물)'!D220</f>
        <v>122</v>
      </c>
      <c r="G78" s="177">
        <f>'생극면(5년) (물)'!D225</f>
        <v>70</v>
      </c>
      <c r="H78" s="177">
        <f>'생극면(5년) (물)'!D230</f>
        <v>18</v>
      </c>
      <c r="I78" s="178"/>
    </row>
    <row r="79" spans="1:14" ht="24" customHeight="1">
      <c r="A79" s="2247"/>
      <c r="B79" s="186" t="s">
        <v>271</v>
      </c>
      <c r="C79" s="173"/>
      <c r="D79" s="173">
        <f xml:space="preserve">  '생극면(5년) (물)'!E211</f>
        <v>215</v>
      </c>
      <c r="E79" s="173">
        <f>'생극면(5년) (물)'!E215</f>
        <v>181</v>
      </c>
      <c r="F79" s="173">
        <f>'생극면(5년) (물)'!E220</f>
        <v>145</v>
      </c>
      <c r="G79" s="173">
        <f>'생극면(5년) (물)'!E225</f>
        <v>116</v>
      </c>
      <c r="H79" s="173">
        <f>'생극면(5년) (물)'!E230</f>
        <v>93</v>
      </c>
      <c r="I79" s="954"/>
    </row>
    <row r="80" spans="1:14" ht="24" customHeight="1">
      <c r="A80" s="2247"/>
      <c r="B80" s="186" t="s">
        <v>49</v>
      </c>
      <c r="C80" s="173"/>
      <c r="D80" s="173">
        <f xml:space="preserve"> '생극면(5년) (물)'!F211</f>
        <v>230</v>
      </c>
      <c r="E80" s="173">
        <f>'생극면(5년) (물)'!F215</f>
        <v>175</v>
      </c>
      <c r="F80" s="173">
        <f>'생극면(5년) (물)'!F220</f>
        <v>106</v>
      </c>
      <c r="G80" s="173">
        <f>'생극면(5년) (물)'!F225</f>
        <v>37</v>
      </c>
      <c r="H80" s="173">
        <f>'생극면(5년) (물)'!F230</f>
        <v>-33</v>
      </c>
      <c r="I80" s="954" t="s">
        <v>1794</v>
      </c>
    </row>
    <row r="81" spans="1:12" ht="24" customHeight="1">
      <c r="A81" s="2247"/>
      <c r="B81" s="186" t="s">
        <v>992</v>
      </c>
      <c r="C81" s="173"/>
      <c r="D81" s="173">
        <f>'생극면(5년) (물)'!G211</f>
        <v>266</v>
      </c>
      <c r="E81" s="173">
        <f>'생극면(5년) (물)'!G215</f>
        <v>265</v>
      </c>
      <c r="F81" s="173">
        <f>'생극면(5년) (물)'!G220</f>
        <v>264</v>
      </c>
      <c r="G81" s="173">
        <f>'생극면(5년) (물)'!G225</f>
        <v>264</v>
      </c>
      <c r="H81" s="173">
        <f>'생극면(5년) (물)'!G230</f>
        <v>264</v>
      </c>
      <c r="I81" s="954" t="s">
        <v>1794</v>
      </c>
      <c r="K81" s="960">
        <f>+E84</f>
        <v>177.5</v>
      </c>
    </row>
    <row r="82" spans="1:12" ht="24" customHeight="1">
      <c r="A82" s="2247"/>
      <c r="B82" s="187" t="s">
        <v>272</v>
      </c>
      <c r="C82" s="173"/>
      <c r="D82" s="173">
        <f>'생극면(5년) (물)'!H211</f>
        <v>197</v>
      </c>
      <c r="E82" s="173">
        <f>'생극면(5년) (물)'!H215</f>
        <v>150</v>
      </c>
      <c r="F82" s="173">
        <f>'생극면(5년) (물)'!H220</f>
        <v>103</v>
      </c>
      <c r="G82" s="173">
        <f>'생극면(5년) (물)'!H225</f>
        <v>69</v>
      </c>
      <c r="H82" s="173">
        <f>'생극면(5년) (물)'!H230</f>
        <v>45</v>
      </c>
      <c r="I82" s="954" t="s">
        <v>1794</v>
      </c>
      <c r="K82" s="961">
        <v>0.9</v>
      </c>
    </row>
    <row r="83" spans="1:12" ht="24" customHeight="1">
      <c r="A83" s="2249"/>
      <c r="B83" s="955" t="s">
        <v>273</v>
      </c>
      <c r="C83" s="958">
        <f>+'[6]이월면(5년) (사)'!D45</f>
        <v>0</v>
      </c>
      <c r="D83" s="179">
        <f>AVERAGEIFS(D78:D82,$I78:$I82,"")</f>
        <v>215</v>
      </c>
      <c r="E83" s="179">
        <f>AVERAGEIFS(E78:E82,$I78:$I82,"")</f>
        <v>177.5</v>
      </c>
      <c r="F83" s="179">
        <f t="shared" ref="F83" si="29">AVERAGEIFS(F78:F82,$I78:$I82,"")</f>
        <v>133.5</v>
      </c>
      <c r="G83" s="179">
        <f t="shared" ref="G83" si="30">AVERAGEIFS(G78:G82,$I78:$I82,"")</f>
        <v>93</v>
      </c>
      <c r="H83" s="179">
        <f t="shared" ref="H83" si="31">AVERAGEIFS(H78:H82,$I78:$I82,"")</f>
        <v>55.5</v>
      </c>
      <c r="I83" s="959"/>
      <c r="K83" s="962">
        <f>ROUND(+K81*K82,0)</f>
        <v>160</v>
      </c>
    </row>
    <row r="84" spans="1:12" ht="24" customHeight="1">
      <c r="A84" s="2238" t="s">
        <v>275</v>
      </c>
      <c r="B84" s="2239"/>
      <c r="C84" s="181">
        <f>+C77</f>
        <v>0</v>
      </c>
      <c r="D84" s="825">
        <f>D83</f>
        <v>215</v>
      </c>
      <c r="E84" s="825">
        <f t="shared" ref="E84:H84" si="32">E83</f>
        <v>177.5</v>
      </c>
      <c r="F84" s="825">
        <f t="shared" si="32"/>
        <v>133.5</v>
      </c>
      <c r="G84" s="825">
        <f t="shared" si="32"/>
        <v>93</v>
      </c>
      <c r="H84" s="825">
        <f t="shared" si="32"/>
        <v>55.5</v>
      </c>
      <c r="I84" s="182"/>
      <c r="K84" s="961">
        <f>ROUND(+K83/0.8,0)</f>
        <v>200</v>
      </c>
      <c r="L84" s="950">
        <v>215</v>
      </c>
    </row>
    <row r="85" spans="1:12" ht="24" customHeight="1"/>
    <row r="86" spans="1:12" ht="24" customHeight="1">
      <c r="A86" s="170" t="s">
        <v>1005</v>
      </c>
      <c r="B86" s="277"/>
      <c r="C86" s="439"/>
      <c r="D86" s="439"/>
      <c r="E86" s="439"/>
      <c r="F86" s="439"/>
      <c r="G86" s="439"/>
      <c r="H86" s="439"/>
      <c r="I86" s="439"/>
    </row>
    <row r="87" spans="1:12" ht="24" customHeight="1">
      <c r="A87" s="2240" t="s">
        <v>268</v>
      </c>
      <c r="B87" s="2241"/>
      <c r="C87" s="2217" t="s">
        <v>473</v>
      </c>
      <c r="D87" s="2218"/>
      <c r="E87" s="2218"/>
      <c r="F87" s="2218"/>
      <c r="G87" s="2218"/>
      <c r="H87" s="2219"/>
      <c r="I87" s="2244" t="s">
        <v>45</v>
      </c>
    </row>
    <row r="88" spans="1:12" ht="24" customHeight="1">
      <c r="A88" s="2242"/>
      <c r="B88" s="2243"/>
      <c r="C88" s="951" t="s">
        <v>869</v>
      </c>
      <c r="D88" s="952" t="s">
        <v>986</v>
      </c>
      <c r="E88" s="952" t="s">
        <v>51</v>
      </c>
      <c r="F88" s="952" t="s">
        <v>52</v>
      </c>
      <c r="G88" s="952" t="s">
        <v>269</v>
      </c>
      <c r="H88" s="952" t="s">
        <v>278</v>
      </c>
      <c r="I88" s="2245"/>
    </row>
    <row r="89" spans="1:12" ht="24" customHeight="1">
      <c r="A89" s="2246" t="s">
        <v>989</v>
      </c>
      <c r="B89" s="185" t="s">
        <v>48</v>
      </c>
      <c r="C89" s="953"/>
      <c r="D89" s="953">
        <f>'감곡면(10년) (물)'!D215</f>
        <v>290</v>
      </c>
      <c r="E89" s="953">
        <f>'감곡면(10년) (물)'!D219</f>
        <v>268</v>
      </c>
      <c r="F89" s="953">
        <f>'감곡면(10년) (물)'!D224</f>
        <v>240</v>
      </c>
      <c r="G89" s="953">
        <f>'감곡면(10년) (물)'!D229</f>
        <v>213</v>
      </c>
      <c r="H89" s="953">
        <f>'감곡면(10년) (물)'!D234</f>
        <v>185</v>
      </c>
      <c r="I89" s="172"/>
    </row>
    <row r="90" spans="1:12" ht="24" customHeight="1">
      <c r="A90" s="2247"/>
      <c r="B90" s="186" t="s">
        <v>271</v>
      </c>
      <c r="C90" s="173"/>
      <c r="D90" s="953">
        <f>'감곡면(10년) (물)'!E215</f>
        <v>290</v>
      </c>
      <c r="E90" s="953">
        <f>'감곡면(10년) (물)'!E219</f>
        <v>270</v>
      </c>
      <c r="F90" s="953">
        <f>'감곡면(10년) (물)'!E224</f>
        <v>246</v>
      </c>
      <c r="G90" s="953">
        <f>'감곡면(10년) (물)'!E229</f>
        <v>225</v>
      </c>
      <c r="H90" s="953">
        <f>'감곡면(10년) (물)'!E234</f>
        <v>206</v>
      </c>
      <c r="I90" s="954"/>
    </row>
    <row r="91" spans="1:12" ht="24" customHeight="1">
      <c r="A91" s="2247"/>
      <c r="B91" s="186" t="s">
        <v>49</v>
      </c>
      <c r="C91" s="173"/>
      <c r="D91" s="173">
        <f>'감곡면(10년) (물)'!F215</f>
        <v>299</v>
      </c>
      <c r="E91" s="173">
        <f>'감곡면(10년) (물)'!F219</f>
        <v>270</v>
      </c>
      <c r="F91" s="953">
        <f>'감곡면(10년) (물)'!F224</f>
        <v>235</v>
      </c>
      <c r="G91" s="953">
        <f>'감곡면(10년) (물)'!F229</f>
        <v>199</v>
      </c>
      <c r="H91" s="953">
        <f>'감곡면(10년) (물)'!F234</f>
        <v>163</v>
      </c>
      <c r="I91" s="954" t="s">
        <v>1794</v>
      </c>
    </row>
    <row r="92" spans="1:12" ht="24" customHeight="1">
      <c r="A92" s="2247"/>
      <c r="B92" s="186" t="s">
        <v>279</v>
      </c>
      <c r="C92" s="173"/>
      <c r="D92" s="173">
        <f>'감곡면(10년) (물)'!G215</f>
        <v>338</v>
      </c>
      <c r="E92" s="173">
        <f>'감곡면(10년) (물)'!G219</f>
        <v>354</v>
      </c>
      <c r="F92" s="953">
        <f>'감곡면(10년) (물)'!G224</f>
        <v>372</v>
      </c>
      <c r="G92" s="953">
        <f>'감곡면(10년) (물)'!G229</f>
        <v>390</v>
      </c>
      <c r="H92" s="953">
        <f>'감곡면(10년) (물)'!G234</f>
        <v>408</v>
      </c>
      <c r="I92" s="954" t="s">
        <v>1794</v>
      </c>
    </row>
    <row r="93" spans="1:12" ht="24" customHeight="1">
      <c r="A93" s="2247"/>
      <c r="B93" s="187" t="s">
        <v>272</v>
      </c>
      <c r="C93" s="173"/>
      <c r="D93" s="173">
        <f>'감곡면(10년) (물)'!H215</f>
        <v>284</v>
      </c>
      <c r="E93" s="173">
        <f>'감곡면(10년) (물)'!H219</f>
        <v>256</v>
      </c>
      <c r="F93" s="953">
        <f>'감곡면(10년) (물)'!H224</f>
        <v>222</v>
      </c>
      <c r="G93" s="953">
        <f>'감곡면(10년) (물)'!H229</f>
        <v>190</v>
      </c>
      <c r="H93" s="953">
        <f>'감곡면(10년) (물)'!H234</f>
        <v>160</v>
      </c>
      <c r="I93" s="954" t="s">
        <v>1794</v>
      </c>
    </row>
    <row r="94" spans="1:12" ht="24" customHeight="1">
      <c r="A94" s="2248"/>
      <c r="B94" s="955" t="s">
        <v>273</v>
      </c>
      <c r="C94" s="956">
        <f>+'[6]광혜원면(10년) (사)'!D50</f>
        <v>0</v>
      </c>
      <c r="D94" s="179">
        <f>AVERAGEIFS(D89:D93,$I89:$I93,"")</f>
        <v>290</v>
      </c>
      <c r="E94" s="179">
        <f>AVERAGEIFS(E89:E93,$I89:$I93,"")</f>
        <v>269</v>
      </c>
      <c r="F94" s="179">
        <f t="shared" ref="F94" si="33">AVERAGEIFS(F89:F93,$I89:$I93,"")</f>
        <v>243</v>
      </c>
      <c r="G94" s="179">
        <f t="shared" ref="G94" si="34">AVERAGEIFS(G89:G93,$I89:$I93,"")</f>
        <v>219</v>
      </c>
      <c r="H94" s="179">
        <f t="shared" ref="H94" si="35">AVERAGEIFS(H89:H93,$I89:$I93,"")</f>
        <v>195.5</v>
      </c>
      <c r="I94" s="957"/>
    </row>
    <row r="95" spans="1:12" ht="24" customHeight="1">
      <c r="A95" s="2224" t="s">
        <v>274</v>
      </c>
      <c r="B95" s="185" t="s">
        <v>48</v>
      </c>
      <c r="C95" s="177"/>
      <c r="D95" s="177">
        <f>'감곡면(5년) (물)'!D211</f>
        <v>290</v>
      </c>
      <c r="E95" s="177">
        <f>'감곡면(5년) (물)'!D215</f>
        <v>261</v>
      </c>
      <c r="F95" s="177">
        <f>'감곡면(5년) (물)'!D220</f>
        <v>224</v>
      </c>
      <c r="G95" s="177">
        <f>'감곡면(5년) (물)'!D225</f>
        <v>188</v>
      </c>
      <c r="H95" s="177">
        <f>'감곡면(5년) (물)'!D230</f>
        <v>151</v>
      </c>
      <c r="I95" s="178"/>
    </row>
    <row r="96" spans="1:12" ht="24" customHeight="1">
      <c r="A96" s="2247"/>
      <c r="B96" s="186" t="s">
        <v>271</v>
      </c>
      <c r="C96" s="173"/>
      <c r="D96" s="173">
        <f xml:space="preserve">  '감곡면(5년) (물)'!E211</f>
        <v>290</v>
      </c>
      <c r="E96" s="173">
        <f>'감곡면(5년) (물)'!E215</f>
        <v>264</v>
      </c>
      <c r="F96" s="173">
        <f>'감곡면(5년) (물)'!E220</f>
        <v>234</v>
      </c>
      <c r="G96" s="173">
        <f>'감곡면(5년) (물)'!E225</f>
        <v>208</v>
      </c>
      <c r="H96" s="173">
        <f>'감곡면(5년) (물)'!E230</f>
        <v>184</v>
      </c>
      <c r="I96" s="954"/>
    </row>
    <row r="97" spans="1:11" ht="24" customHeight="1">
      <c r="A97" s="2247"/>
      <c r="B97" s="186" t="s">
        <v>49</v>
      </c>
      <c r="C97" s="173"/>
      <c r="D97" s="173">
        <f xml:space="preserve"> '감곡면(5년) (물)'!F211</f>
        <v>291</v>
      </c>
      <c r="E97" s="173">
        <f>'감곡면(5년) (물)'!F215</f>
        <v>242</v>
      </c>
      <c r="F97" s="173">
        <f>'감곡면(5년) (물)'!F220</f>
        <v>180</v>
      </c>
      <c r="G97" s="173">
        <f>'감곡면(5년) (물)'!F225</f>
        <v>119</v>
      </c>
      <c r="H97" s="173">
        <f>'감곡면(5년) (물)'!F230</f>
        <v>57</v>
      </c>
      <c r="I97" s="954" t="s">
        <v>1794</v>
      </c>
    </row>
    <row r="98" spans="1:11" ht="24" customHeight="1">
      <c r="A98" s="2247"/>
      <c r="B98" s="186" t="s">
        <v>279</v>
      </c>
      <c r="C98" s="173"/>
      <c r="D98" s="173">
        <f>'감곡면(5년) (물)'!G211</f>
        <v>329</v>
      </c>
      <c r="E98" s="173">
        <f>'감곡면(5년) (물)'!G215</f>
        <v>329</v>
      </c>
      <c r="F98" s="173">
        <f>'감곡면(5년) (물)'!G220</f>
        <v>330</v>
      </c>
      <c r="G98" s="173">
        <f>'감곡면(5년) (물)'!G225</f>
        <v>330</v>
      </c>
      <c r="H98" s="173">
        <f>'감곡면(5년) (물)'!G230</f>
        <v>330</v>
      </c>
      <c r="I98" s="954" t="s">
        <v>1794</v>
      </c>
      <c r="K98" s="960">
        <f>+E101</f>
        <v>269</v>
      </c>
    </row>
    <row r="99" spans="1:11" ht="24" customHeight="1">
      <c r="A99" s="2247"/>
      <c r="B99" s="187" t="s">
        <v>272</v>
      </c>
      <c r="C99" s="173"/>
      <c r="D99" s="173">
        <f>'감곡면(5년) (물)'!H211</f>
        <v>261</v>
      </c>
      <c r="E99" s="173">
        <f>'감곡면(5년) (물)'!H215</f>
        <v>213</v>
      </c>
      <c r="F99" s="173">
        <f>'감곡면(5년) (물)'!H220</f>
        <v>161</v>
      </c>
      <c r="G99" s="173">
        <f>'감곡면(5년) (물)'!H225</f>
        <v>117</v>
      </c>
      <c r="H99" s="173">
        <f>'감곡면(5년) (물)'!H230</f>
        <v>83</v>
      </c>
      <c r="I99" s="954" t="s">
        <v>1794</v>
      </c>
      <c r="K99" s="961">
        <v>0.9</v>
      </c>
    </row>
    <row r="100" spans="1:11" ht="24" customHeight="1">
      <c r="A100" s="2249"/>
      <c r="B100" s="955" t="s">
        <v>273</v>
      </c>
      <c r="C100" s="958">
        <f>+C94</f>
        <v>0</v>
      </c>
      <c r="D100" s="179">
        <f>AVERAGEIFS(D95:D99,$I95:$I99,"")</f>
        <v>290</v>
      </c>
      <c r="E100" s="179">
        <f>AVERAGEIFS(E95:E99,$I95:$I99,"")</f>
        <v>262.5</v>
      </c>
      <c r="F100" s="179">
        <f t="shared" ref="F100" si="36">AVERAGEIFS(F95:F99,$I95:$I99,"")</f>
        <v>229</v>
      </c>
      <c r="G100" s="179">
        <f t="shared" ref="G100" si="37">AVERAGEIFS(G95:G99,$I95:$I99,"")</f>
        <v>198</v>
      </c>
      <c r="H100" s="179">
        <f t="shared" ref="H100" si="38">AVERAGEIFS(H95:H99,$I95:$I99,"")</f>
        <v>167.5</v>
      </c>
      <c r="I100" s="959"/>
      <c r="K100" s="962">
        <f>ROUND(+K98*K99,0)</f>
        <v>242</v>
      </c>
    </row>
    <row r="101" spans="1:11" ht="24" customHeight="1">
      <c r="A101" s="2238" t="s">
        <v>275</v>
      </c>
      <c r="B101" s="2239"/>
      <c r="C101" s="181">
        <f>+C94</f>
        <v>0</v>
      </c>
      <c r="D101" s="825">
        <f>+D94</f>
        <v>290</v>
      </c>
      <c r="E101" s="825">
        <f t="shared" ref="E101:H101" si="39">+E94</f>
        <v>269</v>
      </c>
      <c r="F101" s="825">
        <f t="shared" si="39"/>
        <v>243</v>
      </c>
      <c r="G101" s="825">
        <f t="shared" si="39"/>
        <v>219</v>
      </c>
      <c r="H101" s="825">
        <f t="shared" si="39"/>
        <v>195.5</v>
      </c>
      <c r="I101" s="182"/>
      <c r="K101" s="961">
        <f>ROUND(+K100/0.8,0)</f>
        <v>303</v>
      </c>
    </row>
  </sheetData>
  <mergeCells count="36">
    <mergeCell ref="A33:B33"/>
    <mergeCell ref="A3:B4"/>
    <mergeCell ref="C3:H3"/>
    <mergeCell ref="I3:I4"/>
    <mergeCell ref="A5:A10"/>
    <mergeCell ref="A11:A16"/>
    <mergeCell ref="A17:B17"/>
    <mergeCell ref="A19:B20"/>
    <mergeCell ref="C19:H19"/>
    <mergeCell ref="I19:I20"/>
    <mergeCell ref="A21:A26"/>
    <mergeCell ref="A27:A32"/>
    <mergeCell ref="A67:B67"/>
    <mergeCell ref="A36:B37"/>
    <mergeCell ref="C36:H36"/>
    <mergeCell ref="I36:I37"/>
    <mergeCell ref="A38:A43"/>
    <mergeCell ref="A44:A49"/>
    <mergeCell ref="A50:B50"/>
    <mergeCell ref="A53:B54"/>
    <mergeCell ref="C53:H53"/>
    <mergeCell ref="I53:I54"/>
    <mergeCell ref="A55:A60"/>
    <mergeCell ref="A61:A66"/>
    <mergeCell ref="A101:B101"/>
    <mergeCell ref="A70:B71"/>
    <mergeCell ref="C70:H70"/>
    <mergeCell ref="I70:I71"/>
    <mergeCell ref="A72:A77"/>
    <mergeCell ref="A78:A83"/>
    <mergeCell ref="A84:B84"/>
    <mergeCell ref="A87:B88"/>
    <mergeCell ref="C87:H87"/>
    <mergeCell ref="I87:I88"/>
    <mergeCell ref="A89:A94"/>
    <mergeCell ref="A95:A100"/>
  </mergeCells>
  <phoneticPr fontId="7" type="noConversion"/>
  <pageMargins left="0.7" right="0.7" top="0.75" bottom="0.75" header="0.3" footer="0.3"/>
  <pageSetup paperSize="9" scale="88" orientation="portrait" r:id="rId1"/>
  <colBreaks count="1" manualBreakCount="1">
    <brk id="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3.5"/>
  <sheetData/>
  <phoneticPr fontId="7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 tint="0.59999389629810485"/>
  </sheetPr>
  <dimension ref="A1:O26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88" t="s">
        <v>471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840">
        <v>2005</v>
      </c>
      <c r="C7" s="96"/>
      <c r="D7" s="841">
        <f>'3.면별급수현황'!H14</f>
        <v>371</v>
      </c>
      <c r="E7" s="97"/>
      <c r="F7" s="98">
        <f>D7-D7</f>
        <v>0</v>
      </c>
      <c r="G7" s="98"/>
      <c r="H7" s="99">
        <f>F7</f>
        <v>0</v>
      </c>
      <c r="I7" s="100"/>
      <c r="J7" s="101" t="s">
        <v>145</v>
      </c>
      <c r="K7" s="101">
        <v>1000</v>
      </c>
      <c r="L7" s="95"/>
      <c r="M7" s="95"/>
      <c r="N7" s="95"/>
      <c r="O7" s="95"/>
    </row>
    <row r="8" spans="1:15" ht="15" customHeight="1">
      <c r="A8" s="95"/>
      <c r="B8" s="840">
        <v>2006</v>
      </c>
      <c r="C8" s="96"/>
      <c r="D8" s="841">
        <f>'3.면별급수현황'!H15</f>
        <v>434</v>
      </c>
      <c r="E8" s="97"/>
      <c r="F8" s="98">
        <f t="shared" ref="F8:F16" si="0">D8-D7</f>
        <v>63</v>
      </c>
      <c r="G8" s="98"/>
      <c r="H8" s="99">
        <f t="shared" ref="H8:H16" si="1">ROUND(F8/D7*100,2)</f>
        <v>16.98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840">
        <v>2007</v>
      </c>
      <c r="C9" s="96"/>
      <c r="D9" s="841">
        <f>'3.면별급수현황'!H16</f>
        <v>413</v>
      </c>
      <c r="E9" s="97"/>
      <c r="F9" s="98">
        <f t="shared" si="0"/>
        <v>-21</v>
      </c>
      <c r="G9" s="98"/>
      <c r="H9" s="99">
        <f t="shared" si="1"/>
        <v>-4.84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840">
        <v>2008</v>
      </c>
      <c r="C10" s="96"/>
      <c r="D10" s="841">
        <f>'3.면별급수현황'!H17</f>
        <v>410</v>
      </c>
      <c r="E10" s="97"/>
      <c r="F10" s="98">
        <f t="shared" si="0"/>
        <v>-3</v>
      </c>
      <c r="G10" s="98"/>
      <c r="H10" s="99">
        <f t="shared" si="1"/>
        <v>-0.73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840">
        <v>2009</v>
      </c>
      <c r="C11" s="96"/>
      <c r="D11" s="841">
        <f>'3.면별급수현황'!H18</f>
        <v>373</v>
      </c>
      <c r="E11" s="97"/>
      <c r="F11" s="98">
        <f t="shared" si="0"/>
        <v>-37</v>
      </c>
      <c r="G11" s="98"/>
      <c r="H11" s="99">
        <f t="shared" si="1"/>
        <v>-9.02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>
      <c r="A12" s="95"/>
      <c r="B12" s="840">
        <v>2010</v>
      </c>
      <c r="C12" s="96"/>
      <c r="D12" s="841">
        <f>'3.면별급수현황'!H19</f>
        <v>274</v>
      </c>
      <c r="E12" s="97"/>
      <c r="F12" s="98">
        <f t="shared" si="0"/>
        <v>-99</v>
      </c>
      <c r="G12" s="98"/>
      <c r="H12" s="99">
        <f t="shared" si="1"/>
        <v>-26.54</v>
      </c>
      <c r="I12" s="100"/>
      <c r="J12" s="102">
        <v>0</v>
      </c>
      <c r="K12" s="102"/>
      <c r="L12" s="95"/>
      <c r="M12" s="95"/>
      <c r="N12" s="95"/>
      <c r="O12" s="95"/>
    </row>
    <row r="13" spans="1:15" ht="15" customHeight="1">
      <c r="A13" s="95"/>
      <c r="B13" s="840">
        <v>2011</v>
      </c>
      <c r="C13" s="96"/>
      <c r="D13" s="841">
        <f>'3.면별급수현황'!H20</f>
        <v>228</v>
      </c>
      <c r="E13" s="97"/>
      <c r="F13" s="98">
        <f t="shared" si="0"/>
        <v>-46</v>
      </c>
      <c r="G13" s="98"/>
      <c r="H13" s="99">
        <f t="shared" si="1"/>
        <v>-16.79</v>
      </c>
      <c r="I13" s="100"/>
      <c r="J13" s="102">
        <v>0</v>
      </c>
      <c r="K13" s="102"/>
      <c r="L13" s="95"/>
      <c r="M13" s="95"/>
      <c r="N13" s="95"/>
      <c r="O13" s="95"/>
    </row>
    <row r="14" spans="1:15" ht="15" customHeight="1">
      <c r="A14" s="95"/>
      <c r="B14" s="840">
        <v>2012</v>
      </c>
      <c r="C14" s="96"/>
      <c r="D14" s="841">
        <f>'3.면별급수현황'!H21</f>
        <v>241</v>
      </c>
      <c r="E14" s="97"/>
      <c r="F14" s="98">
        <f t="shared" si="0"/>
        <v>13</v>
      </c>
      <c r="G14" s="98"/>
      <c r="H14" s="99">
        <f t="shared" si="1"/>
        <v>5.7</v>
      </c>
      <c r="I14" s="100"/>
      <c r="J14" s="102">
        <v>0</v>
      </c>
      <c r="K14" s="102"/>
      <c r="L14" s="95"/>
      <c r="M14" s="95"/>
      <c r="N14" s="95"/>
      <c r="O14" s="95"/>
    </row>
    <row r="15" spans="1:15" ht="15" customHeight="1">
      <c r="A15" s="95"/>
      <c r="B15" s="840">
        <v>2013</v>
      </c>
      <c r="C15" s="96"/>
      <c r="D15" s="841">
        <f>'3.면별급수현황'!H22</f>
        <v>252</v>
      </c>
      <c r="E15" s="97"/>
      <c r="F15" s="98">
        <f t="shared" si="0"/>
        <v>11</v>
      </c>
      <c r="G15" s="98"/>
      <c r="H15" s="99">
        <f t="shared" si="1"/>
        <v>4.5599999999999996</v>
      </c>
      <c r="I15" s="100"/>
      <c r="J15" s="102">
        <v>0</v>
      </c>
      <c r="K15" s="102"/>
      <c r="L15" s="95"/>
      <c r="M15" s="95"/>
      <c r="N15" s="95"/>
      <c r="O15" s="95"/>
    </row>
    <row r="16" spans="1:15" ht="15" customHeight="1">
      <c r="A16" s="95"/>
      <c r="B16" s="840">
        <v>2014</v>
      </c>
      <c r="C16" s="96"/>
      <c r="D16" s="841">
        <f>'3.면별급수현황'!H23</f>
        <v>292</v>
      </c>
      <c r="E16" s="97"/>
      <c r="F16" s="98">
        <f t="shared" si="0"/>
        <v>40</v>
      </c>
      <c r="G16" s="98"/>
      <c r="H16" s="99">
        <f t="shared" si="1"/>
        <v>15.87</v>
      </c>
      <c r="I16" s="100"/>
      <c r="J16" s="102">
        <v>0</v>
      </c>
      <c r="K16" s="102"/>
      <c r="L16" s="95"/>
      <c r="M16" s="95"/>
      <c r="N16" s="95"/>
      <c r="O16" s="95"/>
    </row>
    <row r="17" spans="1:15" ht="15" customHeight="1" thickBot="1">
      <c r="A17" s="95"/>
      <c r="B17" s="103" t="s">
        <v>146</v>
      </c>
      <c r="C17" s="104"/>
      <c r="D17" s="105">
        <f>SUM(D7:D16)</f>
        <v>3288</v>
      </c>
      <c r="E17" s="106"/>
      <c r="F17" s="107"/>
      <c r="G17" s="107"/>
      <c r="H17" s="108">
        <f>SUM(H7:H16)</f>
        <v>-14.809999999999997</v>
      </c>
      <c r="I17" s="108"/>
      <c r="J17" s="109">
        <f>ROUND(AVERAGE(H8:H16),1)</f>
        <v>-1.6</v>
      </c>
      <c r="K17" s="109"/>
      <c r="L17" s="95"/>
      <c r="M17" s="95"/>
      <c r="N17" s="95"/>
      <c r="O17" s="95"/>
    </row>
    <row r="18" spans="1:15" ht="1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>
      <c r="A19" s="95"/>
      <c r="B19" s="110" t="s">
        <v>147</v>
      </c>
      <c r="C19" s="111"/>
      <c r="D19" s="111"/>
      <c r="E19" s="111"/>
      <c r="F19" s="111"/>
      <c r="G19" s="95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5"/>
      <c r="C20" s="111" t="s">
        <v>148</v>
      </c>
      <c r="D20" s="111" t="s">
        <v>149</v>
      </c>
      <c r="E20" s="111"/>
      <c r="F20" s="111"/>
      <c r="G20" s="95"/>
      <c r="H20" s="95"/>
      <c r="I20" s="95"/>
      <c r="J20" s="95"/>
      <c r="K20" s="95"/>
      <c r="L20" s="95"/>
      <c r="M20" s="95"/>
      <c r="N20" s="95"/>
      <c r="O20" s="95"/>
    </row>
    <row r="21" spans="1:15" ht="15" customHeight="1">
      <c r="A21" s="95"/>
      <c r="B21" s="93"/>
      <c r="C21" s="93" t="s">
        <v>150</v>
      </c>
      <c r="D21" s="111" t="s">
        <v>151</v>
      </c>
      <c r="E21" s="93"/>
      <c r="F21" s="93"/>
      <c r="G21" s="95"/>
      <c r="H21" s="95"/>
      <c r="I21" s="95"/>
      <c r="J21" s="95"/>
      <c r="K21" s="95"/>
      <c r="L21" s="95"/>
      <c r="M21" s="95"/>
      <c r="N21" s="95"/>
      <c r="O21" s="95"/>
    </row>
    <row r="22" spans="1:15" ht="15" customHeight="1">
      <c r="A22" s="95"/>
      <c r="B22" s="111"/>
      <c r="C22" s="111"/>
      <c r="D22" s="111" t="s">
        <v>152</v>
      </c>
      <c r="E22" s="111"/>
      <c r="F22" s="111"/>
      <c r="G22" s="95"/>
      <c r="H22" s="95"/>
      <c r="I22" s="95"/>
      <c r="J22" s="95"/>
      <c r="K22" s="95"/>
      <c r="L22" s="95"/>
      <c r="M22" s="95"/>
      <c r="N22" s="95"/>
      <c r="O22" s="95"/>
    </row>
    <row r="23" spans="1:15" ht="15" customHeight="1">
      <c r="A23" s="95"/>
      <c r="B23" s="111"/>
      <c r="C23" s="111"/>
      <c r="D23" s="111" t="s">
        <v>153</v>
      </c>
      <c r="E23" s="111"/>
      <c r="F23" s="111"/>
      <c r="G23" s="95"/>
      <c r="H23" s="95"/>
      <c r="I23" s="95"/>
      <c r="J23" s="95"/>
      <c r="K23" s="95"/>
      <c r="L23" s="95"/>
      <c r="M23" s="95"/>
      <c r="N23" s="95"/>
      <c r="O23" s="95"/>
    </row>
    <row r="24" spans="1:15" ht="15" customHeight="1" thickBot="1">
      <c r="A24" s="95"/>
      <c r="B24" s="95"/>
      <c r="C24" s="95"/>
      <c r="D24" s="95"/>
      <c r="E24" s="95"/>
      <c r="F24" s="100" t="s">
        <v>154</v>
      </c>
      <c r="G24" s="100"/>
      <c r="H24" s="95"/>
      <c r="I24" s="95"/>
      <c r="J24" s="95"/>
      <c r="K24" s="95"/>
      <c r="L24" s="95"/>
      <c r="M24" s="95"/>
      <c r="N24" s="95"/>
      <c r="O24" s="95"/>
    </row>
    <row r="25" spans="1:15" ht="15" customHeight="1">
      <c r="A25" s="95"/>
      <c r="B25" s="94" t="s">
        <v>155</v>
      </c>
      <c r="C25" s="94"/>
      <c r="D25" s="94" t="s">
        <v>156</v>
      </c>
      <c r="E25" s="94"/>
      <c r="F25" s="94" t="s">
        <v>157</v>
      </c>
      <c r="G25" s="94"/>
      <c r="H25" s="94" t="s">
        <v>158</v>
      </c>
      <c r="I25" s="94"/>
      <c r="J25" s="94" t="s">
        <v>159</v>
      </c>
      <c r="K25" s="94"/>
      <c r="L25" s="95"/>
      <c r="M25" s="95"/>
      <c r="N25" s="95"/>
      <c r="O25" s="95"/>
    </row>
    <row r="26" spans="1:15" ht="15" customHeight="1">
      <c r="A26" s="95"/>
      <c r="B26" s="220">
        <v>2014</v>
      </c>
      <c r="C26" s="113"/>
      <c r="D26" s="113">
        <f t="shared" ref="D26:D47" si="2">ROUND(E$48+H$48*(B26-$C$4),0)</f>
        <v>292</v>
      </c>
      <c r="E26" s="113"/>
      <c r="F26" s="113">
        <v>0</v>
      </c>
      <c r="G26" s="113"/>
      <c r="H26" s="113">
        <f t="shared" ref="H26:H42" si="3">ROUND(D26*(1+F26),0)</f>
        <v>292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268">
        <v>2015</v>
      </c>
      <c r="C27" s="116"/>
      <c r="D27" s="116">
        <f t="shared" si="2"/>
        <v>283</v>
      </c>
      <c r="E27" s="116"/>
      <c r="F27" s="116">
        <v>0</v>
      </c>
      <c r="G27" s="116"/>
      <c r="H27" s="116">
        <f t="shared" si="3"/>
        <v>283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220">
        <v>2016</v>
      </c>
      <c r="C28" s="113"/>
      <c r="D28" s="113">
        <f t="shared" si="2"/>
        <v>274</v>
      </c>
      <c r="E28" s="113"/>
      <c r="F28" s="113">
        <v>0</v>
      </c>
      <c r="G28" s="113"/>
      <c r="H28" s="113">
        <f t="shared" si="3"/>
        <v>274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220">
        <v>2017</v>
      </c>
      <c r="C29" s="113"/>
      <c r="D29" s="113">
        <f t="shared" si="2"/>
        <v>266</v>
      </c>
      <c r="E29" s="113"/>
      <c r="F29" s="113">
        <v>0</v>
      </c>
      <c r="G29" s="113"/>
      <c r="H29" s="113">
        <f t="shared" si="3"/>
        <v>266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220">
        <v>2018</v>
      </c>
      <c r="C30" s="113"/>
      <c r="D30" s="113">
        <f t="shared" si="2"/>
        <v>257</v>
      </c>
      <c r="E30" s="113"/>
      <c r="F30" s="113">
        <v>0</v>
      </c>
      <c r="G30" s="113"/>
      <c r="H30" s="113">
        <f t="shared" si="3"/>
        <v>257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220">
        <v>2019</v>
      </c>
      <c r="C31" s="113"/>
      <c r="D31" s="113">
        <f t="shared" si="2"/>
        <v>248</v>
      </c>
      <c r="E31" s="113"/>
      <c r="F31" s="113">
        <v>0</v>
      </c>
      <c r="G31" s="113"/>
      <c r="H31" s="113">
        <f t="shared" si="3"/>
        <v>248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268">
        <v>2020</v>
      </c>
      <c r="C32" s="116"/>
      <c r="D32" s="116">
        <f t="shared" si="2"/>
        <v>239</v>
      </c>
      <c r="E32" s="116"/>
      <c r="F32" s="116">
        <v>0</v>
      </c>
      <c r="G32" s="116"/>
      <c r="H32" s="116">
        <f t="shared" si="3"/>
        <v>239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220">
        <v>2021</v>
      </c>
      <c r="C33" s="113"/>
      <c r="D33" s="113">
        <f t="shared" si="2"/>
        <v>230</v>
      </c>
      <c r="E33" s="113"/>
      <c r="F33" s="113">
        <v>0</v>
      </c>
      <c r="G33" s="113"/>
      <c r="H33" s="113">
        <f t="shared" si="3"/>
        <v>230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220">
        <v>2022</v>
      </c>
      <c r="C34" s="113"/>
      <c r="D34" s="113">
        <f t="shared" si="2"/>
        <v>222</v>
      </c>
      <c r="E34" s="113"/>
      <c r="F34" s="113">
        <v>0</v>
      </c>
      <c r="G34" s="113"/>
      <c r="H34" s="113">
        <f t="shared" si="3"/>
        <v>222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220">
        <v>2023</v>
      </c>
      <c r="C35" s="113"/>
      <c r="D35" s="113">
        <f t="shared" si="2"/>
        <v>213</v>
      </c>
      <c r="E35" s="113"/>
      <c r="F35" s="113">
        <v>0</v>
      </c>
      <c r="G35" s="113"/>
      <c r="H35" s="113">
        <f t="shared" si="3"/>
        <v>213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220">
        <v>2024</v>
      </c>
      <c r="C36" s="113"/>
      <c r="D36" s="113">
        <f t="shared" si="2"/>
        <v>204</v>
      </c>
      <c r="E36" s="113"/>
      <c r="F36" s="113">
        <v>0</v>
      </c>
      <c r="G36" s="113"/>
      <c r="H36" s="113">
        <f t="shared" si="3"/>
        <v>204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268">
        <v>2025</v>
      </c>
      <c r="C37" s="116"/>
      <c r="D37" s="116">
        <f t="shared" si="2"/>
        <v>195</v>
      </c>
      <c r="E37" s="116"/>
      <c r="F37" s="116">
        <v>0</v>
      </c>
      <c r="G37" s="116"/>
      <c r="H37" s="116">
        <f t="shared" si="3"/>
        <v>195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220">
        <v>2026</v>
      </c>
      <c r="C38" s="113"/>
      <c r="D38" s="113">
        <f t="shared" si="2"/>
        <v>186</v>
      </c>
      <c r="E38" s="113"/>
      <c r="F38" s="113">
        <v>0</v>
      </c>
      <c r="G38" s="113"/>
      <c r="H38" s="113">
        <f t="shared" si="3"/>
        <v>186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220">
        <v>2027</v>
      </c>
      <c r="C39" s="113"/>
      <c r="D39" s="113">
        <f t="shared" si="2"/>
        <v>178</v>
      </c>
      <c r="E39" s="113"/>
      <c r="F39" s="113">
        <v>0</v>
      </c>
      <c r="G39" s="113"/>
      <c r="H39" s="113">
        <f t="shared" si="3"/>
        <v>178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220">
        <v>2028</v>
      </c>
      <c r="C40" s="113"/>
      <c r="D40" s="113">
        <f t="shared" si="2"/>
        <v>169</v>
      </c>
      <c r="E40" s="113"/>
      <c r="F40" s="113">
        <v>0</v>
      </c>
      <c r="G40" s="113"/>
      <c r="H40" s="113">
        <f t="shared" si="3"/>
        <v>169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220">
        <v>2029</v>
      </c>
      <c r="C41" s="113"/>
      <c r="D41" s="113">
        <f t="shared" si="2"/>
        <v>160</v>
      </c>
      <c r="E41" s="113"/>
      <c r="F41" s="113">
        <v>0</v>
      </c>
      <c r="G41" s="113"/>
      <c r="H41" s="113">
        <f t="shared" si="3"/>
        <v>160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>
      <c r="A42" s="95"/>
      <c r="B42" s="268">
        <v>2030</v>
      </c>
      <c r="C42" s="116"/>
      <c r="D42" s="116">
        <f t="shared" si="2"/>
        <v>151</v>
      </c>
      <c r="E42" s="116"/>
      <c r="F42" s="116">
        <v>0</v>
      </c>
      <c r="G42" s="116"/>
      <c r="H42" s="116">
        <f t="shared" si="3"/>
        <v>151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220">
        <v>2031</v>
      </c>
      <c r="C43" s="113"/>
      <c r="D43" s="113">
        <f t="shared" si="2"/>
        <v>142</v>
      </c>
      <c r="E43" s="113"/>
      <c r="F43" s="113">
        <v>0</v>
      </c>
      <c r="G43" s="113"/>
      <c r="H43" s="113">
        <f>ROUND(D43*(1+F43),0)</f>
        <v>142</v>
      </c>
      <c r="I43" s="113"/>
      <c r="J43" s="114">
        <v>0</v>
      </c>
      <c r="K43" s="114"/>
      <c r="L43" s="95"/>
      <c r="M43" s="95"/>
      <c r="N43" s="95"/>
      <c r="O43" s="95"/>
    </row>
    <row r="44" spans="1:15" ht="15" customHeight="1">
      <c r="A44" s="95"/>
      <c r="B44" s="220">
        <v>2032</v>
      </c>
      <c r="C44" s="113"/>
      <c r="D44" s="113">
        <f t="shared" si="2"/>
        <v>134</v>
      </c>
      <c r="E44" s="113"/>
      <c r="F44" s="113">
        <v>0</v>
      </c>
      <c r="G44" s="113"/>
      <c r="H44" s="113">
        <f>ROUND(D44*(1+F44),0)</f>
        <v>134</v>
      </c>
      <c r="I44" s="113"/>
      <c r="J44" s="114">
        <v>0</v>
      </c>
      <c r="K44" s="114"/>
      <c r="L44" s="95"/>
      <c r="M44" s="95"/>
      <c r="N44" s="95"/>
      <c r="O44" s="95"/>
    </row>
    <row r="45" spans="1:15" ht="15" customHeight="1">
      <c r="A45" s="95"/>
      <c r="B45" s="220">
        <v>2033</v>
      </c>
      <c r="C45" s="113"/>
      <c r="D45" s="113">
        <f t="shared" si="2"/>
        <v>125</v>
      </c>
      <c r="E45" s="113"/>
      <c r="F45" s="113">
        <v>0</v>
      </c>
      <c r="G45" s="113"/>
      <c r="H45" s="113">
        <f>ROUND(D45*(1+F45),0)</f>
        <v>125</v>
      </c>
      <c r="I45" s="113"/>
      <c r="J45" s="114">
        <v>0</v>
      </c>
      <c r="K45" s="114"/>
      <c r="L45" s="95"/>
      <c r="M45" s="95"/>
      <c r="N45" s="95"/>
      <c r="O45" s="95"/>
    </row>
    <row r="46" spans="1:15" ht="15" customHeight="1">
      <c r="A46" s="95"/>
      <c r="B46" s="220">
        <v>2034</v>
      </c>
      <c r="C46" s="113"/>
      <c r="D46" s="113">
        <f t="shared" si="2"/>
        <v>116</v>
      </c>
      <c r="E46" s="113"/>
      <c r="F46" s="113">
        <v>0</v>
      </c>
      <c r="G46" s="113"/>
      <c r="H46" s="113">
        <f>ROUND(D46*(1+F46),0)</f>
        <v>116</v>
      </c>
      <c r="I46" s="113"/>
      <c r="J46" s="114">
        <v>0</v>
      </c>
      <c r="K46" s="114"/>
      <c r="L46" s="95"/>
      <c r="M46" s="95"/>
      <c r="N46" s="95"/>
      <c r="O46" s="95"/>
    </row>
    <row r="47" spans="1:15" ht="15" customHeight="1" thickBot="1">
      <c r="A47" s="95"/>
      <c r="B47" s="268">
        <v>2035</v>
      </c>
      <c r="C47" s="116"/>
      <c r="D47" s="116">
        <f t="shared" si="2"/>
        <v>107</v>
      </c>
      <c r="E47" s="116"/>
      <c r="F47" s="116">
        <v>0</v>
      </c>
      <c r="G47" s="116"/>
      <c r="H47" s="116">
        <f>ROUND(D47*(1+F47),0)</f>
        <v>107</v>
      </c>
      <c r="I47" s="116"/>
      <c r="J47" s="117">
        <v>0</v>
      </c>
      <c r="K47" s="117"/>
      <c r="L47" s="95"/>
      <c r="M47" s="95"/>
      <c r="N47" s="95"/>
      <c r="O47" s="95"/>
    </row>
    <row r="48" spans="1:15" ht="15" customHeight="1">
      <c r="A48" s="95"/>
      <c r="B48" s="118" t="s">
        <v>160</v>
      </c>
      <c r="C48" s="118"/>
      <c r="D48" s="119" t="s">
        <v>161</v>
      </c>
      <c r="E48" s="120">
        <f>D$16</f>
        <v>292</v>
      </c>
      <c r="F48" s="121"/>
      <c r="G48" s="119" t="s">
        <v>162</v>
      </c>
      <c r="H48" s="119">
        <f>ROUND((D$16-D$7)/(COUNT(D$7:D$16)-1),1)</f>
        <v>-8.8000000000000007</v>
      </c>
      <c r="I48" s="119"/>
      <c r="J48" s="119" t="s">
        <v>163</v>
      </c>
      <c r="K48" s="122" t="s">
        <v>164</v>
      </c>
      <c r="L48" s="95"/>
      <c r="M48" s="95"/>
      <c r="N48" s="95"/>
      <c r="O48" s="95"/>
    </row>
    <row r="49" spans="1:15" ht="15" customHeight="1">
      <c r="A49" s="95"/>
      <c r="B49" s="123"/>
      <c r="C49" s="123"/>
      <c r="D49" s="124"/>
      <c r="E49" s="125"/>
      <c r="F49" s="126"/>
      <c r="G49" s="124"/>
      <c r="H49" s="124"/>
      <c r="I49" s="124"/>
      <c r="J49" s="124"/>
      <c r="K49" s="127"/>
      <c r="L49" s="95"/>
      <c r="M49" s="95"/>
      <c r="N49" s="95"/>
      <c r="O49" s="95"/>
    </row>
    <row r="50" spans="1:15" ht="1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110" t="s">
        <v>165</v>
      </c>
      <c r="C52" s="111"/>
      <c r="D52" s="111"/>
      <c r="E52" s="111"/>
      <c r="F52" s="111"/>
      <c r="G52" s="111"/>
      <c r="H52" s="95"/>
      <c r="I52" s="95"/>
      <c r="J52" s="95"/>
      <c r="K52" s="95"/>
      <c r="L52" s="95"/>
      <c r="M52" s="95"/>
      <c r="N52" s="95"/>
      <c r="O52" s="95"/>
    </row>
    <row r="53" spans="1:15" ht="15" customHeight="1">
      <c r="A53" s="95"/>
      <c r="B53" s="95"/>
      <c r="C53" s="111" t="s">
        <v>166</v>
      </c>
      <c r="D53" s="111" t="s">
        <v>167</v>
      </c>
      <c r="E53" s="111"/>
      <c r="F53" s="111"/>
      <c r="G53" s="111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3"/>
      <c r="C54" s="93" t="s">
        <v>168</v>
      </c>
      <c r="D54" s="111" t="s">
        <v>169</v>
      </c>
      <c r="E54" s="93"/>
      <c r="F54" s="93"/>
      <c r="G54" s="93"/>
      <c r="H54" s="95"/>
      <c r="I54" s="95"/>
      <c r="J54" s="95"/>
      <c r="K54" s="95"/>
      <c r="L54" s="95"/>
      <c r="M54" s="95"/>
      <c r="N54" s="95"/>
      <c r="O54" s="95"/>
    </row>
    <row r="55" spans="1:15" ht="15" customHeight="1">
      <c r="A55" s="95"/>
      <c r="B55" s="111"/>
      <c r="C55" s="111"/>
      <c r="D55" s="111" t="s">
        <v>170</v>
      </c>
      <c r="E55" s="111"/>
      <c r="F55" s="111"/>
      <c r="G55" s="111"/>
      <c r="H55" s="95"/>
      <c r="I55" s="95"/>
      <c r="J55" s="95"/>
      <c r="K55" s="95"/>
      <c r="L55" s="95"/>
      <c r="M55" s="95"/>
      <c r="N55" s="95"/>
      <c r="O55" s="95"/>
    </row>
    <row r="56" spans="1:15" ht="15" customHeight="1">
      <c r="A56" s="95"/>
      <c r="B56" s="111"/>
      <c r="C56" s="111"/>
      <c r="D56" s="111" t="s">
        <v>171</v>
      </c>
      <c r="E56" s="111"/>
      <c r="F56" s="111"/>
      <c r="G56" s="111"/>
      <c r="H56" s="95"/>
      <c r="I56" s="95"/>
      <c r="J56" s="95"/>
      <c r="K56" s="95"/>
      <c r="L56" s="95"/>
      <c r="M56" s="95"/>
      <c r="N56" s="95"/>
      <c r="O56" s="95"/>
    </row>
    <row r="57" spans="1:15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1:15" ht="15" customHeight="1" thickBot="1">
      <c r="A58" s="95"/>
      <c r="B58" s="95"/>
      <c r="C58" s="95"/>
      <c r="D58" s="95"/>
      <c r="E58" s="95"/>
      <c r="F58" s="100" t="s">
        <v>172</v>
      </c>
      <c r="G58" s="100"/>
      <c r="H58" s="95"/>
      <c r="I58" s="95"/>
      <c r="J58" s="95"/>
      <c r="K58" s="95"/>
      <c r="L58" s="95"/>
      <c r="M58" s="95"/>
      <c r="N58" s="95"/>
      <c r="O58" s="95"/>
    </row>
    <row r="59" spans="1:15" ht="15" customHeight="1">
      <c r="A59" s="95"/>
      <c r="B59" s="94" t="s">
        <v>173</v>
      </c>
      <c r="C59" s="94"/>
      <c r="D59" s="94" t="s">
        <v>174</v>
      </c>
      <c r="E59" s="94"/>
      <c r="F59" s="94" t="s">
        <v>175</v>
      </c>
      <c r="G59" s="94"/>
      <c r="H59" s="94" t="s">
        <v>176</v>
      </c>
      <c r="I59" s="94"/>
      <c r="J59" s="94" t="s">
        <v>144</v>
      </c>
      <c r="K59" s="94"/>
      <c r="L59" s="95"/>
      <c r="M59" s="95"/>
      <c r="N59" s="95"/>
      <c r="O59" s="95"/>
    </row>
    <row r="60" spans="1:15" ht="15" customHeight="1">
      <c r="A60" s="95"/>
      <c r="B60" s="112">
        <v>2014</v>
      </c>
      <c r="C60" s="113"/>
      <c r="D60" s="113">
        <f t="shared" ref="D60:D81" si="4">ROUND(E$82*H$82^(B60-$C$4),0)</f>
        <v>292</v>
      </c>
      <c r="E60" s="113"/>
      <c r="F60" s="113">
        <v>0</v>
      </c>
      <c r="G60" s="113"/>
      <c r="H60" s="113">
        <f t="shared" ref="H60:H76" si="5">ROUND(D60*(1+F60),0)</f>
        <v>292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2015</v>
      </c>
      <c r="C61" s="116"/>
      <c r="D61" s="116">
        <f t="shared" si="4"/>
        <v>284</v>
      </c>
      <c r="E61" s="116"/>
      <c r="F61" s="116">
        <v>0</v>
      </c>
      <c r="G61" s="116"/>
      <c r="H61" s="116">
        <f t="shared" si="5"/>
        <v>284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2016</v>
      </c>
      <c r="C62" s="113"/>
      <c r="D62" s="113">
        <f t="shared" si="4"/>
        <v>277</v>
      </c>
      <c r="E62" s="113"/>
      <c r="F62" s="113">
        <v>0</v>
      </c>
      <c r="G62" s="113"/>
      <c r="H62" s="113">
        <f t="shared" si="5"/>
        <v>277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2017</v>
      </c>
      <c r="C63" s="113"/>
      <c r="D63" s="113">
        <f t="shared" si="4"/>
        <v>270</v>
      </c>
      <c r="E63" s="113"/>
      <c r="F63" s="113">
        <v>0</v>
      </c>
      <c r="G63" s="113"/>
      <c r="H63" s="113">
        <f t="shared" si="5"/>
        <v>270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2018</v>
      </c>
      <c r="C64" s="113"/>
      <c r="D64" s="113">
        <f t="shared" si="4"/>
        <v>263</v>
      </c>
      <c r="E64" s="113"/>
      <c r="F64" s="113">
        <v>0</v>
      </c>
      <c r="G64" s="113"/>
      <c r="H64" s="113">
        <f t="shared" si="5"/>
        <v>263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2019</v>
      </c>
      <c r="C65" s="113"/>
      <c r="D65" s="113">
        <f t="shared" si="4"/>
        <v>256</v>
      </c>
      <c r="E65" s="113"/>
      <c r="F65" s="113">
        <v>0</v>
      </c>
      <c r="G65" s="113"/>
      <c r="H65" s="113">
        <f t="shared" si="5"/>
        <v>256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2020</v>
      </c>
      <c r="C66" s="116"/>
      <c r="D66" s="116">
        <f t="shared" si="4"/>
        <v>249</v>
      </c>
      <c r="E66" s="116"/>
      <c r="F66" s="116">
        <v>0</v>
      </c>
      <c r="G66" s="116"/>
      <c r="H66" s="116">
        <f t="shared" si="5"/>
        <v>249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2021</v>
      </c>
      <c r="C67" s="113"/>
      <c r="D67" s="113">
        <f t="shared" si="4"/>
        <v>242</v>
      </c>
      <c r="E67" s="113"/>
      <c r="F67" s="113">
        <v>0</v>
      </c>
      <c r="G67" s="113"/>
      <c r="H67" s="113">
        <f t="shared" si="5"/>
        <v>242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2022</v>
      </c>
      <c r="C68" s="113"/>
      <c r="D68" s="113">
        <f t="shared" si="4"/>
        <v>236</v>
      </c>
      <c r="E68" s="113"/>
      <c r="F68" s="113">
        <v>0</v>
      </c>
      <c r="G68" s="113"/>
      <c r="H68" s="113">
        <f t="shared" si="5"/>
        <v>236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2023</v>
      </c>
      <c r="C69" s="113"/>
      <c r="D69" s="113">
        <f t="shared" si="4"/>
        <v>230</v>
      </c>
      <c r="E69" s="113"/>
      <c r="F69" s="113">
        <v>0</v>
      </c>
      <c r="G69" s="113"/>
      <c r="H69" s="113">
        <f t="shared" si="5"/>
        <v>230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2024</v>
      </c>
      <c r="C70" s="113"/>
      <c r="D70" s="113">
        <f t="shared" si="4"/>
        <v>224</v>
      </c>
      <c r="E70" s="113"/>
      <c r="F70" s="113">
        <v>0</v>
      </c>
      <c r="G70" s="113"/>
      <c r="H70" s="113">
        <f t="shared" si="5"/>
        <v>224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2025</v>
      </c>
      <c r="C71" s="116"/>
      <c r="D71" s="116">
        <f t="shared" si="4"/>
        <v>218</v>
      </c>
      <c r="E71" s="116"/>
      <c r="F71" s="116">
        <v>0</v>
      </c>
      <c r="G71" s="116"/>
      <c r="H71" s="116">
        <f t="shared" si="5"/>
        <v>218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2026</v>
      </c>
      <c r="C72" s="113"/>
      <c r="D72" s="113">
        <f t="shared" si="4"/>
        <v>212</v>
      </c>
      <c r="E72" s="113"/>
      <c r="F72" s="113">
        <v>0</v>
      </c>
      <c r="G72" s="113"/>
      <c r="H72" s="113">
        <f t="shared" si="5"/>
        <v>212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2027</v>
      </c>
      <c r="C73" s="113"/>
      <c r="D73" s="113">
        <f t="shared" si="4"/>
        <v>207</v>
      </c>
      <c r="E73" s="113"/>
      <c r="F73" s="113">
        <v>0</v>
      </c>
      <c r="G73" s="113"/>
      <c r="H73" s="113">
        <f t="shared" si="5"/>
        <v>207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2028</v>
      </c>
      <c r="C74" s="113"/>
      <c r="D74" s="113">
        <f t="shared" si="4"/>
        <v>201</v>
      </c>
      <c r="E74" s="113"/>
      <c r="F74" s="113">
        <v>0</v>
      </c>
      <c r="G74" s="113"/>
      <c r="H74" s="113">
        <f t="shared" si="5"/>
        <v>201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2029</v>
      </c>
      <c r="C75" s="113"/>
      <c r="D75" s="113">
        <f t="shared" si="4"/>
        <v>196</v>
      </c>
      <c r="E75" s="113"/>
      <c r="F75" s="113">
        <v>0</v>
      </c>
      <c r="G75" s="113"/>
      <c r="H75" s="113">
        <f t="shared" si="5"/>
        <v>196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>
      <c r="A76" s="95"/>
      <c r="B76" s="115">
        <v>2030</v>
      </c>
      <c r="C76" s="116"/>
      <c r="D76" s="116">
        <f t="shared" si="4"/>
        <v>191</v>
      </c>
      <c r="E76" s="116"/>
      <c r="F76" s="116">
        <v>0</v>
      </c>
      <c r="G76" s="116"/>
      <c r="H76" s="116">
        <f t="shared" si="5"/>
        <v>191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2">
        <v>2031</v>
      </c>
      <c r="C77" s="113"/>
      <c r="D77" s="113">
        <f t="shared" si="4"/>
        <v>186</v>
      </c>
      <c r="E77" s="113"/>
      <c r="F77" s="113">
        <v>0</v>
      </c>
      <c r="G77" s="113"/>
      <c r="H77" s="113">
        <f>ROUND(D77*(1+F77),0)</f>
        <v>186</v>
      </c>
      <c r="I77" s="113"/>
      <c r="J77" s="114">
        <v>0</v>
      </c>
      <c r="K77" s="114"/>
      <c r="L77" s="95"/>
      <c r="M77" s="95"/>
      <c r="N77" s="95"/>
      <c r="O77" s="95"/>
    </row>
    <row r="78" spans="1:15" ht="15" customHeight="1">
      <c r="A78" s="95"/>
      <c r="B78" s="112">
        <v>2032</v>
      </c>
      <c r="C78" s="113"/>
      <c r="D78" s="113">
        <f t="shared" si="4"/>
        <v>181</v>
      </c>
      <c r="E78" s="113"/>
      <c r="F78" s="113">
        <v>0</v>
      </c>
      <c r="G78" s="113"/>
      <c r="H78" s="113">
        <f>ROUND(D78*(1+F78),0)</f>
        <v>181</v>
      </c>
      <c r="I78" s="113"/>
      <c r="J78" s="114">
        <v>0</v>
      </c>
      <c r="K78" s="114"/>
      <c r="L78" s="95"/>
      <c r="M78" s="95"/>
      <c r="N78" s="95"/>
      <c r="O78" s="95"/>
    </row>
    <row r="79" spans="1:15" ht="15" customHeight="1">
      <c r="A79" s="95"/>
      <c r="B79" s="112">
        <v>2033</v>
      </c>
      <c r="C79" s="113"/>
      <c r="D79" s="113">
        <f t="shared" si="4"/>
        <v>176</v>
      </c>
      <c r="E79" s="113"/>
      <c r="F79" s="113">
        <v>0</v>
      </c>
      <c r="G79" s="113"/>
      <c r="H79" s="113">
        <f>ROUND(D79*(1+F79),0)</f>
        <v>176</v>
      </c>
      <c r="I79" s="113"/>
      <c r="J79" s="114">
        <v>0</v>
      </c>
      <c r="K79" s="114"/>
      <c r="L79" s="95"/>
      <c r="M79" s="95"/>
      <c r="N79" s="95"/>
      <c r="O79" s="95"/>
    </row>
    <row r="80" spans="1:15" ht="15" customHeight="1">
      <c r="A80" s="95"/>
      <c r="B80" s="112">
        <v>2034</v>
      </c>
      <c r="C80" s="113"/>
      <c r="D80" s="113">
        <f t="shared" si="4"/>
        <v>172</v>
      </c>
      <c r="E80" s="113"/>
      <c r="F80" s="113">
        <v>0</v>
      </c>
      <c r="G80" s="113"/>
      <c r="H80" s="113">
        <f>ROUND(D80*(1+F80),0)</f>
        <v>172</v>
      </c>
      <c r="I80" s="113"/>
      <c r="J80" s="114">
        <v>0</v>
      </c>
      <c r="K80" s="114"/>
      <c r="L80" s="95"/>
      <c r="M80" s="95"/>
      <c r="N80" s="95"/>
      <c r="O80" s="95"/>
    </row>
    <row r="81" spans="1:15" ht="15" customHeight="1" thickBot="1">
      <c r="A81" s="95"/>
      <c r="B81" s="115">
        <v>2035</v>
      </c>
      <c r="C81" s="116"/>
      <c r="D81" s="116">
        <f t="shared" si="4"/>
        <v>167</v>
      </c>
      <c r="E81" s="116"/>
      <c r="F81" s="116">
        <v>0</v>
      </c>
      <c r="G81" s="116"/>
      <c r="H81" s="116">
        <f>ROUND(D81*(1+F81),0)</f>
        <v>167</v>
      </c>
      <c r="I81" s="116"/>
      <c r="J81" s="117">
        <v>0</v>
      </c>
      <c r="K81" s="117"/>
      <c r="L81" s="95"/>
      <c r="M81" s="95"/>
      <c r="N81" s="95"/>
      <c r="O81" s="95"/>
    </row>
    <row r="82" spans="1:15" ht="15" customHeight="1">
      <c r="A82" s="95"/>
      <c r="B82" s="118" t="s">
        <v>177</v>
      </c>
      <c r="C82" s="118"/>
      <c r="D82" s="119" t="s">
        <v>178</v>
      </c>
      <c r="E82" s="120">
        <f>D$16</f>
        <v>292</v>
      </c>
      <c r="F82" s="121"/>
      <c r="G82" s="119" t="s">
        <v>179</v>
      </c>
      <c r="H82" s="119">
        <f>ROUND((E$82/D$7)^(1/(COUNT(D$7:D$16)-1)),6)</f>
        <v>0.97374499999999997</v>
      </c>
      <c r="I82" s="119"/>
      <c r="J82" s="119" t="s">
        <v>180</v>
      </c>
      <c r="K82" s="122" t="s">
        <v>181</v>
      </c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>
      <c r="A92" s="95"/>
      <c r="B92" s="110" t="s">
        <v>182</v>
      </c>
      <c r="C92" s="111"/>
      <c r="D92" s="111"/>
      <c r="E92" s="111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5"/>
      <c r="C93" s="111" t="s">
        <v>183</v>
      </c>
      <c r="D93" s="111" t="s">
        <v>184</v>
      </c>
      <c r="E93" s="111"/>
      <c r="F93" s="95"/>
      <c r="G93" s="95"/>
      <c r="H93" s="95"/>
      <c r="I93" s="95"/>
      <c r="J93" s="95"/>
      <c r="K93" s="95"/>
      <c r="L93" s="95"/>
      <c r="M93" s="95"/>
      <c r="N93" s="95"/>
      <c r="O93" s="95"/>
    </row>
    <row r="94" spans="1:15" ht="15" customHeight="1">
      <c r="A94" s="95"/>
      <c r="B94" s="111"/>
      <c r="C94" s="128" t="s">
        <v>185</v>
      </c>
      <c r="D94" s="111" t="s">
        <v>186</v>
      </c>
      <c r="E94" s="93"/>
      <c r="F94" s="95"/>
      <c r="G94" s="95"/>
      <c r="H94" s="95"/>
      <c r="I94" s="95"/>
      <c r="J94" s="95"/>
      <c r="K94" s="95"/>
      <c r="L94" s="95"/>
      <c r="M94" s="95"/>
      <c r="N94" s="95"/>
      <c r="O94" s="95"/>
    </row>
    <row r="95" spans="1:15" ht="15" customHeight="1">
      <c r="A95" s="95"/>
      <c r="B95" s="111"/>
      <c r="C95" s="111"/>
      <c r="D95" s="111" t="s">
        <v>187</v>
      </c>
      <c r="E95" s="111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1:15" ht="15" customHeight="1">
      <c r="A96" s="95"/>
      <c r="B96" s="93"/>
      <c r="C96" s="111"/>
      <c r="D96" s="111" t="s">
        <v>188</v>
      </c>
      <c r="E96" s="111"/>
      <c r="F96" s="95"/>
      <c r="G96" s="95"/>
      <c r="H96" s="95"/>
      <c r="I96" s="95"/>
      <c r="J96" s="95"/>
      <c r="K96" s="95"/>
      <c r="L96" s="95"/>
      <c r="M96" s="95"/>
      <c r="N96" s="95"/>
      <c r="O96" s="95"/>
    </row>
    <row r="97" spans="1:15" ht="15" customHeight="1" thickBot="1">
      <c r="A97" s="95"/>
      <c r="B97" s="95"/>
      <c r="C97" s="95"/>
      <c r="D97" s="95"/>
      <c r="E97" s="95"/>
      <c r="F97" s="100" t="s">
        <v>189</v>
      </c>
      <c r="G97" s="100"/>
      <c r="H97" s="95"/>
      <c r="I97" s="95"/>
      <c r="J97" s="95"/>
      <c r="K97" s="95"/>
      <c r="L97" s="95"/>
      <c r="M97" s="95"/>
      <c r="N97" s="95"/>
      <c r="O97" s="95"/>
    </row>
    <row r="98" spans="1:15" ht="15" customHeight="1">
      <c r="A98" s="95"/>
      <c r="B98" s="94" t="s">
        <v>190</v>
      </c>
      <c r="C98" s="94"/>
      <c r="D98" s="94" t="s">
        <v>191</v>
      </c>
      <c r="E98" s="94" t="s">
        <v>192</v>
      </c>
      <c r="F98" s="94" t="s">
        <v>193</v>
      </c>
      <c r="G98" s="94"/>
      <c r="H98" s="94" t="s">
        <v>194</v>
      </c>
      <c r="I98" s="94"/>
      <c r="J98" s="94" t="s">
        <v>195</v>
      </c>
      <c r="K98" s="94"/>
      <c r="L98" s="95"/>
      <c r="M98" s="95"/>
      <c r="N98" s="95"/>
      <c r="O98" s="95"/>
    </row>
    <row r="99" spans="1:15" ht="15" customHeight="1">
      <c r="A99" s="95"/>
      <c r="B99" s="96">
        <f t="shared" ref="B99:B108" si="6">B7</f>
        <v>2005</v>
      </c>
      <c r="C99" s="96"/>
      <c r="D99" s="100">
        <f t="shared" ref="D99:D108" si="7">VLOOKUP(B99,B$7:E$16,3,FALSE)</f>
        <v>371</v>
      </c>
      <c r="E99" s="129">
        <f t="shared" ref="E99:E108" si="8">((COUNT(B$99:B$108)-1)/2)+(B99-$C$4)</f>
        <v>-4.5</v>
      </c>
      <c r="F99" s="100">
        <f t="shared" ref="F99:F108" si="9">E99^2</f>
        <v>20.25</v>
      </c>
      <c r="G99" s="98"/>
      <c r="H99" s="130">
        <f t="shared" ref="H99:H108" si="10">ROUND(D99*E99,2)</f>
        <v>-1669.5</v>
      </c>
      <c r="I99" s="131"/>
      <c r="J99" s="102">
        <v>0</v>
      </c>
      <c r="K99" s="102"/>
      <c r="L99" s="95"/>
      <c r="M99" s="95"/>
      <c r="N99" s="95"/>
      <c r="O99" s="95"/>
    </row>
    <row r="100" spans="1:15" ht="15" customHeight="1">
      <c r="A100" s="95"/>
      <c r="B100" s="96">
        <f t="shared" si="6"/>
        <v>2006</v>
      </c>
      <c r="C100" s="96"/>
      <c r="D100" s="100">
        <f t="shared" si="7"/>
        <v>434</v>
      </c>
      <c r="E100" s="129">
        <f t="shared" si="8"/>
        <v>-3.5</v>
      </c>
      <c r="F100" s="100">
        <f t="shared" si="9"/>
        <v>12.25</v>
      </c>
      <c r="G100" s="98"/>
      <c r="H100" s="130">
        <f t="shared" si="10"/>
        <v>-1519</v>
      </c>
      <c r="I100" s="131"/>
      <c r="J100" s="102">
        <v>0</v>
      </c>
      <c r="K100" s="102"/>
      <c r="L100" s="95"/>
      <c r="M100" s="95"/>
      <c r="N100" s="95"/>
      <c r="O100" s="95"/>
    </row>
    <row r="101" spans="1:15" ht="15" customHeight="1">
      <c r="A101" s="95"/>
      <c r="B101" s="96">
        <f t="shared" si="6"/>
        <v>2007</v>
      </c>
      <c r="C101" s="96"/>
      <c r="D101" s="100">
        <f t="shared" si="7"/>
        <v>413</v>
      </c>
      <c r="E101" s="129">
        <f t="shared" si="8"/>
        <v>-2.5</v>
      </c>
      <c r="F101" s="100">
        <f>E101^2</f>
        <v>6.25</v>
      </c>
      <c r="G101" s="98"/>
      <c r="H101" s="130">
        <f t="shared" si="10"/>
        <v>-1032.5</v>
      </c>
      <c r="I101" s="131"/>
      <c r="J101" s="102">
        <v>0</v>
      </c>
      <c r="K101" s="102"/>
      <c r="L101" s="95"/>
      <c r="M101" s="95"/>
      <c r="N101" s="95"/>
      <c r="O101" s="95"/>
    </row>
    <row r="102" spans="1:15" ht="15" customHeight="1">
      <c r="A102" s="95"/>
      <c r="B102" s="96">
        <f t="shared" si="6"/>
        <v>2008</v>
      </c>
      <c r="C102" s="96"/>
      <c r="D102" s="100">
        <f t="shared" si="7"/>
        <v>410</v>
      </c>
      <c r="E102" s="129">
        <f t="shared" si="8"/>
        <v>-1.5</v>
      </c>
      <c r="F102" s="100">
        <f t="shared" si="9"/>
        <v>2.25</v>
      </c>
      <c r="G102" s="98"/>
      <c r="H102" s="130">
        <f t="shared" si="10"/>
        <v>-615</v>
      </c>
      <c r="I102" s="131"/>
      <c r="J102" s="102">
        <v>0</v>
      </c>
      <c r="K102" s="102"/>
      <c r="L102" s="95"/>
      <c r="M102" s="95"/>
      <c r="N102" s="95"/>
      <c r="O102" s="95"/>
    </row>
    <row r="103" spans="1:15" ht="15" customHeight="1">
      <c r="A103" s="95"/>
      <c r="B103" s="96">
        <f t="shared" si="6"/>
        <v>2009</v>
      </c>
      <c r="C103" s="96"/>
      <c r="D103" s="100">
        <f t="shared" si="7"/>
        <v>373</v>
      </c>
      <c r="E103" s="129">
        <f t="shared" si="8"/>
        <v>-0.5</v>
      </c>
      <c r="F103" s="100">
        <f t="shared" si="9"/>
        <v>0.25</v>
      </c>
      <c r="G103" s="98"/>
      <c r="H103" s="130">
        <f t="shared" si="10"/>
        <v>-186.5</v>
      </c>
      <c r="I103" s="131"/>
      <c r="J103" s="102">
        <v>0</v>
      </c>
      <c r="K103" s="102"/>
      <c r="L103" s="95"/>
      <c r="M103" s="95"/>
      <c r="N103" s="95"/>
      <c r="O103" s="95"/>
    </row>
    <row r="104" spans="1:15" ht="15" customHeight="1">
      <c r="A104" s="95"/>
      <c r="B104" s="96">
        <f t="shared" si="6"/>
        <v>2010</v>
      </c>
      <c r="C104" s="96"/>
      <c r="D104" s="100">
        <f t="shared" si="7"/>
        <v>274</v>
      </c>
      <c r="E104" s="129">
        <f t="shared" si="8"/>
        <v>0.5</v>
      </c>
      <c r="F104" s="100">
        <f t="shared" si="9"/>
        <v>0.25</v>
      </c>
      <c r="G104" s="98"/>
      <c r="H104" s="130">
        <f t="shared" si="10"/>
        <v>137</v>
      </c>
      <c r="I104" s="131"/>
      <c r="J104" s="102">
        <v>0</v>
      </c>
      <c r="K104" s="102"/>
      <c r="L104" s="95"/>
      <c r="M104" s="95"/>
      <c r="N104" s="95"/>
      <c r="O104" s="95"/>
    </row>
    <row r="105" spans="1:15" ht="15" customHeight="1">
      <c r="A105" s="95"/>
      <c r="B105" s="96">
        <f t="shared" si="6"/>
        <v>2011</v>
      </c>
      <c r="C105" s="96"/>
      <c r="D105" s="100">
        <f t="shared" si="7"/>
        <v>228</v>
      </c>
      <c r="E105" s="129">
        <f t="shared" si="8"/>
        <v>1.5</v>
      </c>
      <c r="F105" s="100">
        <f t="shared" si="9"/>
        <v>2.25</v>
      </c>
      <c r="G105" s="98"/>
      <c r="H105" s="130">
        <f t="shared" si="10"/>
        <v>342</v>
      </c>
      <c r="I105" s="131"/>
      <c r="J105" s="102">
        <v>0</v>
      </c>
      <c r="K105" s="102"/>
      <c r="L105" s="95"/>
      <c r="M105" s="95"/>
      <c r="N105" s="95"/>
      <c r="O105" s="95"/>
    </row>
    <row r="106" spans="1:15" ht="15" customHeight="1">
      <c r="A106" s="95"/>
      <c r="B106" s="96">
        <f t="shared" si="6"/>
        <v>2012</v>
      </c>
      <c r="C106" s="96"/>
      <c r="D106" s="100">
        <f t="shared" si="7"/>
        <v>241</v>
      </c>
      <c r="E106" s="129">
        <f t="shared" si="8"/>
        <v>2.5</v>
      </c>
      <c r="F106" s="100">
        <f t="shared" si="9"/>
        <v>6.25</v>
      </c>
      <c r="G106" s="98"/>
      <c r="H106" s="130">
        <f t="shared" si="10"/>
        <v>602.5</v>
      </c>
      <c r="I106" s="131"/>
      <c r="J106" s="102">
        <v>0</v>
      </c>
      <c r="K106" s="102"/>
      <c r="L106" s="95"/>
      <c r="M106" s="95"/>
      <c r="N106" s="95"/>
      <c r="O106" s="95"/>
    </row>
    <row r="107" spans="1:15" ht="15" customHeight="1">
      <c r="A107" s="95"/>
      <c r="B107" s="96">
        <f t="shared" si="6"/>
        <v>2013</v>
      </c>
      <c r="C107" s="96"/>
      <c r="D107" s="100">
        <f t="shared" si="7"/>
        <v>252</v>
      </c>
      <c r="E107" s="129">
        <f t="shared" si="8"/>
        <v>3.5</v>
      </c>
      <c r="F107" s="100">
        <f t="shared" si="9"/>
        <v>12.25</v>
      </c>
      <c r="G107" s="98"/>
      <c r="H107" s="130">
        <f t="shared" si="10"/>
        <v>882</v>
      </c>
      <c r="I107" s="131"/>
      <c r="J107" s="102">
        <v>0</v>
      </c>
      <c r="K107" s="102"/>
      <c r="L107" s="95"/>
      <c r="M107" s="95"/>
      <c r="N107" s="95"/>
      <c r="O107" s="95"/>
    </row>
    <row r="108" spans="1:15" ht="15" customHeight="1">
      <c r="A108" s="95"/>
      <c r="B108" s="96">
        <f t="shared" si="6"/>
        <v>2014</v>
      </c>
      <c r="C108" s="96"/>
      <c r="D108" s="100">
        <f t="shared" si="7"/>
        <v>292</v>
      </c>
      <c r="E108" s="129">
        <f t="shared" si="8"/>
        <v>4.5</v>
      </c>
      <c r="F108" s="100">
        <f t="shared" si="9"/>
        <v>20.25</v>
      </c>
      <c r="G108" s="98"/>
      <c r="H108" s="130">
        <f t="shared" si="10"/>
        <v>1314</v>
      </c>
      <c r="I108" s="131"/>
      <c r="J108" s="102">
        <v>0</v>
      </c>
      <c r="K108" s="102"/>
      <c r="L108" s="95"/>
      <c r="M108" s="95"/>
      <c r="N108" s="95"/>
      <c r="O108" s="95"/>
    </row>
    <row r="109" spans="1:15" ht="15" customHeight="1" thickBot="1">
      <c r="A109" s="95"/>
      <c r="B109" s="103" t="s">
        <v>196</v>
      </c>
      <c r="C109" s="104"/>
      <c r="D109" s="132">
        <f>SUM(D99:D108)</f>
        <v>3288</v>
      </c>
      <c r="E109" s="107"/>
      <c r="F109" s="133">
        <f>ROUND(SUM(F99:F108),0)</f>
        <v>83</v>
      </c>
      <c r="G109" s="104"/>
      <c r="H109" s="134">
        <f>SUM(H99:H108)</f>
        <v>-1745</v>
      </c>
      <c r="I109" s="108"/>
      <c r="J109" s="135"/>
      <c r="K109" s="135"/>
      <c r="L109" s="95"/>
      <c r="M109" s="95"/>
      <c r="N109" s="95"/>
      <c r="O109" s="95"/>
    </row>
    <row r="110" spans="1:15" ht="15" customHeight="1">
      <c r="A110" s="95"/>
      <c r="B110" s="100" t="s">
        <v>197</v>
      </c>
      <c r="C110" s="100"/>
      <c r="D110" s="136" t="s">
        <v>198</v>
      </c>
      <c r="E110" s="95"/>
      <c r="F110" s="95"/>
      <c r="G110" s="93">
        <f>((COUNT(B$99:B$108))*H$109-D$109*E$109)/((COUNT(B$99:B$108))*F$109-E$109*E$109)</f>
        <v>-21.024096385542169</v>
      </c>
      <c r="H110" s="136" t="s">
        <v>199</v>
      </c>
      <c r="I110" s="93"/>
      <c r="J110" s="93"/>
      <c r="K110" s="93">
        <f>ROUND((F109*D109-H109*E109)/(COUNT(B$99:B$108)*F109-E109*E109),0)</f>
        <v>329</v>
      </c>
      <c r="L110" s="95"/>
      <c r="M110" s="95"/>
      <c r="N110" s="95"/>
      <c r="O110" s="95"/>
    </row>
    <row r="111" spans="1:15" ht="15" customHeight="1">
      <c r="A111" s="95"/>
      <c r="B111" s="123"/>
      <c r="C111" s="123"/>
      <c r="D111" s="137"/>
      <c r="E111" s="93"/>
      <c r="F111" s="126"/>
      <c r="G111" s="124"/>
      <c r="H111" s="95"/>
      <c r="I111" s="124"/>
      <c r="J111" s="124"/>
      <c r="K111" s="127"/>
      <c r="L111" s="95"/>
      <c r="M111" s="95"/>
      <c r="N111" s="95"/>
      <c r="O111" s="95"/>
    </row>
    <row r="112" spans="1:15" ht="15" customHeight="1">
      <c r="A112" s="95"/>
      <c r="B112" s="95"/>
      <c r="C112" s="95"/>
      <c r="D112" s="95"/>
      <c r="E112" s="111"/>
      <c r="F112" s="95"/>
      <c r="G112" s="95"/>
      <c r="H112" s="95"/>
      <c r="I112" s="95"/>
      <c r="J112" s="95"/>
      <c r="K112" s="95"/>
      <c r="L112" s="95"/>
      <c r="M112" s="95"/>
      <c r="N112" s="95"/>
      <c r="O112" s="95"/>
    </row>
    <row r="113" spans="1:15" ht="15" customHeight="1" thickBot="1">
      <c r="A113" s="95"/>
      <c r="B113" s="95"/>
      <c r="C113" s="95"/>
      <c r="D113" s="95"/>
      <c r="E113" s="95"/>
      <c r="F113" s="100" t="s">
        <v>200</v>
      </c>
      <c r="G113" s="100"/>
      <c r="H113" s="95"/>
      <c r="I113" s="95"/>
      <c r="J113" s="95"/>
      <c r="K113" s="95"/>
      <c r="L113" s="95"/>
      <c r="M113" s="95"/>
      <c r="N113" s="95"/>
      <c r="O113" s="95"/>
    </row>
    <row r="114" spans="1:15" ht="15" customHeight="1">
      <c r="A114" s="95"/>
      <c r="B114" s="94" t="s">
        <v>201</v>
      </c>
      <c r="C114" s="94"/>
      <c r="D114" s="94" t="s">
        <v>202</v>
      </c>
      <c r="E114" s="94"/>
      <c r="F114" s="94" t="s">
        <v>157</v>
      </c>
      <c r="G114" s="94"/>
      <c r="H114" s="94" t="s">
        <v>158</v>
      </c>
      <c r="I114" s="94"/>
      <c r="J114" s="94" t="s">
        <v>159</v>
      </c>
      <c r="K114" s="94"/>
      <c r="L114" s="95"/>
      <c r="M114" s="95"/>
      <c r="N114" s="95"/>
      <c r="O114" s="95"/>
    </row>
    <row r="115" spans="1:15" ht="15" customHeight="1">
      <c r="A115" s="95"/>
      <c r="B115" s="112">
        <v>2014</v>
      </c>
      <c r="C115" s="113"/>
      <c r="D115" s="113">
        <f t="shared" ref="D115:D131" si="11">ROUNDUP(G$110*(B115-B$108+E$108)+K$110,0)</f>
        <v>235</v>
      </c>
      <c r="E115" s="113"/>
      <c r="F115" s="113">
        <v>0</v>
      </c>
      <c r="G115" s="113"/>
      <c r="H115" s="113">
        <f t="shared" ref="H115:H131" si="12">ROUND(D115*(1+F115),0)</f>
        <v>235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2015</v>
      </c>
      <c r="C116" s="116"/>
      <c r="D116" s="116">
        <f t="shared" si="11"/>
        <v>214</v>
      </c>
      <c r="E116" s="116"/>
      <c r="F116" s="116">
        <v>0</v>
      </c>
      <c r="G116" s="116"/>
      <c r="H116" s="116">
        <f t="shared" si="12"/>
        <v>214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2016</v>
      </c>
      <c r="C117" s="113"/>
      <c r="D117" s="113">
        <f t="shared" si="11"/>
        <v>193</v>
      </c>
      <c r="E117" s="113"/>
      <c r="F117" s="113">
        <v>0</v>
      </c>
      <c r="G117" s="113"/>
      <c r="H117" s="113">
        <f t="shared" si="12"/>
        <v>193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2017</v>
      </c>
      <c r="C118" s="113"/>
      <c r="D118" s="113">
        <f t="shared" si="11"/>
        <v>172</v>
      </c>
      <c r="E118" s="113"/>
      <c r="F118" s="113">
        <v>0</v>
      </c>
      <c r="G118" s="113"/>
      <c r="H118" s="113">
        <f t="shared" si="12"/>
        <v>172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2018</v>
      </c>
      <c r="C119" s="113"/>
      <c r="D119" s="113">
        <f t="shared" si="11"/>
        <v>151</v>
      </c>
      <c r="E119" s="113"/>
      <c r="F119" s="113">
        <v>0</v>
      </c>
      <c r="G119" s="113"/>
      <c r="H119" s="113">
        <f t="shared" si="12"/>
        <v>151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2019</v>
      </c>
      <c r="C120" s="113"/>
      <c r="D120" s="113">
        <f t="shared" si="11"/>
        <v>130</v>
      </c>
      <c r="E120" s="113"/>
      <c r="F120" s="113">
        <v>0</v>
      </c>
      <c r="G120" s="113"/>
      <c r="H120" s="113">
        <f t="shared" si="12"/>
        <v>130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2020</v>
      </c>
      <c r="C121" s="116"/>
      <c r="D121" s="116">
        <f t="shared" si="11"/>
        <v>109</v>
      </c>
      <c r="E121" s="116"/>
      <c r="F121" s="116">
        <v>0</v>
      </c>
      <c r="G121" s="116"/>
      <c r="H121" s="116">
        <f t="shared" si="12"/>
        <v>109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2021</v>
      </c>
      <c r="C122" s="113"/>
      <c r="D122" s="113">
        <f t="shared" si="11"/>
        <v>88</v>
      </c>
      <c r="E122" s="113"/>
      <c r="F122" s="113">
        <v>0</v>
      </c>
      <c r="G122" s="113"/>
      <c r="H122" s="113">
        <f t="shared" si="12"/>
        <v>88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2022</v>
      </c>
      <c r="C123" s="113"/>
      <c r="D123" s="113">
        <f t="shared" si="11"/>
        <v>67</v>
      </c>
      <c r="E123" s="113"/>
      <c r="F123" s="113">
        <v>0</v>
      </c>
      <c r="G123" s="113"/>
      <c r="H123" s="113">
        <f t="shared" si="12"/>
        <v>67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2023</v>
      </c>
      <c r="C124" s="113"/>
      <c r="D124" s="113">
        <f t="shared" si="11"/>
        <v>46</v>
      </c>
      <c r="E124" s="113"/>
      <c r="F124" s="113">
        <v>0</v>
      </c>
      <c r="G124" s="113"/>
      <c r="H124" s="113">
        <f t="shared" si="12"/>
        <v>46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2024</v>
      </c>
      <c r="C125" s="113"/>
      <c r="D125" s="113">
        <f t="shared" si="11"/>
        <v>25</v>
      </c>
      <c r="E125" s="113"/>
      <c r="F125" s="113">
        <v>0</v>
      </c>
      <c r="G125" s="113"/>
      <c r="H125" s="113">
        <f t="shared" si="12"/>
        <v>25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>
      <c r="A126" s="95"/>
      <c r="B126" s="115">
        <v>2025</v>
      </c>
      <c r="C126" s="116"/>
      <c r="D126" s="116">
        <f t="shared" si="11"/>
        <v>4</v>
      </c>
      <c r="E126" s="116"/>
      <c r="F126" s="116">
        <v>0</v>
      </c>
      <c r="G126" s="116"/>
      <c r="H126" s="116">
        <f t="shared" si="12"/>
        <v>4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12">
        <v>2026</v>
      </c>
      <c r="C127" s="113"/>
      <c r="D127" s="113">
        <f t="shared" si="11"/>
        <v>-18</v>
      </c>
      <c r="E127" s="113"/>
      <c r="F127" s="113">
        <v>0</v>
      </c>
      <c r="G127" s="113"/>
      <c r="H127" s="113">
        <f t="shared" si="12"/>
        <v>-18</v>
      </c>
      <c r="I127" s="113"/>
      <c r="J127" s="114">
        <v>0</v>
      </c>
      <c r="K127" s="114"/>
      <c r="L127" s="95"/>
      <c r="M127" s="95"/>
      <c r="N127" s="95"/>
      <c r="O127" s="95"/>
    </row>
    <row r="128" spans="1:15" ht="15" customHeight="1">
      <c r="A128" s="95"/>
      <c r="B128" s="112">
        <v>2027</v>
      </c>
      <c r="C128" s="113"/>
      <c r="D128" s="113">
        <f t="shared" si="11"/>
        <v>-39</v>
      </c>
      <c r="E128" s="113"/>
      <c r="F128" s="113">
        <v>0</v>
      </c>
      <c r="G128" s="113"/>
      <c r="H128" s="113">
        <f t="shared" si="12"/>
        <v>-39</v>
      </c>
      <c r="I128" s="113"/>
      <c r="J128" s="114">
        <v>0</v>
      </c>
      <c r="K128" s="114"/>
      <c r="L128" s="95"/>
      <c r="M128" s="95"/>
      <c r="N128" s="95"/>
      <c r="O128" s="95"/>
    </row>
    <row r="129" spans="1:15" ht="15" customHeight="1">
      <c r="A129" s="95"/>
      <c r="B129" s="112">
        <v>2028</v>
      </c>
      <c r="C129" s="113"/>
      <c r="D129" s="113">
        <f t="shared" si="11"/>
        <v>-60</v>
      </c>
      <c r="E129" s="113"/>
      <c r="F129" s="113">
        <v>0</v>
      </c>
      <c r="G129" s="113"/>
      <c r="H129" s="113">
        <f t="shared" si="12"/>
        <v>-60</v>
      </c>
      <c r="I129" s="113"/>
      <c r="J129" s="114">
        <v>0</v>
      </c>
      <c r="K129" s="114"/>
      <c r="L129" s="95"/>
      <c r="M129" s="95"/>
      <c r="N129" s="95"/>
      <c r="O129" s="95"/>
    </row>
    <row r="130" spans="1:15" ht="15" customHeight="1">
      <c r="A130" s="95"/>
      <c r="B130" s="112">
        <v>2029</v>
      </c>
      <c r="C130" s="113"/>
      <c r="D130" s="113">
        <f t="shared" si="11"/>
        <v>-81</v>
      </c>
      <c r="E130" s="113"/>
      <c r="F130" s="113">
        <v>0</v>
      </c>
      <c r="G130" s="113"/>
      <c r="H130" s="113">
        <f t="shared" si="12"/>
        <v>-81</v>
      </c>
      <c r="I130" s="113"/>
      <c r="J130" s="114">
        <v>0</v>
      </c>
      <c r="K130" s="114"/>
      <c r="L130" s="95"/>
      <c r="M130" s="95"/>
      <c r="N130" s="95"/>
      <c r="O130" s="95"/>
    </row>
    <row r="131" spans="1:15" ht="15" customHeight="1">
      <c r="A131" s="95"/>
      <c r="B131" s="115">
        <v>2030</v>
      </c>
      <c r="C131" s="116"/>
      <c r="D131" s="116">
        <f t="shared" si="11"/>
        <v>-102</v>
      </c>
      <c r="E131" s="116"/>
      <c r="F131" s="116">
        <v>0</v>
      </c>
      <c r="G131" s="116"/>
      <c r="H131" s="116">
        <f t="shared" si="12"/>
        <v>-102</v>
      </c>
      <c r="I131" s="116"/>
      <c r="J131" s="117">
        <v>0</v>
      </c>
      <c r="K131" s="117"/>
      <c r="L131" s="95"/>
      <c r="M131" s="95"/>
      <c r="N131" s="95"/>
      <c r="O131" s="95"/>
    </row>
    <row r="132" spans="1:15" ht="15" customHeight="1">
      <c r="A132" s="95"/>
      <c r="B132" s="112">
        <v>2031</v>
      </c>
      <c r="C132" s="113"/>
      <c r="D132" s="113">
        <f>ROUNDUP(G$110*(B132-B$108+E$108)+K$110,0)</f>
        <v>-124</v>
      </c>
      <c r="E132" s="113"/>
      <c r="F132" s="113">
        <v>0</v>
      </c>
      <c r="G132" s="113"/>
      <c r="H132" s="113">
        <f>ROUND(D132*(1+F132),0)</f>
        <v>-124</v>
      </c>
      <c r="I132" s="113"/>
      <c r="J132" s="114">
        <v>0</v>
      </c>
      <c r="K132" s="114"/>
      <c r="L132" s="95"/>
      <c r="M132" s="95"/>
      <c r="N132" s="95"/>
      <c r="O132" s="95"/>
    </row>
    <row r="133" spans="1:15" ht="15" customHeight="1">
      <c r="A133" s="95"/>
      <c r="B133" s="112">
        <v>2032</v>
      </c>
      <c r="C133" s="113"/>
      <c r="D133" s="113">
        <f>ROUNDUP(G$110*(B133-B$108+E$108)+K$110,0)</f>
        <v>-145</v>
      </c>
      <c r="E133" s="113"/>
      <c r="F133" s="113">
        <v>0</v>
      </c>
      <c r="G133" s="113"/>
      <c r="H133" s="113">
        <f>ROUND(D133*(1+F133),0)</f>
        <v>-145</v>
      </c>
      <c r="I133" s="113"/>
      <c r="J133" s="114">
        <v>0</v>
      </c>
      <c r="K133" s="114"/>
      <c r="L133" s="95"/>
      <c r="M133" s="95"/>
      <c r="N133" s="95"/>
      <c r="O133" s="95"/>
    </row>
    <row r="134" spans="1:15" ht="15" customHeight="1">
      <c r="A134" s="95"/>
      <c r="B134" s="112">
        <v>2033</v>
      </c>
      <c r="C134" s="113"/>
      <c r="D134" s="113">
        <f>ROUNDUP(G$110*(B134-B$108+E$108)+K$110,0)</f>
        <v>-166</v>
      </c>
      <c r="E134" s="113"/>
      <c r="F134" s="113">
        <v>0</v>
      </c>
      <c r="G134" s="113"/>
      <c r="H134" s="113">
        <f>ROUND(D134*(1+F134),0)</f>
        <v>-166</v>
      </c>
      <c r="I134" s="113"/>
      <c r="J134" s="114">
        <v>0</v>
      </c>
      <c r="K134" s="114"/>
      <c r="L134" s="95"/>
      <c r="M134" s="95"/>
      <c r="N134" s="95"/>
      <c r="O134" s="95"/>
    </row>
    <row r="135" spans="1:15" ht="15" customHeight="1">
      <c r="A135" s="95"/>
      <c r="B135" s="112">
        <v>2034</v>
      </c>
      <c r="C135" s="113"/>
      <c r="D135" s="113">
        <f>ROUNDUP(G$110*(B135-B$108+E$108)+K$110,0)</f>
        <v>-187</v>
      </c>
      <c r="E135" s="113"/>
      <c r="F135" s="113">
        <v>0</v>
      </c>
      <c r="G135" s="113"/>
      <c r="H135" s="113">
        <f>ROUND(D135*(1+F135),0)</f>
        <v>-187</v>
      </c>
      <c r="I135" s="113"/>
      <c r="J135" s="114">
        <v>0</v>
      </c>
      <c r="K135" s="114"/>
      <c r="L135" s="95"/>
      <c r="M135" s="95"/>
      <c r="N135" s="95"/>
      <c r="O135" s="95"/>
    </row>
    <row r="136" spans="1:15" ht="15" customHeight="1" thickBot="1">
      <c r="A136" s="95"/>
      <c r="B136" s="115">
        <v>2035</v>
      </c>
      <c r="C136" s="116"/>
      <c r="D136" s="116">
        <f>ROUNDUP(G$110*(B136-B$108+E$108)+K$110,0)</f>
        <v>-208</v>
      </c>
      <c r="E136" s="116"/>
      <c r="F136" s="116">
        <v>0</v>
      </c>
      <c r="G136" s="116"/>
      <c r="H136" s="116">
        <f>ROUND(D136*(1+F136),0)</f>
        <v>-208</v>
      </c>
      <c r="I136" s="116"/>
      <c r="J136" s="117">
        <v>0</v>
      </c>
      <c r="K136" s="117"/>
      <c r="L136" s="95"/>
      <c r="M136" s="95"/>
      <c r="N136" s="95"/>
      <c r="O136" s="95"/>
    </row>
    <row r="137" spans="1:15" ht="15" customHeight="1">
      <c r="A137" s="95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95"/>
      <c r="M137" s="95"/>
      <c r="N137" s="95"/>
      <c r="O137" s="95"/>
    </row>
    <row r="138" spans="1:15" ht="15" customHeight="1">
      <c r="A138" s="95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95"/>
      <c r="M138" s="95"/>
      <c r="N138" s="95"/>
      <c r="O138" s="95"/>
    </row>
    <row r="139" spans="1:15" ht="15" customHeight="1">
      <c r="A139" s="95"/>
      <c r="B139" s="110" t="s">
        <v>203</v>
      </c>
      <c r="C139" s="111"/>
      <c r="D139" s="111"/>
      <c r="E139" s="111"/>
      <c r="F139" s="111"/>
      <c r="G139" s="95"/>
      <c r="H139" s="95"/>
      <c r="I139" s="95"/>
      <c r="J139" s="95"/>
      <c r="K139" s="95"/>
      <c r="L139" s="95"/>
      <c r="M139" s="95"/>
      <c r="N139" s="95"/>
      <c r="O139" s="95"/>
    </row>
    <row r="140" spans="1:15" ht="15" customHeight="1">
      <c r="A140" s="95"/>
      <c r="B140" s="95"/>
      <c r="C140" s="111" t="s">
        <v>204</v>
      </c>
      <c r="D140" s="111" t="s">
        <v>205</v>
      </c>
      <c r="E140" s="111"/>
      <c r="F140" s="111"/>
      <c r="G140" s="138" t="b">
        <v>1</v>
      </c>
      <c r="H140" s="95"/>
      <c r="I140" s="95"/>
      <c r="J140" s="95"/>
      <c r="K140" s="95"/>
      <c r="L140" s="95"/>
      <c r="M140" s="95"/>
      <c r="N140" s="95"/>
      <c r="O140" s="95"/>
    </row>
    <row r="141" spans="1:15" ht="15" customHeight="1">
      <c r="A141" s="95"/>
      <c r="B141" s="93"/>
      <c r="C141" s="128" t="s">
        <v>206</v>
      </c>
      <c r="D141" s="111" t="s">
        <v>207</v>
      </c>
      <c r="E141" s="111"/>
      <c r="F141" s="93"/>
      <c r="G141" s="139" t="b">
        <v>0</v>
      </c>
      <c r="H141" s="95"/>
      <c r="I141" s="95"/>
      <c r="J141" s="95"/>
      <c r="K141" s="95"/>
      <c r="L141" s="95"/>
      <c r="M141" s="95"/>
      <c r="N141" s="95"/>
      <c r="O141" s="95"/>
    </row>
    <row r="142" spans="1:15" ht="15" customHeight="1">
      <c r="A142" s="95"/>
      <c r="B142" s="93"/>
      <c r="C142" s="128"/>
      <c r="D142" s="111" t="s">
        <v>208</v>
      </c>
      <c r="E142" s="111"/>
      <c r="F142" s="93"/>
      <c r="G142" s="95"/>
      <c r="H142" s="95"/>
      <c r="I142" s="95"/>
      <c r="J142" s="95"/>
      <c r="K142" s="95"/>
      <c r="L142" s="95"/>
      <c r="M142" s="95"/>
      <c r="N142" s="95"/>
      <c r="O142" s="95"/>
    </row>
    <row r="143" spans="1:15" ht="15" customHeight="1">
      <c r="A143" s="95"/>
      <c r="B143" s="111"/>
      <c r="C143" s="111"/>
      <c r="D143" s="111" t="s">
        <v>209</v>
      </c>
      <c r="E143" s="111"/>
      <c r="F143" s="111"/>
      <c r="G143" s="95"/>
      <c r="H143" s="95"/>
      <c r="I143" s="95"/>
      <c r="J143" s="95"/>
      <c r="K143" s="95"/>
      <c r="L143" s="95"/>
      <c r="M143" s="95"/>
      <c r="N143" s="95"/>
      <c r="O143" s="95"/>
    </row>
    <row r="144" spans="1:15" ht="15" customHeight="1" thickBot="1">
      <c r="A144" s="95"/>
      <c r="B144" s="95"/>
      <c r="C144" s="95"/>
      <c r="D144" s="95"/>
      <c r="E144" s="95"/>
      <c r="F144" s="100" t="s">
        <v>210</v>
      </c>
      <c r="G144" s="100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>
      <c r="A145" s="95"/>
      <c r="B145" s="94" t="s">
        <v>211</v>
      </c>
      <c r="C145" s="94"/>
      <c r="D145" s="94" t="s">
        <v>212</v>
      </c>
      <c r="E145" s="94" t="s">
        <v>213</v>
      </c>
      <c r="F145" s="94" t="s">
        <v>213</v>
      </c>
      <c r="G145" s="94" t="s">
        <v>214</v>
      </c>
      <c r="H145" s="94" t="s">
        <v>215</v>
      </c>
      <c r="I145" s="94"/>
      <c r="J145" s="94" t="s">
        <v>216</v>
      </c>
      <c r="K145" s="94" t="s">
        <v>217</v>
      </c>
      <c r="L145" s="95"/>
      <c r="M145" s="95"/>
      <c r="N145" s="95"/>
      <c r="O145" s="95"/>
    </row>
    <row r="146" spans="1:15" ht="15" customHeight="1">
      <c r="A146" s="95"/>
      <c r="B146" s="96">
        <f t="shared" ref="B146:B155" si="13">B99</f>
        <v>2005</v>
      </c>
      <c r="C146" s="96"/>
      <c r="D146" s="100">
        <f t="shared" ref="D146:D155" si="14">VLOOKUP(B146,B$7:E$16,3,FALSE)</f>
        <v>371</v>
      </c>
      <c r="E146" s="140">
        <f t="shared" ref="E146:E155" si="15">IF(G$140=FALSE,"",((COUNT(B$99:B$108)-1))+(B146-$C$4))</f>
        <v>0</v>
      </c>
      <c r="F146" s="141">
        <f>IF(E146=0,0,"")</f>
        <v>0</v>
      </c>
      <c r="G146" s="142">
        <f t="shared" ref="G146:G155" si="16">IF(F146="","",F146^2)</f>
        <v>0</v>
      </c>
      <c r="H146" s="131">
        <f t="shared" ref="H146:H155" si="17">IF(G146="","",ABS(D146-D$146))</f>
        <v>0</v>
      </c>
      <c r="I146" s="131"/>
      <c r="J146" s="141">
        <f>IF(H146=0,0,"")</f>
        <v>0</v>
      </c>
      <c r="K146" s="143">
        <f t="shared" ref="K146:K155" si="18">IF(J146="","",J146*F146)</f>
        <v>0</v>
      </c>
      <c r="L146" s="95"/>
      <c r="M146" s="95"/>
      <c r="N146" s="95"/>
      <c r="O146" s="95"/>
    </row>
    <row r="147" spans="1:15" ht="15" customHeight="1">
      <c r="A147" s="95"/>
      <c r="B147" s="96">
        <f t="shared" si="13"/>
        <v>2006</v>
      </c>
      <c r="C147" s="96"/>
      <c r="D147" s="100">
        <f t="shared" si="14"/>
        <v>434</v>
      </c>
      <c r="E147" s="140">
        <f t="shared" si="15"/>
        <v>1</v>
      </c>
      <c r="F147" s="141">
        <f t="shared" ref="F147:F155" si="19">IF(E147="","",LOG(E147))</f>
        <v>0</v>
      </c>
      <c r="G147" s="142">
        <f t="shared" si="16"/>
        <v>0</v>
      </c>
      <c r="H147" s="131">
        <f t="shared" si="17"/>
        <v>63</v>
      </c>
      <c r="I147" s="131"/>
      <c r="J147" s="143">
        <f t="shared" ref="J147:J155" si="20">IF(H147="","",LOG(H147))</f>
        <v>1.7993405494535817</v>
      </c>
      <c r="K147" s="143">
        <f t="shared" si="18"/>
        <v>0</v>
      </c>
      <c r="L147" s="95"/>
      <c r="M147" s="95"/>
      <c r="N147" s="95"/>
      <c r="O147" s="95"/>
    </row>
    <row r="148" spans="1:15" ht="15" customHeight="1">
      <c r="A148" s="95"/>
      <c r="B148" s="96">
        <f t="shared" si="13"/>
        <v>2007</v>
      </c>
      <c r="C148" s="96"/>
      <c r="D148" s="100">
        <f t="shared" si="14"/>
        <v>413</v>
      </c>
      <c r="E148" s="140">
        <f t="shared" si="15"/>
        <v>2</v>
      </c>
      <c r="F148" s="141">
        <f t="shared" si="19"/>
        <v>0.3010299956639812</v>
      </c>
      <c r="G148" s="142">
        <f t="shared" si="16"/>
        <v>9.0619058289456544E-2</v>
      </c>
      <c r="H148" s="131">
        <f t="shared" si="17"/>
        <v>42</v>
      </c>
      <c r="I148" s="131"/>
      <c r="J148" s="143">
        <f t="shared" si="20"/>
        <v>1.6232492903979006</v>
      </c>
      <c r="K148" s="143">
        <f t="shared" si="18"/>
        <v>0.48864672685004057</v>
      </c>
      <c r="L148" s="95"/>
      <c r="M148" s="95"/>
      <c r="N148" s="95"/>
      <c r="O148" s="95"/>
    </row>
    <row r="149" spans="1:15" ht="15" customHeight="1">
      <c r="A149" s="95"/>
      <c r="B149" s="96">
        <f t="shared" si="13"/>
        <v>2008</v>
      </c>
      <c r="C149" s="96"/>
      <c r="D149" s="100">
        <f t="shared" si="14"/>
        <v>410</v>
      </c>
      <c r="E149" s="140">
        <f t="shared" si="15"/>
        <v>3</v>
      </c>
      <c r="F149" s="141">
        <f t="shared" si="19"/>
        <v>0.47712125471966244</v>
      </c>
      <c r="G149" s="142">
        <f t="shared" si="16"/>
        <v>0.227644691705265</v>
      </c>
      <c r="H149" s="131">
        <f t="shared" si="17"/>
        <v>39</v>
      </c>
      <c r="I149" s="131"/>
      <c r="J149" s="143">
        <f t="shared" si="20"/>
        <v>1.5910646070264991</v>
      </c>
      <c r="K149" s="143">
        <f t="shared" si="18"/>
        <v>0.75913074164452987</v>
      </c>
      <c r="L149" s="95"/>
      <c r="M149" s="95"/>
      <c r="N149" s="95"/>
      <c r="O149" s="95"/>
    </row>
    <row r="150" spans="1:15" ht="15" customHeight="1">
      <c r="A150" s="95"/>
      <c r="B150" s="96">
        <f t="shared" si="13"/>
        <v>2009</v>
      </c>
      <c r="C150" s="96"/>
      <c r="D150" s="100">
        <f t="shared" si="14"/>
        <v>373</v>
      </c>
      <c r="E150" s="140">
        <f t="shared" si="15"/>
        <v>4</v>
      </c>
      <c r="F150" s="141">
        <f t="shared" si="19"/>
        <v>0.6020599913279624</v>
      </c>
      <c r="G150" s="142">
        <f t="shared" si="16"/>
        <v>0.36247623315782618</v>
      </c>
      <c r="H150" s="131">
        <f t="shared" si="17"/>
        <v>2</v>
      </c>
      <c r="I150" s="131"/>
      <c r="J150" s="143">
        <f t="shared" si="20"/>
        <v>0.3010299956639812</v>
      </c>
      <c r="K150" s="143">
        <f t="shared" si="18"/>
        <v>0.18123811657891309</v>
      </c>
      <c r="L150" s="95"/>
      <c r="M150" s="95"/>
      <c r="N150" s="95"/>
      <c r="O150" s="95"/>
    </row>
    <row r="151" spans="1:15" ht="15" customHeight="1">
      <c r="A151" s="95"/>
      <c r="B151" s="96">
        <f t="shared" si="13"/>
        <v>2010</v>
      </c>
      <c r="C151" s="96"/>
      <c r="D151" s="100">
        <f t="shared" si="14"/>
        <v>274</v>
      </c>
      <c r="E151" s="140">
        <f t="shared" si="15"/>
        <v>5</v>
      </c>
      <c r="F151" s="141">
        <f t="shared" si="19"/>
        <v>0.69897000433601886</v>
      </c>
      <c r="G151" s="142">
        <f t="shared" si="16"/>
        <v>0.4885590669614942</v>
      </c>
      <c r="H151" s="131">
        <f t="shared" si="17"/>
        <v>97</v>
      </c>
      <c r="I151" s="131"/>
      <c r="J151" s="143">
        <f t="shared" si="20"/>
        <v>1.9867717342662448</v>
      </c>
      <c r="K151" s="143">
        <f t="shared" si="18"/>
        <v>1.3886938477147568</v>
      </c>
      <c r="L151" s="95"/>
      <c r="M151" s="95"/>
      <c r="N151" s="95"/>
      <c r="O151" s="95"/>
    </row>
    <row r="152" spans="1:15" ht="15" customHeight="1">
      <c r="A152" s="95"/>
      <c r="B152" s="96">
        <f t="shared" si="13"/>
        <v>2011</v>
      </c>
      <c r="C152" s="96"/>
      <c r="D152" s="100">
        <f t="shared" si="14"/>
        <v>228</v>
      </c>
      <c r="E152" s="140">
        <f t="shared" si="15"/>
        <v>6</v>
      </c>
      <c r="F152" s="141">
        <f t="shared" si="19"/>
        <v>0.77815125038364363</v>
      </c>
      <c r="G152" s="142">
        <f t="shared" si="16"/>
        <v>0.60551936847362808</v>
      </c>
      <c r="H152" s="131">
        <f t="shared" si="17"/>
        <v>143</v>
      </c>
      <c r="I152" s="131"/>
      <c r="J152" s="143">
        <f t="shared" si="20"/>
        <v>2.1553360374650619</v>
      </c>
      <c r="K152" s="143">
        <f t="shared" si="18"/>
        <v>1.6771774325503657</v>
      </c>
      <c r="L152" s="95"/>
      <c r="M152" s="95"/>
      <c r="N152" s="95"/>
      <c r="O152" s="95"/>
    </row>
    <row r="153" spans="1:15" ht="15" customHeight="1">
      <c r="A153" s="95"/>
      <c r="B153" s="96">
        <f t="shared" si="13"/>
        <v>2012</v>
      </c>
      <c r="C153" s="96"/>
      <c r="D153" s="100">
        <f t="shared" si="14"/>
        <v>241</v>
      </c>
      <c r="E153" s="140">
        <f t="shared" si="15"/>
        <v>7</v>
      </c>
      <c r="F153" s="141">
        <f t="shared" si="19"/>
        <v>0.84509804001425681</v>
      </c>
      <c r="G153" s="142">
        <f t="shared" si="16"/>
        <v>0.71419069723593842</v>
      </c>
      <c r="H153" s="131">
        <f t="shared" si="17"/>
        <v>130</v>
      </c>
      <c r="I153" s="131"/>
      <c r="J153" s="143">
        <f t="shared" si="20"/>
        <v>2.1139433523068369</v>
      </c>
      <c r="K153" s="143">
        <f t="shared" si="18"/>
        <v>1.7864893837356755</v>
      </c>
      <c r="L153" s="95"/>
      <c r="M153" s="95"/>
      <c r="N153" s="95"/>
      <c r="O153" s="95"/>
    </row>
    <row r="154" spans="1:15" ht="15" customHeight="1">
      <c r="A154" s="95"/>
      <c r="B154" s="96">
        <f t="shared" si="13"/>
        <v>2013</v>
      </c>
      <c r="C154" s="96"/>
      <c r="D154" s="100">
        <f t="shared" si="14"/>
        <v>252</v>
      </c>
      <c r="E154" s="140">
        <f t="shared" si="15"/>
        <v>8</v>
      </c>
      <c r="F154" s="141">
        <f t="shared" si="19"/>
        <v>0.90308998699194354</v>
      </c>
      <c r="G154" s="142">
        <f t="shared" si="16"/>
        <v>0.81557152460510873</v>
      </c>
      <c r="H154" s="131">
        <f t="shared" si="17"/>
        <v>119</v>
      </c>
      <c r="I154" s="131"/>
      <c r="J154" s="143">
        <f t="shared" si="20"/>
        <v>2.0755469613925306</v>
      </c>
      <c r="K154" s="143">
        <f t="shared" si="18"/>
        <v>1.8744056783651484</v>
      </c>
      <c r="L154" s="95"/>
      <c r="M154" s="95"/>
      <c r="N154" s="95"/>
      <c r="O154" s="95"/>
    </row>
    <row r="155" spans="1:15" ht="15" customHeight="1">
      <c r="A155" s="95"/>
      <c r="B155" s="96">
        <f t="shared" si="13"/>
        <v>2014</v>
      </c>
      <c r="C155" s="96"/>
      <c r="D155" s="100">
        <f t="shared" si="14"/>
        <v>292</v>
      </c>
      <c r="E155" s="140">
        <f t="shared" si="15"/>
        <v>9</v>
      </c>
      <c r="F155" s="141">
        <f t="shared" si="19"/>
        <v>0.95424250943932487</v>
      </c>
      <c r="G155" s="142">
        <f t="shared" si="16"/>
        <v>0.91057876682105998</v>
      </c>
      <c r="H155" s="131">
        <f t="shared" si="17"/>
        <v>79</v>
      </c>
      <c r="I155" s="131"/>
      <c r="J155" s="143">
        <f t="shared" si="20"/>
        <v>1.8976270912904414</v>
      </c>
      <c r="K155" s="143">
        <f t="shared" si="18"/>
        <v>1.8107964375730377</v>
      </c>
      <c r="L155" s="95"/>
      <c r="M155" s="95"/>
      <c r="N155" s="95"/>
      <c r="O155" s="95"/>
    </row>
    <row r="156" spans="1:15" ht="15" customHeight="1" thickBot="1">
      <c r="A156" s="95"/>
      <c r="B156" s="103" t="s">
        <v>218</v>
      </c>
      <c r="C156" s="104"/>
      <c r="D156" s="144"/>
      <c r="E156" s="145"/>
      <c r="F156" s="146">
        <f>IF(F155="","",ROUND(SUM(F146:F155),6))</f>
        <v>5.5597630000000002</v>
      </c>
      <c r="G156" s="146">
        <f>IF(G155="","",ROUND(SUM(G146:G155),6))</f>
        <v>4.2151589999999999</v>
      </c>
      <c r="H156" s="147"/>
      <c r="I156" s="148"/>
      <c r="J156" s="149">
        <f>IF(J155="","",SUM(J146:J155))</f>
        <v>15.543909619263079</v>
      </c>
      <c r="K156" s="149">
        <f>IF(K155="","",SUM(K146:K155))</f>
        <v>9.9665783650124684</v>
      </c>
      <c r="L156" s="95"/>
      <c r="M156" s="95"/>
      <c r="N156" s="95"/>
      <c r="O156" s="95"/>
    </row>
    <row r="157" spans="1:15" ht="15" customHeight="1">
      <c r="A157" s="95"/>
      <c r="B157" s="100" t="s">
        <v>219</v>
      </c>
      <c r="C157" s="100"/>
      <c r="D157" s="93" t="s">
        <v>162</v>
      </c>
      <c r="E157" s="93">
        <f>IF(G156="",0,10^ROUND((G156*J156-F156*K156)/((COUNT(B$146:B$155)-1)*G156-F156*F156),5))</f>
        <v>27.466289924159593</v>
      </c>
      <c r="F157" s="137" t="s">
        <v>220</v>
      </c>
      <c r="G157" s="95"/>
      <c r="H157" s="100"/>
      <c r="I157" s="95"/>
      <c r="J157" s="150">
        <f>IF(G156="",0,ROUND(((COUNT(B$146:B$155)-1)*K156-J156*F156)/((COUNT(B$146:B$155)-1)*G156-F156*F156),5))</f>
        <v>0.4667</v>
      </c>
      <c r="K157" s="151"/>
      <c r="L157" s="95"/>
      <c r="M157" s="95"/>
      <c r="N157" s="95"/>
      <c r="O157" s="95"/>
    </row>
    <row r="158" spans="1:15" ht="15" customHeight="1">
      <c r="A158" s="95"/>
      <c r="B158" s="95"/>
      <c r="C158" s="95"/>
      <c r="D158" s="137" t="s">
        <v>221</v>
      </c>
      <c r="E158" s="111"/>
      <c r="F158" s="111"/>
      <c r="G158" s="152"/>
      <c r="H158" s="93" t="s">
        <v>222</v>
      </c>
      <c r="I158" s="111" t="s">
        <v>223</v>
      </c>
      <c r="J158" s="93" t="str">
        <f>"A = 10^("&amp;RIGHT(H158,1)&amp;") "</f>
        <v xml:space="preserve">A = 10^(b) </v>
      </c>
      <c r="K158" s="95"/>
      <c r="L158" s="95"/>
      <c r="M158" s="95"/>
      <c r="N158" s="95"/>
      <c r="O158" s="95"/>
    </row>
    <row r="159" spans="1:15" ht="1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</row>
    <row r="160" spans="1:15" ht="15" customHeight="1" thickBot="1">
      <c r="A160" s="95"/>
      <c r="B160" s="95"/>
      <c r="C160" s="95"/>
      <c r="D160" s="95"/>
      <c r="E160" s="95"/>
      <c r="F160" s="100" t="s">
        <v>224</v>
      </c>
      <c r="G160" s="100"/>
      <c r="H160" s="95"/>
      <c r="I160" s="95"/>
      <c r="J160" s="95"/>
      <c r="K160" s="95"/>
      <c r="L160" s="95"/>
      <c r="M160" s="95"/>
      <c r="N160" s="95"/>
      <c r="O160" s="95"/>
    </row>
    <row r="161" spans="1:15" ht="15" customHeight="1">
      <c r="A161" s="95"/>
      <c r="B161" s="94" t="s">
        <v>155</v>
      </c>
      <c r="C161" s="94"/>
      <c r="D161" s="94" t="s">
        <v>225</v>
      </c>
      <c r="E161" s="94"/>
      <c r="F161" s="94" t="s">
        <v>226</v>
      </c>
      <c r="G161" s="94"/>
      <c r="H161" s="94" t="s">
        <v>227</v>
      </c>
      <c r="I161" s="94"/>
      <c r="J161" s="94" t="s">
        <v>228</v>
      </c>
      <c r="K161" s="94"/>
      <c r="L161" s="95"/>
      <c r="M161" s="95"/>
      <c r="N161" s="95"/>
      <c r="O161" s="95"/>
    </row>
    <row r="162" spans="1:15" ht="15" customHeight="1">
      <c r="A162" s="95"/>
      <c r="B162" s="112">
        <v>2014</v>
      </c>
      <c r="C162" s="100"/>
      <c r="D162" s="153">
        <f t="shared" ref="D162:D178" si="21">IF(J$157=0,0,ROUNDUP(D$146+E$157*(B162-B$146)^J$157,0))</f>
        <v>448</v>
      </c>
      <c r="E162" s="153"/>
      <c r="F162" s="97">
        <v>0</v>
      </c>
      <c r="G162" s="97"/>
      <c r="H162" s="97">
        <f t="shared" ref="H162:H178" si="22">ROUND(D162*(1+F162),0)</f>
        <v>448</v>
      </c>
      <c r="I162" s="97"/>
      <c r="J162" s="102">
        <v>0</v>
      </c>
      <c r="K162" s="102"/>
      <c r="L162" s="95"/>
      <c r="M162" s="95"/>
      <c r="N162" s="95"/>
      <c r="O162" s="95"/>
    </row>
    <row r="163" spans="1:15" ht="15" customHeight="1">
      <c r="A163" s="95"/>
      <c r="B163" s="115">
        <v>2015</v>
      </c>
      <c r="C163" s="116"/>
      <c r="D163" s="154">
        <f t="shared" si="21"/>
        <v>452</v>
      </c>
      <c r="E163" s="154"/>
      <c r="F163" s="155">
        <v>0</v>
      </c>
      <c r="G163" s="155"/>
      <c r="H163" s="155">
        <f t="shared" si="22"/>
        <v>452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2016</v>
      </c>
      <c r="C164" s="113"/>
      <c r="D164" s="153">
        <f t="shared" si="21"/>
        <v>456</v>
      </c>
      <c r="E164" s="153"/>
      <c r="F164" s="156">
        <v>0</v>
      </c>
      <c r="G164" s="156"/>
      <c r="H164" s="156">
        <f t="shared" si="22"/>
        <v>456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2017</v>
      </c>
      <c r="C165" s="113"/>
      <c r="D165" s="153">
        <f t="shared" si="21"/>
        <v>459</v>
      </c>
      <c r="E165" s="153"/>
      <c r="F165" s="156">
        <v>0</v>
      </c>
      <c r="G165" s="156"/>
      <c r="H165" s="156">
        <f t="shared" si="22"/>
        <v>459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2018</v>
      </c>
      <c r="C166" s="113"/>
      <c r="D166" s="153">
        <f t="shared" si="21"/>
        <v>462</v>
      </c>
      <c r="E166" s="153"/>
      <c r="F166" s="156">
        <v>0</v>
      </c>
      <c r="G166" s="156"/>
      <c r="H166" s="156">
        <f t="shared" si="22"/>
        <v>462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2019</v>
      </c>
      <c r="C167" s="113"/>
      <c r="D167" s="153">
        <f t="shared" si="21"/>
        <v>466</v>
      </c>
      <c r="E167" s="153"/>
      <c r="F167" s="156">
        <v>0</v>
      </c>
      <c r="G167" s="156"/>
      <c r="H167" s="156">
        <f t="shared" si="22"/>
        <v>466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>
      <c r="A168" s="95"/>
      <c r="B168" s="115">
        <v>2020</v>
      </c>
      <c r="C168" s="116"/>
      <c r="D168" s="154">
        <f t="shared" si="21"/>
        <v>469</v>
      </c>
      <c r="E168" s="154"/>
      <c r="F168" s="155">
        <v>0</v>
      </c>
      <c r="G168" s="155"/>
      <c r="H168" s="155">
        <f t="shared" si="22"/>
        <v>469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12">
        <v>2021</v>
      </c>
      <c r="C169" s="113"/>
      <c r="D169" s="153">
        <f t="shared" si="21"/>
        <v>472</v>
      </c>
      <c r="E169" s="153"/>
      <c r="F169" s="156">
        <v>0</v>
      </c>
      <c r="G169" s="156"/>
      <c r="H169" s="156">
        <f t="shared" si="22"/>
        <v>472</v>
      </c>
      <c r="I169" s="156"/>
      <c r="J169" s="114">
        <v>0</v>
      </c>
      <c r="K169" s="114"/>
      <c r="L169" s="95"/>
      <c r="M169" s="95"/>
      <c r="N169" s="95"/>
      <c r="O169" s="95"/>
    </row>
    <row r="170" spans="1:15" ht="15" customHeight="1">
      <c r="A170" s="95"/>
      <c r="B170" s="112">
        <v>2022</v>
      </c>
      <c r="C170" s="113"/>
      <c r="D170" s="153">
        <f t="shared" si="21"/>
        <v>475</v>
      </c>
      <c r="E170" s="153"/>
      <c r="F170" s="156">
        <v>0</v>
      </c>
      <c r="G170" s="156"/>
      <c r="H170" s="156">
        <f t="shared" si="22"/>
        <v>475</v>
      </c>
      <c r="I170" s="156"/>
      <c r="J170" s="114">
        <v>0</v>
      </c>
      <c r="K170" s="114"/>
      <c r="L170" s="95"/>
      <c r="M170" s="95"/>
      <c r="N170" s="95"/>
      <c r="O170" s="95"/>
    </row>
    <row r="171" spans="1:15" ht="15" customHeight="1">
      <c r="A171" s="95"/>
      <c r="B171" s="112">
        <v>2023</v>
      </c>
      <c r="C171" s="113"/>
      <c r="D171" s="153">
        <f t="shared" si="21"/>
        <v>477</v>
      </c>
      <c r="E171" s="153"/>
      <c r="F171" s="156">
        <v>0</v>
      </c>
      <c r="G171" s="156"/>
      <c r="H171" s="156">
        <f t="shared" si="22"/>
        <v>477</v>
      </c>
      <c r="I171" s="156"/>
      <c r="J171" s="114">
        <v>0</v>
      </c>
      <c r="K171" s="114"/>
      <c r="L171" s="95"/>
      <c r="M171" s="95"/>
      <c r="N171" s="95"/>
      <c r="O171" s="95"/>
    </row>
    <row r="172" spans="1:15" ht="15" customHeight="1">
      <c r="A172" s="95"/>
      <c r="B172" s="112">
        <v>2024</v>
      </c>
      <c r="C172" s="113"/>
      <c r="D172" s="153">
        <f t="shared" si="21"/>
        <v>480</v>
      </c>
      <c r="E172" s="153"/>
      <c r="F172" s="156">
        <v>0</v>
      </c>
      <c r="G172" s="156"/>
      <c r="H172" s="156">
        <f t="shared" si="22"/>
        <v>480</v>
      </c>
      <c r="I172" s="156"/>
      <c r="J172" s="114">
        <v>0</v>
      </c>
      <c r="K172" s="114"/>
      <c r="L172" s="95"/>
      <c r="M172" s="95"/>
      <c r="N172" s="95"/>
      <c r="O172" s="95"/>
    </row>
    <row r="173" spans="1:15" ht="15" customHeight="1">
      <c r="A173" s="95"/>
      <c r="B173" s="115">
        <v>2025</v>
      </c>
      <c r="C173" s="116"/>
      <c r="D173" s="154">
        <f t="shared" si="21"/>
        <v>483</v>
      </c>
      <c r="E173" s="154"/>
      <c r="F173" s="155">
        <v>0</v>
      </c>
      <c r="G173" s="155"/>
      <c r="H173" s="155">
        <f t="shared" si="22"/>
        <v>483</v>
      </c>
      <c r="I173" s="155"/>
      <c r="J173" s="117">
        <v>0</v>
      </c>
      <c r="K173" s="117"/>
      <c r="L173" s="95"/>
      <c r="M173" s="95"/>
      <c r="N173" s="95"/>
      <c r="O173" s="95"/>
    </row>
    <row r="174" spans="1:15" ht="15" customHeight="1">
      <c r="A174" s="95"/>
      <c r="B174" s="112">
        <v>2026</v>
      </c>
      <c r="C174" s="113"/>
      <c r="D174" s="153">
        <f t="shared" si="21"/>
        <v>485</v>
      </c>
      <c r="E174" s="153"/>
      <c r="F174" s="156">
        <v>0</v>
      </c>
      <c r="G174" s="156"/>
      <c r="H174" s="156">
        <f t="shared" si="22"/>
        <v>485</v>
      </c>
      <c r="I174" s="156"/>
      <c r="J174" s="114">
        <v>0</v>
      </c>
      <c r="K174" s="114"/>
      <c r="L174" s="95"/>
      <c r="M174" s="95"/>
      <c r="N174" s="95"/>
      <c r="O174" s="95"/>
    </row>
    <row r="175" spans="1:15" ht="15" customHeight="1">
      <c r="A175" s="95"/>
      <c r="B175" s="112">
        <v>2027</v>
      </c>
      <c r="C175" s="113"/>
      <c r="D175" s="153">
        <f t="shared" si="21"/>
        <v>488</v>
      </c>
      <c r="E175" s="153"/>
      <c r="F175" s="156">
        <v>0</v>
      </c>
      <c r="G175" s="156"/>
      <c r="H175" s="156">
        <f t="shared" si="22"/>
        <v>488</v>
      </c>
      <c r="I175" s="156"/>
      <c r="J175" s="114">
        <v>0</v>
      </c>
      <c r="K175" s="114"/>
      <c r="L175" s="95"/>
      <c r="M175" s="95"/>
      <c r="N175" s="95"/>
      <c r="O175" s="95"/>
    </row>
    <row r="176" spans="1:15" ht="15" customHeight="1">
      <c r="A176" s="95"/>
      <c r="B176" s="112">
        <v>2028</v>
      </c>
      <c r="C176" s="113"/>
      <c r="D176" s="153">
        <f t="shared" si="21"/>
        <v>490</v>
      </c>
      <c r="E176" s="153"/>
      <c r="F176" s="156">
        <v>0</v>
      </c>
      <c r="G176" s="156"/>
      <c r="H176" s="156">
        <f t="shared" si="22"/>
        <v>490</v>
      </c>
      <c r="I176" s="156"/>
      <c r="J176" s="114">
        <v>0</v>
      </c>
      <c r="K176" s="114"/>
      <c r="L176" s="95"/>
      <c r="M176" s="95"/>
      <c r="N176" s="95"/>
      <c r="O176" s="95"/>
    </row>
    <row r="177" spans="1:15" ht="15" customHeight="1">
      <c r="A177" s="95"/>
      <c r="B177" s="112">
        <v>2029</v>
      </c>
      <c r="C177" s="113"/>
      <c r="D177" s="153">
        <f t="shared" si="21"/>
        <v>493</v>
      </c>
      <c r="E177" s="153"/>
      <c r="F177" s="156">
        <v>0</v>
      </c>
      <c r="G177" s="156"/>
      <c r="H177" s="156">
        <f t="shared" si="22"/>
        <v>493</v>
      </c>
      <c r="I177" s="156"/>
      <c r="J177" s="114">
        <v>0</v>
      </c>
      <c r="K177" s="114"/>
      <c r="L177" s="95"/>
      <c r="M177" s="95"/>
      <c r="N177" s="95"/>
      <c r="O177" s="95"/>
    </row>
    <row r="178" spans="1:15" ht="15" customHeight="1">
      <c r="A178" s="95"/>
      <c r="B178" s="115">
        <v>2030</v>
      </c>
      <c r="C178" s="116"/>
      <c r="D178" s="154">
        <f t="shared" si="21"/>
        <v>495</v>
      </c>
      <c r="E178" s="154"/>
      <c r="F178" s="155">
        <v>0</v>
      </c>
      <c r="G178" s="155"/>
      <c r="H178" s="155">
        <f t="shared" si="22"/>
        <v>495</v>
      </c>
      <c r="I178" s="155"/>
      <c r="J178" s="117">
        <v>0</v>
      </c>
      <c r="K178" s="117"/>
      <c r="L178" s="95"/>
      <c r="M178" s="95"/>
      <c r="N178" s="95"/>
      <c r="O178" s="95"/>
    </row>
    <row r="179" spans="1:15" ht="15" customHeight="1">
      <c r="A179" s="95"/>
      <c r="B179" s="112">
        <v>2031</v>
      </c>
      <c r="C179" s="113"/>
      <c r="D179" s="153">
        <f>IF(J$157=0,0,ROUNDUP(D$146+E$157*(B179-B$146)^J$157,0))</f>
        <v>497</v>
      </c>
      <c r="E179" s="153"/>
      <c r="F179" s="156">
        <v>0</v>
      </c>
      <c r="G179" s="156"/>
      <c r="H179" s="156">
        <f>ROUND(D179*(1+F179),0)</f>
        <v>497</v>
      </c>
      <c r="I179" s="156"/>
      <c r="J179" s="114">
        <v>0</v>
      </c>
      <c r="K179" s="114"/>
      <c r="L179" s="95"/>
      <c r="M179" s="95"/>
      <c r="N179" s="95"/>
      <c r="O179" s="95"/>
    </row>
    <row r="180" spans="1:15" ht="15" customHeight="1">
      <c r="A180" s="95"/>
      <c r="B180" s="112">
        <v>2032</v>
      </c>
      <c r="C180" s="113"/>
      <c r="D180" s="153">
        <f>IF(J$157=0,0,ROUNDUP(D$146+E$157*(B180-B$146)^J$157,0))</f>
        <v>499</v>
      </c>
      <c r="E180" s="153"/>
      <c r="F180" s="156">
        <v>0</v>
      </c>
      <c r="G180" s="156"/>
      <c r="H180" s="156">
        <f>ROUND(D180*(1+F180),0)</f>
        <v>499</v>
      </c>
      <c r="I180" s="156"/>
      <c r="J180" s="114">
        <v>0</v>
      </c>
      <c r="K180" s="114"/>
      <c r="L180" s="95"/>
      <c r="M180" s="95"/>
      <c r="N180" s="95"/>
      <c r="O180" s="95"/>
    </row>
    <row r="181" spans="1:15" ht="15" customHeight="1">
      <c r="A181" s="95"/>
      <c r="B181" s="112">
        <v>2033</v>
      </c>
      <c r="C181" s="113"/>
      <c r="D181" s="153">
        <f>IF(J$157=0,0,ROUNDUP(D$146+E$157*(B181-B$146)^J$157,0))</f>
        <v>502</v>
      </c>
      <c r="E181" s="153"/>
      <c r="F181" s="156">
        <v>0</v>
      </c>
      <c r="G181" s="156"/>
      <c r="H181" s="156">
        <f>ROUND(D181*(1+F181),0)</f>
        <v>502</v>
      </c>
      <c r="I181" s="156"/>
      <c r="J181" s="114">
        <v>0</v>
      </c>
      <c r="K181" s="114"/>
      <c r="L181" s="95"/>
      <c r="M181" s="95"/>
      <c r="N181" s="95"/>
      <c r="O181" s="95"/>
    </row>
    <row r="182" spans="1:15" ht="15" customHeight="1">
      <c r="A182" s="95"/>
      <c r="B182" s="112">
        <v>2034</v>
      </c>
      <c r="C182" s="113"/>
      <c r="D182" s="153">
        <f>IF(J$157=0,0,ROUNDUP(D$146+E$157*(B182-B$146)^J$157,0))</f>
        <v>504</v>
      </c>
      <c r="E182" s="153"/>
      <c r="F182" s="156">
        <v>0</v>
      </c>
      <c r="G182" s="156"/>
      <c r="H182" s="156">
        <f>ROUND(D182*(1+F182),0)</f>
        <v>504</v>
      </c>
      <c r="I182" s="156"/>
      <c r="J182" s="114">
        <v>0</v>
      </c>
      <c r="K182" s="114"/>
      <c r="L182" s="95"/>
      <c r="M182" s="95"/>
      <c r="N182" s="95"/>
      <c r="O182" s="95"/>
    </row>
    <row r="183" spans="1:15" ht="15" customHeight="1" thickBot="1">
      <c r="A183" s="95"/>
      <c r="B183" s="115">
        <v>2035</v>
      </c>
      <c r="C183" s="116"/>
      <c r="D183" s="154">
        <f>IF(J$157=0,0,ROUNDUP(D$146+E$157*(B183-B$146)^J$157,0))</f>
        <v>506</v>
      </c>
      <c r="E183" s="154"/>
      <c r="F183" s="155">
        <v>0</v>
      </c>
      <c r="G183" s="155"/>
      <c r="H183" s="155">
        <f>ROUND(D183*(1+F183),0)</f>
        <v>506</v>
      </c>
      <c r="I183" s="155"/>
      <c r="J183" s="117">
        <v>0</v>
      </c>
      <c r="K183" s="117"/>
      <c r="L183" s="95"/>
      <c r="M183" s="95"/>
      <c r="N183" s="95"/>
      <c r="O183" s="95"/>
    </row>
    <row r="184" spans="1:15" ht="15" customHeight="1">
      <c r="A184" s="95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95"/>
      <c r="M184" s="95"/>
      <c r="N184" s="95"/>
      <c r="O184" s="95"/>
    </row>
    <row r="185" spans="1:15" ht="15" customHeight="1">
      <c r="A185" s="95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95"/>
      <c r="M185" s="95"/>
      <c r="N185" s="95"/>
      <c r="O185" s="95"/>
    </row>
    <row r="186" spans="1:15" ht="15" customHeight="1">
      <c r="A186" s="95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95"/>
      <c r="M186" s="95"/>
      <c r="N186" s="95"/>
      <c r="O186" s="95"/>
    </row>
    <row r="187" spans="1:15" ht="15" customHeight="1">
      <c r="A187" s="95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95"/>
      <c r="M187" s="95"/>
      <c r="N187" s="95"/>
      <c r="O187" s="95"/>
    </row>
    <row r="188" spans="1:15" ht="15" customHeight="1">
      <c r="A188" s="95"/>
      <c r="B188" s="126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</row>
    <row r="189" spans="1:15" ht="15" customHeight="1">
      <c r="A189" s="95"/>
      <c r="B189" s="110" t="s">
        <v>229</v>
      </c>
      <c r="C189" s="111"/>
      <c r="D189" s="111"/>
      <c r="E189" s="111"/>
      <c r="F189" s="111"/>
      <c r="G189" s="111"/>
      <c r="H189" s="95"/>
      <c r="I189" s="95"/>
      <c r="J189" s="95"/>
      <c r="K189" s="95"/>
      <c r="L189" s="95"/>
      <c r="M189" s="95"/>
      <c r="N189" s="95"/>
      <c r="O189" s="95"/>
    </row>
    <row r="190" spans="1:15" ht="15" customHeight="1">
      <c r="A190" s="95"/>
      <c r="B190" s="95"/>
      <c r="C190" s="111" t="s">
        <v>230</v>
      </c>
      <c r="D190" s="111" t="s">
        <v>231</v>
      </c>
      <c r="E190" s="111"/>
      <c r="F190" s="111"/>
      <c r="G190" s="111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3"/>
      <c r="C191" s="128" t="s">
        <v>232</v>
      </c>
      <c r="D191" s="111" t="s">
        <v>233</v>
      </c>
      <c r="E191" s="111"/>
      <c r="F191" s="93"/>
      <c r="G191" s="95"/>
      <c r="H191" s="95"/>
      <c r="I191" s="95"/>
      <c r="J191" s="95"/>
      <c r="K191" s="95"/>
      <c r="L191" s="95"/>
      <c r="M191" s="95"/>
      <c r="N191" s="95"/>
      <c r="O191" s="95"/>
    </row>
    <row r="192" spans="1:15" ht="15" customHeight="1">
      <c r="A192" s="95"/>
      <c r="B192" s="93"/>
      <c r="C192" s="128"/>
      <c r="D192" s="111" t="s">
        <v>234</v>
      </c>
      <c r="E192" s="2250">
        <f>K7</f>
        <v>1000</v>
      </c>
      <c r="F192" s="2250"/>
      <c r="G192" s="111" t="s">
        <v>235</v>
      </c>
      <c r="H192" s="111"/>
      <c r="I192" s="95"/>
      <c r="J192" s="95"/>
      <c r="K192" s="95"/>
      <c r="L192" s="95"/>
      <c r="M192" s="95"/>
      <c r="N192" s="95"/>
      <c r="O192" s="95"/>
    </row>
    <row r="193" spans="1:15" ht="15" customHeight="1" thickBot="1">
      <c r="A193" s="95"/>
      <c r="B193" s="95"/>
      <c r="C193" s="95"/>
      <c r="D193" s="95"/>
      <c r="E193" s="95"/>
      <c r="F193" s="100" t="s">
        <v>236</v>
      </c>
      <c r="G193" s="100"/>
      <c r="H193" s="95"/>
      <c r="I193" s="95"/>
      <c r="J193" s="95"/>
      <c r="K193" s="95"/>
      <c r="L193" s="95"/>
      <c r="M193" s="95"/>
      <c r="N193" s="95"/>
      <c r="O193" s="95"/>
    </row>
    <row r="194" spans="1:15" ht="15" customHeight="1">
      <c r="A194" s="95"/>
      <c r="B194" s="94" t="s">
        <v>237</v>
      </c>
      <c r="C194" s="94"/>
      <c r="D194" s="94" t="s">
        <v>238</v>
      </c>
      <c r="E194" s="94" t="s">
        <v>239</v>
      </c>
      <c r="F194" s="94" t="s">
        <v>240</v>
      </c>
      <c r="G194" s="94" t="s">
        <v>241</v>
      </c>
      <c r="H194" s="94" t="s">
        <v>242</v>
      </c>
      <c r="I194" s="94" t="s">
        <v>243</v>
      </c>
      <c r="J194" s="94" t="s">
        <v>244</v>
      </c>
      <c r="K194" s="94" t="s">
        <v>245</v>
      </c>
      <c r="L194" s="95"/>
      <c r="M194" s="95"/>
      <c r="N194" s="95"/>
      <c r="O194" s="95"/>
    </row>
    <row r="195" spans="1:15" ht="15" customHeight="1">
      <c r="A195" s="95"/>
      <c r="B195" s="96">
        <f t="shared" ref="B195:B204" si="23">B146</f>
        <v>2005</v>
      </c>
      <c r="C195" s="96"/>
      <c r="D195" s="100">
        <f t="shared" ref="D195:D204" si="24">VLOOKUP(B195,B$7:E$16,3,FALSE)</f>
        <v>371</v>
      </c>
      <c r="E195" s="140">
        <f t="shared" ref="E195:E204" si="25">((COUNT(B$195:B$204)-1)/2)+(B195-$C$4)</f>
        <v>-4.5</v>
      </c>
      <c r="F195" s="98">
        <f t="shared" ref="F195:F204" si="26">E195^2</f>
        <v>20.25</v>
      </c>
      <c r="G195" s="97">
        <f t="shared" ref="G195:G204" si="27">E$192-D195</f>
        <v>629</v>
      </c>
      <c r="H195" s="157">
        <f t="shared" ref="H195:H204" si="28">LOG(D195)</f>
        <v>2.5693739096150461</v>
      </c>
      <c r="I195" s="141">
        <f t="shared" ref="I195:I204" si="29">LOG(G195)</f>
        <v>2.7986506454452691</v>
      </c>
      <c r="J195" s="142">
        <f>ROUND(H195-I195,6)</f>
        <v>-0.22927700000000001</v>
      </c>
      <c r="K195" s="142">
        <f t="shared" ref="K195:K204" si="30">E195*J195</f>
        <v>1.0317465000000001</v>
      </c>
      <c r="L195" s="95"/>
      <c r="M195" s="95"/>
      <c r="N195" s="95"/>
      <c r="O195" s="95"/>
    </row>
    <row r="196" spans="1:15" ht="15" customHeight="1">
      <c r="A196" s="95"/>
      <c r="B196" s="96">
        <f t="shared" si="23"/>
        <v>2006</v>
      </c>
      <c r="C196" s="96"/>
      <c r="D196" s="100">
        <f t="shared" si="24"/>
        <v>434</v>
      </c>
      <c r="E196" s="140">
        <f t="shared" si="25"/>
        <v>-3.5</v>
      </c>
      <c r="F196" s="98">
        <f t="shared" si="26"/>
        <v>12.25</v>
      </c>
      <c r="G196" s="97">
        <f t="shared" si="27"/>
        <v>566</v>
      </c>
      <c r="H196" s="157">
        <f t="shared" si="28"/>
        <v>2.6374897295125108</v>
      </c>
      <c r="I196" s="141">
        <f t="shared" si="29"/>
        <v>2.7528164311882715</v>
      </c>
      <c r="J196" s="142">
        <f t="shared" ref="J196:J204" si="31">H196-I196</f>
        <v>-0.11532670167576065</v>
      </c>
      <c r="K196" s="142">
        <f t="shared" si="30"/>
        <v>0.40364345586516226</v>
      </c>
      <c r="L196" s="95"/>
      <c r="M196" s="95"/>
      <c r="N196" s="95"/>
      <c r="O196" s="95"/>
    </row>
    <row r="197" spans="1:15" ht="15" customHeight="1">
      <c r="A197" s="95"/>
      <c r="B197" s="96">
        <f t="shared" si="23"/>
        <v>2007</v>
      </c>
      <c r="C197" s="96"/>
      <c r="D197" s="100">
        <f t="shared" si="24"/>
        <v>413</v>
      </c>
      <c r="E197" s="140">
        <f t="shared" si="25"/>
        <v>-2.5</v>
      </c>
      <c r="F197" s="98">
        <f t="shared" si="26"/>
        <v>6.25</v>
      </c>
      <c r="G197" s="97">
        <f t="shared" si="27"/>
        <v>587</v>
      </c>
      <c r="H197" s="157">
        <f t="shared" si="28"/>
        <v>2.6159500516564012</v>
      </c>
      <c r="I197" s="141">
        <f t="shared" si="29"/>
        <v>2.7686381012476144</v>
      </c>
      <c r="J197" s="142">
        <f t="shared" si="31"/>
        <v>-0.15268804959121329</v>
      </c>
      <c r="K197" s="142">
        <f t="shared" si="30"/>
        <v>0.38172012397803323</v>
      </c>
      <c r="L197" s="95"/>
      <c r="M197" s="95"/>
      <c r="N197" s="95"/>
      <c r="O197" s="95"/>
    </row>
    <row r="198" spans="1:15" ht="15" customHeight="1">
      <c r="A198" s="95"/>
      <c r="B198" s="96">
        <f t="shared" si="23"/>
        <v>2008</v>
      </c>
      <c r="C198" s="96"/>
      <c r="D198" s="100">
        <f t="shared" si="24"/>
        <v>410</v>
      </c>
      <c r="E198" s="140">
        <f t="shared" si="25"/>
        <v>-1.5</v>
      </c>
      <c r="F198" s="98">
        <f t="shared" si="26"/>
        <v>2.25</v>
      </c>
      <c r="G198" s="97">
        <f t="shared" si="27"/>
        <v>590</v>
      </c>
      <c r="H198" s="157">
        <f t="shared" si="28"/>
        <v>2.6127838567197355</v>
      </c>
      <c r="I198" s="141">
        <f t="shared" si="29"/>
        <v>2.7708520116421442</v>
      </c>
      <c r="J198" s="142">
        <f t="shared" si="31"/>
        <v>-0.15806815492240878</v>
      </c>
      <c r="K198" s="142">
        <f t="shared" si="30"/>
        <v>0.23710223238361317</v>
      </c>
      <c r="L198" s="95"/>
      <c r="M198" s="95"/>
      <c r="N198" s="95"/>
      <c r="O198" s="95"/>
    </row>
    <row r="199" spans="1:15" ht="15" customHeight="1">
      <c r="A199" s="95"/>
      <c r="B199" s="96">
        <f t="shared" si="23"/>
        <v>2009</v>
      </c>
      <c r="C199" s="96"/>
      <c r="D199" s="100">
        <f t="shared" si="24"/>
        <v>373</v>
      </c>
      <c r="E199" s="140">
        <f t="shared" si="25"/>
        <v>-0.5</v>
      </c>
      <c r="F199" s="98">
        <f t="shared" si="26"/>
        <v>0.25</v>
      </c>
      <c r="G199" s="97">
        <f t="shared" si="27"/>
        <v>627</v>
      </c>
      <c r="H199" s="157">
        <f t="shared" si="28"/>
        <v>2.5717088318086878</v>
      </c>
      <c r="I199" s="141">
        <f t="shared" si="29"/>
        <v>2.7972675408307164</v>
      </c>
      <c r="J199" s="142">
        <f t="shared" si="31"/>
        <v>-0.22555870902202857</v>
      </c>
      <c r="K199" s="142">
        <f t="shared" si="30"/>
        <v>0.11277935451101428</v>
      </c>
      <c r="L199" s="95"/>
      <c r="M199" s="95"/>
      <c r="N199" s="95"/>
      <c r="O199" s="95"/>
    </row>
    <row r="200" spans="1:15" ht="15" customHeight="1">
      <c r="A200" s="95"/>
      <c r="B200" s="96">
        <f t="shared" si="23"/>
        <v>2010</v>
      </c>
      <c r="C200" s="96"/>
      <c r="D200" s="100">
        <f t="shared" si="24"/>
        <v>274</v>
      </c>
      <c r="E200" s="140">
        <f t="shared" si="25"/>
        <v>0.5</v>
      </c>
      <c r="F200" s="98">
        <f t="shared" si="26"/>
        <v>0.25</v>
      </c>
      <c r="G200" s="97">
        <f t="shared" si="27"/>
        <v>726</v>
      </c>
      <c r="H200" s="157">
        <f t="shared" si="28"/>
        <v>2.4377505628203879</v>
      </c>
      <c r="I200" s="141">
        <f t="shared" si="29"/>
        <v>2.8609366207000937</v>
      </c>
      <c r="J200" s="142">
        <f t="shared" si="31"/>
        <v>-0.42318605787970576</v>
      </c>
      <c r="K200" s="142">
        <f t="shared" si="30"/>
        <v>-0.21159302893985288</v>
      </c>
      <c r="L200" s="95"/>
      <c r="M200" s="95"/>
      <c r="N200" s="95"/>
      <c r="O200" s="95"/>
    </row>
    <row r="201" spans="1:15" ht="15" customHeight="1">
      <c r="A201" s="95"/>
      <c r="B201" s="96">
        <f t="shared" si="23"/>
        <v>2011</v>
      </c>
      <c r="C201" s="96"/>
      <c r="D201" s="100">
        <f t="shared" si="24"/>
        <v>228</v>
      </c>
      <c r="E201" s="140">
        <f t="shared" si="25"/>
        <v>1.5</v>
      </c>
      <c r="F201" s="98">
        <f t="shared" si="26"/>
        <v>2.25</v>
      </c>
      <c r="G201" s="97">
        <f t="shared" si="27"/>
        <v>772</v>
      </c>
      <c r="H201" s="157">
        <f t="shared" si="28"/>
        <v>2.357934847000454</v>
      </c>
      <c r="I201" s="141">
        <f t="shared" si="29"/>
        <v>2.8876173003357359</v>
      </c>
      <c r="J201" s="142">
        <f t="shared" si="31"/>
        <v>-0.52968245333528197</v>
      </c>
      <c r="K201" s="142">
        <f t="shared" si="30"/>
        <v>-0.79452368000292295</v>
      </c>
      <c r="L201" s="95"/>
      <c r="M201" s="95"/>
      <c r="N201" s="95"/>
      <c r="O201" s="95"/>
    </row>
    <row r="202" spans="1:15" ht="15" customHeight="1">
      <c r="A202" s="95"/>
      <c r="B202" s="96">
        <f t="shared" si="23"/>
        <v>2012</v>
      </c>
      <c r="C202" s="96"/>
      <c r="D202" s="100">
        <f t="shared" si="24"/>
        <v>241</v>
      </c>
      <c r="E202" s="140">
        <f t="shared" si="25"/>
        <v>2.5</v>
      </c>
      <c r="F202" s="98">
        <f t="shared" si="26"/>
        <v>6.25</v>
      </c>
      <c r="G202" s="97">
        <f t="shared" si="27"/>
        <v>759</v>
      </c>
      <c r="H202" s="157">
        <f t="shared" si="28"/>
        <v>2.3820170425748683</v>
      </c>
      <c r="I202" s="141">
        <f t="shared" si="29"/>
        <v>2.8802417758954801</v>
      </c>
      <c r="J202" s="142">
        <f t="shared" si="31"/>
        <v>-0.49822473332061179</v>
      </c>
      <c r="K202" s="142">
        <f t="shared" si="30"/>
        <v>-1.2455618333015295</v>
      </c>
      <c r="L202" s="95"/>
      <c r="M202" s="95"/>
      <c r="N202" s="95"/>
      <c r="O202" s="95"/>
    </row>
    <row r="203" spans="1:15" ht="15" customHeight="1">
      <c r="A203" s="95"/>
      <c r="B203" s="96">
        <f t="shared" si="23"/>
        <v>2013</v>
      </c>
      <c r="C203" s="96"/>
      <c r="D203" s="100">
        <f t="shared" si="24"/>
        <v>252</v>
      </c>
      <c r="E203" s="140">
        <f t="shared" si="25"/>
        <v>3.5</v>
      </c>
      <c r="F203" s="98">
        <f t="shared" si="26"/>
        <v>12.25</v>
      </c>
      <c r="G203" s="97">
        <f t="shared" si="27"/>
        <v>748</v>
      </c>
      <c r="H203" s="157">
        <f t="shared" si="28"/>
        <v>2.4014005407815442</v>
      </c>
      <c r="I203" s="141">
        <f t="shared" si="29"/>
        <v>2.8739015978644615</v>
      </c>
      <c r="J203" s="142">
        <f t="shared" si="31"/>
        <v>-0.47250105708291734</v>
      </c>
      <c r="K203" s="142">
        <f t="shared" si="30"/>
        <v>-1.6537536997902107</v>
      </c>
      <c r="L203" s="95"/>
      <c r="M203" s="95"/>
      <c r="N203" s="95"/>
      <c r="O203" s="95"/>
    </row>
    <row r="204" spans="1:15" ht="15" customHeight="1">
      <c r="A204" s="95"/>
      <c r="B204" s="96">
        <f t="shared" si="23"/>
        <v>2014</v>
      </c>
      <c r="C204" s="96"/>
      <c r="D204" s="100">
        <f t="shared" si="24"/>
        <v>292</v>
      </c>
      <c r="E204" s="140">
        <f t="shared" si="25"/>
        <v>4.5</v>
      </c>
      <c r="F204" s="98">
        <f t="shared" si="26"/>
        <v>20.25</v>
      </c>
      <c r="G204" s="97">
        <f t="shared" si="27"/>
        <v>708</v>
      </c>
      <c r="H204" s="157">
        <f t="shared" si="28"/>
        <v>2.4653828514484184</v>
      </c>
      <c r="I204" s="141">
        <f t="shared" si="29"/>
        <v>2.8500332576897689</v>
      </c>
      <c r="J204" s="142">
        <f t="shared" si="31"/>
        <v>-0.3846504062413505</v>
      </c>
      <c r="K204" s="142">
        <f t="shared" si="30"/>
        <v>-1.7309268280860772</v>
      </c>
      <c r="L204" s="95"/>
      <c r="M204" s="95"/>
      <c r="N204" s="95"/>
      <c r="O204" s="95"/>
    </row>
    <row r="205" spans="1:15" ht="15" customHeight="1" thickBot="1">
      <c r="A205" s="95"/>
      <c r="B205" s="103" t="s">
        <v>218</v>
      </c>
      <c r="C205" s="104"/>
      <c r="D205" s="158">
        <f>SUM(D195:D204)</f>
        <v>3288</v>
      </c>
      <c r="E205" s="159">
        <f>SUM(E195:E204)</f>
        <v>0</v>
      </c>
      <c r="F205" s="160">
        <f>ROUND(SUM(F195:F204),0)</f>
        <v>83</v>
      </c>
      <c r="G205" s="145"/>
      <c r="H205" s="147"/>
      <c r="I205" s="148"/>
      <c r="J205" s="161">
        <f>SUM(J195:J204)</f>
        <v>-3.1891633230712788</v>
      </c>
      <c r="K205" s="161">
        <f>SUM(K195:K204)</f>
        <v>-3.4693674033827708</v>
      </c>
      <c r="L205" s="95"/>
      <c r="M205" s="95"/>
      <c r="N205" s="95"/>
      <c r="O205" s="95"/>
    </row>
    <row r="206" spans="1:15" ht="15" customHeight="1">
      <c r="A206" s="95"/>
      <c r="B206" s="100" t="s">
        <v>246</v>
      </c>
      <c r="C206" s="100"/>
      <c r="D206" s="93" t="s">
        <v>247</v>
      </c>
      <c r="E206" s="136" t="s">
        <v>248</v>
      </c>
      <c r="F206" s="95"/>
      <c r="G206" s="111" t="str">
        <f>"X = x × LOG e = "&amp;E205&amp;" 이고,"</f>
        <v>X = x × LOG e = 0 이고,</v>
      </c>
      <c r="H206" s="111"/>
      <c r="I206" s="111" t="s">
        <v>249</v>
      </c>
      <c r="J206" s="111"/>
      <c r="K206" s="93"/>
      <c r="L206" s="95"/>
      <c r="M206" s="95"/>
      <c r="N206" s="95"/>
      <c r="O206" s="95"/>
    </row>
    <row r="207" spans="1:15" ht="15" customHeight="1">
      <c r="A207" s="95"/>
      <c r="B207" s="95"/>
      <c r="C207" s="95"/>
      <c r="D207" s="111" t="s">
        <v>250</v>
      </c>
      <c r="E207" s="111"/>
      <c r="F207" s="111"/>
      <c r="G207" s="111"/>
      <c r="H207" s="150">
        <f>ROUND(((E$205*K$205-F$205*J$205)/(COUNT(B$195:B$204)*F$205-E$205*E$205))/LOG(EXP(1)),5)</f>
        <v>0.73433000000000004</v>
      </c>
      <c r="I207" s="111"/>
      <c r="J207" s="111"/>
      <c r="K207" s="95"/>
      <c r="L207" s="95"/>
      <c r="M207" s="95"/>
      <c r="N207" s="95"/>
      <c r="O207" s="95"/>
    </row>
    <row r="208" spans="1:15" ht="15" customHeight="1">
      <c r="A208" s="95"/>
      <c r="B208" s="95"/>
      <c r="C208" s="95"/>
      <c r="D208" s="111" t="s">
        <v>251</v>
      </c>
      <c r="E208" s="111"/>
      <c r="F208" s="111"/>
      <c r="G208" s="162" t="s">
        <v>252</v>
      </c>
      <c r="H208" s="111"/>
      <c r="I208" s="111"/>
      <c r="J208" s="111"/>
      <c r="K208" s="163">
        <f>ROUND((COUNT(B$195:B$204)*K205-E205*J205)/(LOG(EXP(1))*(COUNT(B$195:B$204)*F205-E205*E205)),6)</f>
        <v>-9.6246999999999999E-2</v>
      </c>
      <c r="L208" s="95"/>
      <c r="M208" s="95"/>
      <c r="N208" s="95"/>
      <c r="O208" s="95"/>
    </row>
    <row r="209" spans="1:15" ht="15" customHeight="1">
      <c r="A209" s="95"/>
      <c r="B209" s="95"/>
      <c r="C209" s="95"/>
      <c r="D209" s="111"/>
      <c r="E209" s="95"/>
      <c r="F209" s="93"/>
      <c r="G209" s="93"/>
      <c r="H209" s="111"/>
      <c r="I209" s="111"/>
      <c r="J209" s="152"/>
      <c r="K209" s="95"/>
      <c r="L209" s="95"/>
      <c r="M209" s="95"/>
      <c r="N209" s="95"/>
      <c r="O209" s="95"/>
    </row>
    <row r="210" spans="1:15" ht="15" customHeight="1" thickBot="1">
      <c r="A210" s="95"/>
      <c r="B210" s="95"/>
      <c r="C210" s="95"/>
      <c r="D210" s="95"/>
      <c r="E210" s="95"/>
      <c r="F210" s="100" t="s">
        <v>253</v>
      </c>
      <c r="G210" s="100"/>
      <c r="H210" s="95"/>
      <c r="I210" s="95"/>
      <c r="J210" s="95"/>
      <c r="K210" s="95"/>
      <c r="L210" s="95"/>
      <c r="M210" s="95"/>
      <c r="N210" s="95"/>
      <c r="O210" s="95"/>
    </row>
    <row r="211" spans="1:15" ht="15" customHeight="1">
      <c r="A211" s="95"/>
      <c r="B211" s="94" t="s">
        <v>254</v>
      </c>
      <c r="C211" s="94"/>
      <c r="D211" s="94" t="s">
        <v>255</v>
      </c>
      <c r="E211" s="94"/>
      <c r="F211" s="94" t="s">
        <v>256</v>
      </c>
      <c r="G211" s="94"/>
      <c r="H211" s="94" t="s">
        <v>257</v>
      </c>
      <c r="I211" s="94"/>
      <c r="J211" s="94" t="s">
        <v>258</v>
      </c>
      <c r="K211" s="94"/>
      <c r="L211" s="95"/>
      <c r="M211" s="95"/>
      <c r="N211" s="95"/>
      <c r="O211" s="95"/>
    </row>
    <row r="212" spans="1:15" ht="15" customHeight="1">
      <c r="A212" s="95"/>
      <c r="B212" s="112">
        <v>2014</v>
      </c>
      <c r="C212" s="100"/>
      <c r="D212" s="100">
        <f t="shared" ref="D212:D228" si="32">ROUNDUP(E$192/(1+EXP(1)^(H$207-K$208*(B212-B$200+0.5))),0)</f>
        <v>238</v>
      </c>
      <c r="E212" s="100"/>
      <c r="F212" s="100">
        <v>0</v>
      </c>
      <c r="G212" s="100"/>
      <c r="H212" s="100">
        <f t="shared" ref="H212:H228" si="33">ROUND(D212*(1+F212),0)</f>
        <v>238</v>
      </c>
      <c r="I212" s="100"/>
      <c r="J212" s="102">
        <v>0</v>
      </c>
      <c r="K212" s="102"/>
      <c r="L212" s="95"/>
      <c r="M212" s="95"/>
      <c r="N212" s="95"/>
      <c r="O212" s="95"/>
    </row>
    <row r="213" spans="1:15" ht="15" customHeight="1">
      <c r="A213" s="95"/>
      <c r="B213" s="115">
        <v>2015</v>
      </c>
      <c r="C213" s="116"/>
      <c r="D213" s="116">
        <f t="shared" si="32"/>
        <v>221</v>
      </c>
      <c r="E213" s="116"/>
      <c r="F213" s="116">
        <v>0</v>
      </c>
      <c r="G213" s="116"/>
      <c r="H213" s="116">
        <f t="shared" si="33"/>
        <v>221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12">
        <v>2016</v>
      </c>
      <c r="C214" s="113"/>
      <c r="D214" s="113">
        <f t="shared" si="32"/>
        <v>205</v>
      </c>
      <c r="E214" s="113"/>
      <c r="F214" s="113">
        <v>0</v>
      </c>
      <c r="G214" s="113"/>
      <c r="H214" s="113">
        <f t="shared" si="33"/>
        <v>205</v>
      </c>
      <c r="I214" s="113"/>
      <c r="J214" s="114">
        <v>0</v>
      </c>
      <c r="K214" s="114"/>
      <c r="L214" s="95"/>
      <c r="M214" s="95"/>
      <c r="N214" s="95"/>
      <c r="O214" s="95"/>
    </row>
    <row r="215" spans="1:15" ht="15" customHeight="1">
      <c r="A215" s="95"/>
      <c r="B215" s="112">
        <v>2017</v>
      </c>
      <c r="C215" s="113"/>
      <c r="D215" s="113">
        <f t="shared" si="32"/>
        <v>190</v>
      </c>
      <c r="E215" s="113"/>
      <c r="F215" s="113">
        <v>0</v>
      </c>
      <c r="G215" s="113"/>
      <c r="H215" s="113">
        <f t="shared" si="33"/>
        <v>190</v>
      </c>
      <c r="I215" s="113"/>
      <c r="J215" s="114">
        <v>0</v>
      </c>
      <c r="K215" s="114"/>
      <c r="L215" s="95"/>
      <c r="M215" s="95"/>
      <c r="N215" s="95"/>
      <c r="O215" s="95"/>
    </row>
    <row r="216" spans="1:15" ht="15" customHeight="1">
      <c r="A216" s="95"/>
      <c r="B216" s="112">
        <v>2018</v>
      </c>
      <c r="C216" s="113"/>
      <c r="D216" s="113">
        <f t="shared" si="32"/>
        <v>175</v>
      </c>
      <c r="E216" s="113"/>
      <c r="F216" s="113">
        <v>0</v>
      </c>
      <c r="G216" s="113"/>
      <c r="H216" s="113">
        <f t="shared" si="33"/>
        <v>175</v>
      </c>
      <c r="I216" s="113"/>
      <c r="J216" s="114">
        <v>0</v>
      </c>
      <c r="K216" s="114"/>
      <c r="L216" s="95"/>
      <c r="M216" s="95"/>
      <c r="N216" s="95"/>
      <c r="O216" s="95"/>
    </row>
    <row r="217" spans="1:15" ht="15" customHeight="1">
      <c r="A217" s="95"/>
      <c r="B217" s="112">
        <v>2019</v>
      </c>
      <c r="C217" s="113"/>
      <c r="D217" s="113">
        <f t="shared" si="32"/>
        <v>162</v>
      </c>
      <c r="E217" s="113"/>
      <c r="F217" s="113">
        <v>0</v>
      </c>
      <c r="G217" s="113"/>
      <c r="H217" s="113">
        <f t="shared" si="33"/>
        <v>162</v>
      </c>
      <c r="I217" s="113"/>
      <c r="J217" s="114">
        <v>0</v>
      </c>
      <c r="K217" s="114"/>
      <c r="L217" s="95"/>
      <c r="M217" s="95"/>
      <c r="N217" s="95"/>
      <c r="O217" s="95"/>
    </row>
    <row r="218" spans="1:15" ht="15" customHeight="1">
      <c r="A218" s="95"/>
      <c r="B218" s="115">
        <v>2020</v>
      </c>
      <c r="C218" s="116"/>
      <c r="D218" s="116">
        <f t="shared" si="32"/>
        <v>149</v>
      </c>
      <c r="E218" s="116"/>
      <c r="F218" s="116">
        <v>0</v>
      </c>
      <c r="G218" s="116"/>
      <c r="H218" s="116">
        <f t="shared" si="33"/>
        <v>149</v>
      </c>
      <c r="I218" s="116"/>
      <c r="J218" s="117">
        <v>0</v>
      </c>
      <c r="K218" s="117"/>
      <c r="L218" s="95"/>
      <c r="M218" s="95"/>
      <c r="N218" s="95"/>
      <c r="O218" s="95"/>
    </row>
    <row r="219" spans="1:15" ht="15" customHeight="1">
      <c r="A219" s="95"/>
      <c r="B219" s="112">
        <v>2021</v>
      </c>
      <c r="C219" s="113"/>
      <c r="D219" s="113">
        <f t="shared" si="32"/>
        <v>137</v>
      </c>
      <c r="E219" s="113"/>
      <c r="F219" s="113">
        <v>0</v>
      </c>
      <c r="G219" s="113"/>
      <c r="H219" s="113">
        <f t="shared" si="33"/>
        <v>137</v>
      </c>
      <c r="I219" s="113"/>
      <c r="J219" s="114">
        <v>0</v>
      </c>
      <c r="K219" s="114"/>
      <c r="L219" s="95"/>
      <c r="M219" s="95"/>
      <c r="N219" s="95"/>
      <c r="O219" s="95"/>
    </row>
    <row r="220" spans="1:15" ht="15" customHeight="1">
      <c r="A220" s="95"/>
      <c r="B220" s="112">
        <v>2022</v>
      </c>
      <c r="C220" s="113"/>
      <c r="D220" s="113">
        <f t="shared" si="32"/>
        <v>126</v>
      </c>
      <c r="E220" s="113"/>
      <c r="F220" s="113">
        <v>0</v>
      </c>
      <c r="G220" s="113"/>
      <c r="H220" s="113">
        <f t="shared" si="33"/>
        <v>126</v>
      </c>
      <c r="I220" s="113"/>
      <c r="J220" s="114">
        <v>0</v>
      </c>
      <c r="K220" s="114"/>
      <c r="L220" s="95"/>
      <c r="M220" s="95"/>
      <c r="N220" s="95"/>
      <c r="O220" s="95"/>
    </row>
    <row r="221" spans="1:15" ht="15" customHeight="1">
      <c r="A221" s="95"/>
      <c r="B221" s="112">
        <v>2023</v>
      </c>
      <c r="C221" s="113"/>
      <c r="D221" s="113">
        <f t="shared" si="32"/>
        <v>116</v>
      </c>
      <c r="E221" s="113"/>
      <c r="F221" s="113">
        <v>0</v>
      </c>
      <c r="G221" s="113"/>
      <c r="H221" s="113">
        <f t="shared" si="33"/>
        <v>116</v>
      </c>
      <c r="I221" s="113"/>
      <c r="J221" s="114">
        <v>0</v>
      </c>
      <c r="K221" s="114"/>
      <c r="L221" s="95"/>
      <c r="M221" s="95"/>
      <c r="N221" s="95"/>
      <c r="O221" s="95"/>
    </row>
    <row r="222" spans="1:15" ht="15" customHeight="1">
      <c r="A222" s="95"/>
      <c r="B222" s="112">
        <v>2024</v>
      </c>
      <c r="C222" s="113"/>
      <c r="D222" s="113">
        <f t="shared" si="32"/>
        <v>107</v>
      </c>
      <c r="E222" s="113"/>
      <c r="F222" s="113">
        <v>0</v>
      </c>
      <c r="G222" s="113"/>
      <c r="H222" s="113">
        <f t="shared" si="33"/>
        <v>107</v>
      </c>
      <c r="I222" s="113"/>
      <c r="J222" s="114">
        <v>0</v>
      </c>
      <c r="K222" s="114"/>
      <c r="L222" s="95"/>
      <c r="M222" s="95"/>
      <c r="N222" s="95"/>
      <c r="O222" s="95"/>
    </row>
    <row r="223" spans="1:15" ht="15" customHeight="1">
      <c r="A223" s="95"/>
      <c r="B223" s="115">
        <v>2025</v>
      </c>
      <c r="C223" s="116"/>
      <c r="D223" s="116">
        <f t="shared" si="32"/>
        <v>98</v>
      </c>
      <c r="E223" s="116"/>
      <c r="F223" s="116">
        <v>0</v>
      </c>
      <c r="G223" s="116"/>
      <c r="H223" s="116">
        <f t="shared" si="33"/>
        <v>98</v>
      </c>
      <c r="I223" s="116"/>
      <c r="J223" s="117">
        <v>0</v>
      </c>
      <c r="K223" s="117"/>
      <c r="L223" s="95"/>
      <c r="M223" s="95"/>
      <c r="N223" s="95"/>
      <c r="O223" s="95"/>
    </row>
    <row r="224" spans="1:15" ht="15" customHeight="1">
      <c r="A224" s="95"/>
      <c r="B224" s="112">
        <v>2026</v>
      </c>
      <c r="C224" s="113"/>
      <c r="D224" s="113">
        <f t="shared" si="32"/>
        <v>90</v>
      </c>
      <c r="E224" s="113"/>
      <c r="F224" s="113">
        <v>0</v>
      </c>
      <c r="G224" s="113"/>
      <c r="H224" s="113">
        <f t="shared" si="33"/>
        <v>90</v>
      </c>
      <c r="I224" s="113"/>
      <c r="J224" s="114">
        <v>0</v>
      </c>
      <c r="K224" s="114"/>
      <c r="L224" s="95"/>
      <c r="M224" s="95"/>
      <c r="N224" s="95"/>
      <c r="O224" s="95"/>
    </row>
    <row r="225" spans="1:15" ht="15" customHeight="1">
      <c r="A225" s="95"/>
      <c r="B225" s="112">
        <v>2027</v>
      </c>
      <c r="C225" s="113"/>
      <c r="D225" s="113">
        <f t="shared" si="32"/>
        <v>82</v>
      </c>
      <c r="E225" s="113"/>
      <c r="F225" s="113">
        <v>0</v>
      </c>
      <c r="G225" s="113"/>
      <c r="H225" s="113">
        <f t="shared" si="33"/>
        <v>82</v>
      </c>
      <c r="I225" s="113"/>
      <c r="J225" s="114">
        <v>0</v>
      </c>
      <c r="K225" s="114"/>
      <c r="L225" s="95"/>
      <c r="M225" s="95"/>
      <c r="N225" s="95"/>
      <c r="O225" s="95"/>
    </row>
    <row r="226" spans="1:15" ht="15" customHeight="1">
      <c r="A226" s="95"/>
      <c r="B226" s="112">
        <v>2028</v>
      </c>
      <c r="C226" s="113"/>
      <c r="D226" s="113">
        <f t="shared" si="32"/>
        <v>75</v>
      </c>
      <c r="E226" s="113"/>
      <c r="F226" s="113">
        <v>0</v>
      </c>
      <c r="G226" s="113"/>
      <c r="H226" s="113">
        <f t="shared" si="33"/>
        <v>75</v>
      </c>
      <c r="I226" s="113"/>
      <c r="J226" s="114">
        <v>0</v>
      </c>
      <c r="K226" s="114"/>
      <c r="L226" s="95"/>
      <c r="M226" s="95"/>
      <c r="N226" s="95"/>
      <c r="O226" s="95"/>
    </row>
    <row r="227" spans="1:15" ht="15" customHeight="1">
      <c r="A227" s="95"/>
      <c r="B227" s="112">
        <v>2029</v>
      </c>
      <c r="C227" s="113"/>
      <c r="D227" s="113">
        <f t="shared" si="32"/>
        <v>69</v>
      </c>
      <c r="E227" s="113"/>
      <c r="F227" s="113">
        <v>0</v>
      </c>
      <c r="G227" s="113"/>
      <c r="H227" s="113">
        <f t="shared" si="33"/>
        <v>69</v>
      </c>
      <c r="I227" s="113"/>
      <c r="J227" s="114">
        <v>0</v>
      </c>
      <c r="K227" s="114"/>
      <c r="L227" s="95"/>
      <c r="M227" s="95"/>
      <c r="N227" s="95"/>
      <c r="O227" s="95"/>
    </row>
    <row r="228" spans="1:15" ht="15" customHeight="1">
      <c r="A228" s="95"/>
      <c r="B228" s="115">
        <v>2030</v>
      </c>
      <c r="C228" s="116"/>
      <c r="D228" s="116">
        <f t="shared" si="32"/>
        <v>63</v>
      </c>
      <c r="E228" s="116"/>
      <c r="F228" s="116">
        <v>0</v>
      </c>
      <c r="G228" s="116"/>
      <c r="H228" s="116">
        <f t="shared" si="33"/>
        <v>63</v>
      </c>
      <c r="I228" s="116"/>
      <c r="J228" s="117">
        <v>0</v>
      </c>
      <c r="K228" s="117"/>
      <c r="L228" s="95"/>
      <c r="M228" s="95"/>
      <c r="N228" s="95"/>
      <c r="O228" s="95"/>
    </row>
    <row r="229" spans="1:15" ht="15" customHeight="1">
      <c r="A229" s="95"/>
      <c r="B229" s="112">
        <v>2031</v>
      </c>
      <c r="C229" s="113"/>
      <c r="D229" s="113">
        <f>ROUNDUP(E$192/(1+EXP(1)^(H$207-K$208*(B229-B$200+0.5))),0)</f>
        <v>58</v>
      </c>
      <c r="E229" s="113"/>
      <c r="F229" s="113">
        <v>0</v>
      </c>
      <c r="G229" s="113"/>
      <c r="H229" s="113">
        <f>ROUND(D229*(1+F229),0)</f>
        <v>58</v>
      </c>
      <c r="I229" s="113"/>
      <c r="J229" s="114">
        <v>0</v>
      </c>
      <c r="K229" s="114"/>
      <c r="L229" s="95"/>
      <c r="M229" s="95"/>
      <c r="N229" s="95"/>
      <c r="O229" s="95"/>
    </row>
    <row r="230" spans="1:15" ht="15" customHeight="1">
      <c r="A230" s="95"/>
      <c r="B230" s="112">
        <v>2032</v>
      </c>
      <c r="C230" s="113"/>
      <c r="D230" s="113">
        <f>ROUNDUP(E$192/(1+EXP(1)^(H$207-K$208*(B230-B$200+0.5))),0)</f>
        <v>53</v>
      </c>
      <c r="E230" s="113"/>
      <c r="F230" s="113">
        <v>0</v>
      </c>
      <c r="G230" s="113"/>
      <c r="H230" s="113">
        <f>ROUND(D230*(1+F230),0)</f>
        <v>53</v>
      </c>
      <c r="I230" s="113"/>
      <c r="J230" s="114">
        <v>0</v>
      </c>
      <c r="K230" s="114"/>
      <c r="L230" s="95"/>
      <c r="M230" s="95"/>
      <c r="N230" s="95"/>
      <c r="O230" s="95"/>
    </row>
    <row r="231" spans="1:15" ht="15" customHeight="1">
      <c r="A231" s="95"/>
      <c r="B231" s="112">
        <v>2033</v>
      </c>
      <c r="C231" s="113"/>
      <c r="D231" s="113">
        <f>ROUNDUP(E$192/(1+EXP(1)^(H$207-K$208*(B231-B$200+0.5))),0)</f>
        <v>48</v>
      </c>
      <c r="E231" s="113"/>
      <c r="F231" s="113">
        <v>0</v>
      </c>
      <c r="G231" s="113"/>
      <c r="H231" s="113">
        <f>ROUND(D231*(1+F231),0)</f>
        <v>48</v>
      </c>
      <c r="I231" s="113"/>
      <c r="J231" s="114">
        <v>0</v>
      </c>
      <c r="K231" s="114"/>
      <c r="L231" s="95"/>
      <c r="M231" s="95"/>
      <c r="N231" s="95"/>
      <c r="O231" s="95"/>
    </row>
    <row r="232" spans="1:15" ht="15" customHeight="1">
      <c r="A232" s="95"/>
      <c r="B232" s="112">
        <v>2034</v>
      </c>
      <c r="C232" s="113"/>
      <c r="D232" s="113">
        <f>ROUNDUP(E$192/(1+EXP(1)^(H$207-K$208*(B232-B$200+0.5))),0)</f>
        <v>44</v>
      </c>
      <c r="E232" s="113"/>
      <c r="F232" s="113">
        <v>0</v>
      </c>
      <c r="G232" s="113"/>
      <c r="H232" s="113">
        <f>ROUND(D232*(1+F232),0)</f>
        <v>44</v>
      </c>
      <c r="I232" s="113"/>
      <c r="J232" s="114">
        <v>0</v>
      </c>
      <c r="K232" s="114"/>
      <c r="L232" s="95"/>
      <c r="M232" s="95"/>
      <c r="N232" s="95"/>
      <c r="O232" s="95"/>
    </row>
    <row r="233" spans="1:15" ht="15" customHeight="1" thickBot="1">
      <c r="A233" s="95"/>
      <c r="B233" s="115">
        <v>2035</v>
      </c>
      <c r="C233" s="116"/>
      <c r="D233" s="116">
        <f>ROUNDUP(E$192/(1+EXP(1)^(H$207-K$208*(B233-B$200+0.5))),0)</f>
        <v>40</v>
      </c>
      <c r="E233" s="116"/>
      <c r="F233" s="116">
        <v>0</v>
      </c>
      <c r="G233" s="116"/>
      <c r="H233" s="116">
        <f>ROUND(D233*(1+F233),0)</f>
        <v>40</v>
      </c>
      <c r="I233" s="116"/>
      <c r="J233" s="117">
        <v>0</v>
      </c>
      <c r="K233" s="117"/>
      <c r="L233" s="95"/>
      <c r="M233" s="95"/>
      <c r="N233" s="95"/>
      <c r="O233" s="95"/>
    </row>
    <row r="234" spans="1:15" ht="15" customHeight="1">
      <c r="A234" s="95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95"/>
      <c r="M234" s="95"/>
      <c r="N234" s="95"/>
      <c r="O234" s="95"/>
    </row>
    <row r="235" spans="1:15" ht="15" customHeight="1">
      <c r="A235" s="95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95"/>
      <c r="M235" s="95"/>
      <c r="N235" s="95"/>
      <c r="O235" s="95"/>
    </row>
    <row r="236" spans="1:15" ht="15" customHeight="1">
      <c r="A236" s="95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95"/>
      <c r="M236" s="95"/>
      <c r="N236" s="95"/>
      <c r="O236" s="95"/>
    </row>
    <row r="237" spans="1:15" ht="15" customHeight="1">
      <c r="A237" s="95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95"/>
      <c r="M237" s="95"/>
      <c r="N237" s="95"/>
      <c r="O237" s="95"/>
    </row>
    <row r="238" spans="1:15" ht="15" customHeight="1">
      <c r="A238" s="95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95"/>
      <c r="M238" s="95"/>
      <c r="N238" s="95"/>
      <c r="O238" s="95"/>
    </row>
    <row r="239" spans="1:15" ht="15" customHeight="1" thickBot="1">
      <c r="A239" s="95"/>
      <c r="B239" s="95"/>
      <c r="C239" s="95"/>
      <c r="D239" s="95"/>
      <c r="E239" s="95"/>
      <c r="F239" s="100" t="s">
        <v>259</v>
      </c>
      <c r="G239" s="100"/>
      <c r="H239" s="95"/>
      <c r="I239" s="95"/>
      <c r="J239" s="95"/>
      <c r="K239" s="128" t="s">
        <v>260</v>
      </c>
      <c r="L239" s="95"/>
      <c r="M239" s="95"/>
      <c r="N239" s="95"/>
      <c r="O239" s="95"/>
    </row>
    <row r="240" spans="1:15" ht="15" customHeight="1">
      <c r="A240" s="95"/>
      <c r="B240" s="94" t="s">
        <v>254</v>
      </c>
      <c r="C240" s="94"/>
      <c r="D240" s="94" t="s">
        <v>261</v>
      </c>
      <c r="E240" s="94" t="s">
        <v>262</v>
      </c>
      <c r="F240" s="94" t="s">
        <v>263</v>
      </c>
      <c r="G240" s="94" t="s">
        <v>279</v>
      </c>
      <c r="H240" s="94" t="s">
        <v>264</v>
      </c>
      <c r="I240" s="94" t="s">
        <v>265</v>
      </c>
      <c r="J240" s="94" t="s">
        <v>266</v>
      </c>
      <c r="K240" s="94"/>
      <c r="L240" s="95"/>
      <c r="M240" s="95"/>
      <c r="N240" s="95">
        <v>396</v>
      </c>
      <c r="O240" s="95">
        <v>386</v>
      </c>
    </row>
    <row r="241" spans="1:15" ht="15" customHeight="1">
      <c r="A241" s="95"/>
      <c r="B241" s="112">
        <v>2014</v>
      </c>
      <c r="C241" s="113"/>
      <c r="D241" s="153">
        <f t="array" ref="D241">IF(B26=B241,H26)</f>
        <v>292</v>
      </c>
      <c r="E241" s="153">
        <f t="array" ref="E241">IF(B60=B241,H60)</f>
        <v>292</v>
      </c>
      <c r="F241" s="153">
        <f t="array" ref="F241">IF(B115=B241,H115)</f>
        <v>235</v>
      </c>
      <c r="G241" s="153">
        <f t="array" ref="G241">IF(B162=B241,H162)</f>
        <v>448</v>
      </c>
      <c r="H241" s="153">
        <f t="array" ref="H241">IF(B212=B241,H212)</f>
        <v>238</v>
      </c>
      <c r="I241" s="153">
        <f t="shared" ref="I241:I257" si="34">IF(G241=0,AVERAGE(D241,E241,F241,H241),AVERAGE(D241:H241))</f>
        <v>301</v>
      </c>
      <c r="J241" s="164">
        <f t="shared" ref="J241:J257" si="35">ROUND(AVERAGE(D241,F241:G241),0)</f>
        <v>325</v>
      </c>
      <c r="K241" s="156"/>
      <c r="L241" s="95"/>
      <c r="M241" s="95"/>
      <c r="N241" s="95"/>
      <c r="O241" s="95"/>
    </row>
    <row r="242" spans="1:15" ht="15" customHeight="1">
      <c r="A242" s="95"/>
      <c r="B242" s="115">
        <v>2015</v>
      </c>
      <c r="C242" s="116"/>
      <c r="D242" s="154">
        <f t="array" ref="D242">IF(B27=B242,H27)</f>
        <v>283</v>
      </c>
      <c r="E242" s="154">
        <f t="array" ref="E242">IF(B61=B242,H61)</f>
        <v>284</v>
      </c>
      <c r="F242" s="154">
        <f t="array" ref="F242">IF(B116=B242,H116)</f>
        <v>214</v>
      </c>
      <c r="G242" s="154">
        <f t="array" ref="G242">IF(B163=B242,H163)</f>
        <v>452</v>
      </c>
      <c r="H242" s="154">
        <f t="array" ref="H242">IF(B213=B242,H213)</f>
        <v>221</v>
      </c>
      <c r="I242" s="154">
        <f t="shared" si="34"/>
        <v>290.8</v>
      </c>
      <c r="J242" s="165">
        <f t="shared" si="35"/>
        <v>316</v>
      </c>
      <c r="K242" s="155"/>
      <c r="L242" s="95"/>
      <c r="M242" s="95"/>
      <c r="N242" s="95"/>
      <c r="O242" s="95"/>
    </row>
    <row r="243" spans="1:15" ht="15" customHeight="1">
      <c r="A243" s="95"/>
      <c r="B243" s="112">
        <v>2016</v>
      </c>
      <c r="C243" s="113"/>
      <c r="D243" s="153">
        <f t="array" ref="D243">IF(B28=B243,H28)</f>
        <v>274</v>
      </c>
      <c r="E243" s="153">
        <f t="array" ref="E243">IF(B62=B243,H62)</f>
        <v>277</v>
      </c>
      <c r="F243" s="153">
        <f t="array" ref="F243">IF(B117=B243,H117)</f>
        <v>193</v>
      </c>
      <c r="G243" s="153">
        <f t="array" ref="G243">IF(B164=B243,H164)</f>
        <v>456</v>
      </c>
      <c r="H243" s="153">
        <f t="array" ref="H243">IF(B214=B243,H214)</f>
        <v>205</v>
      </c>
      <c r="I243" s="153">
        <f t="shared" si="34"/>
        <v>281</v>
      </c>
      <c r="J243" s="164">
        <f t="shared" si="35"/>
        <v>308</v>
      </c>
      <c r="K243" s="156"/>
      <c r="L243" s="95"/>
      <c r="M243" s="95"/>
      <c r="N243" s="95"/>
      <c r="O243" s="95"/>
    </row>
    <row r="244" spans="1:15" ht="15" customHeight="1">
      <c r="A244" s="95"/>
      <c r="B244" s="112">
        <v>2017</v>
      </c>
      <c r="C244" s="113"/>
      <c r="D244" s="153">
        <f t="array" ref="D244">IF(B29=B244,H29)</f>
        <v>266</v>
      </c>
      <c r="E244" s="153">
        <f t="array" ref="E244">IF(B63=B244,H63)</f>
        <v>270</v>
      </c>
      <c r="F244" s="153">
        <f t="array" ref="F244">IF(B118=B244,H118)</f>
        <v>172</v>
      </c>
      <c r="G244" s="153">
        <f t="array" ref="G244">IF(B165=B244,H165)</f>
        <v>459</v>
      </c>
      <c r="H244" s="153">
        <f t="array" ref="H244">IF(B215=B244,H215)</f>
        <v>190</v>
      </c>
      <c r="I244" s="153">
        <f t="shared" si="34"/>
        <v>271.39999999999998</v>
      </c>
      <c r="J244" s="164">
        <f t="shared" si="35"/>
        <v>299</v>
      </c>
      <c r="K244" s="156"/>
      <c r="L244" s="95"/>
      <c r="M244" s="95"/>
      <c r="N244" s="95"/>
      <c r="O244" s="95"/>
    </row>
    <row r="245" spans="1:15" ht="15" customHeight="1">
      <c r="A245" s="95"/>
      <c r="B245" s="112">
        <v>2018</v>
      </c>
      <c r="C245" s="113"/>
      <c r="D245" s="153">
        <f t="array" ref="D245">IF(B30=B245,H30)</f>
        <v>257</v>
      </c>
      <c r="E245" s="153">
        <f t="array" ref="E245">IF(B64=B245,H64)</f>
        <v>263</v>
      </c>
      <c r="F245" s="153">
        <f t="array" ref="F245">IF(B119=B245,H119)</f>
        <v>151</v>
      </c>
      <c r="G245" s="153">
        <f t="array" ref="G245">IF(B166=B245,H166)</f>
        <v>462</v>
      </c>
      <c r="H245" s="153">
        <f t="array" ref="H245">IF(B216=B245,H216)</f>
        <v>175</v>
      </c>
      <c r="I245" s="153">
        <f t="shared" si="34"/>
        <v>261.60000000000002</v>
      </c>
      <c r="J245" s="164">
        <f t="shared" si="35"/>
        <v>290</v>
      </c>
      <c r="K245" s="156"/>
      <c r="L245" s="95"/>
      <c r="M245" s="95"/>
      <c r="N245" s="95"/>
      <c r="O245" s="95"/>
    </row>
    <row r="246" spans="1:15" ht="15" customHeight="1">
      <c r="A246" s="95"/>
      <c r="B246" s="112">
        <v>2019</v>
      </c>
      <c r="C246" s="113"/>
      <c r="D246" s="153">
        <f t="array" ref="D246">IF(B31=B246,H31)</f>
        <v>248</v>
      </c>
      <c r="E246" s="153">
        <f t="array" ref="E246">IF(B65=B246,H65)</f>
        <v>256</v>
      </c>
      <c r="F246" s="153">
        <f t="array" ref="F246">IF(B120=B246,H120)</f>
        <v>130</v>
      </c>
      <c r="G246" s="153">
        <f t="array" ref="G246">IF(B167=B246,H167)</f>
        <v>466</v>
      </c>
      <c r="H246" s="153">
        <f t="array" ref="H246">IF(B217=B246,H217)</f>
        <v>162</v>
      </c>
      <c r="I246" s="153">
        <f t="shared" si="34"/>
        <v>252.4</v>
      </c>
      <c r="J246" s="164">
        <f t="shared" si="35"/>
        <v>281</v>
      </c>
      <c r="K246" s="156"/>
      <c r="L246" s="95"/>
      <c r="M246" s="95"/>
      <c r="N246" s="95"/>
      <c r="O246" s="95"/>
    </row>
    <row r="247" spans="1:15" ht="15" customHeight="1">
      <c r="A247" s="95"/>
      <c r="B247" s="115">
        <v>2020</v>
      </c>
      <c r="C247" s="116"/>
      <c r="D247" s="154">
        <f t="array" ref="D247">IF(B32=B247,H32)</f>
        <v>239</v>
      </c>
      <c r="E247" s="154">
        <f t="array" ref="E247">IF(B66=B247,H66)</f>
        <v>249</v>
      </c>
      <c r="F247" s="154">
        <f t="array" ref="F247">IF(B121=B247,H121)</f>
        <v>109</v>
      </c>
      <c r="G247" s="154">
        <f t="array" ref="G247">IF(B168=B247,H168)</f>
        <v>469</v>
      </c>
      <c r="H247" s="154">
        <f t="array" ref="H247">IF(B218=B247,H218)</f>
        <v>149</v>
      </c>
      <c r="I247" s="154">
        <f t="shared" si="34"/>
        <v>243</v>
      </c>
      <c r="J247" s="165">
        <f t="shared" si="35"/>
        <v>272</v>
      </c>
      <c r="K247" s="155"/>
      <c r="L247" s="95"/>
      <c r="M247" s="95"/>
      <c r="N247" s="95"/>
      <c r="O247" s="95"/>
    </row>
    <row r="248" spans="1:15" ht="15" customHeight="1">
      <c r="A248" s="95"/>
      <c r="B248" s="112">
        <v>2021</v>
      </c>
      <c r="C248" s="113"/>
      <c r="D248" s="153">
        <f t="array" ref="D248">IF(B33=B248,H33)</f>
        <v>230</v>
      </c>
      <c r="E248" s="153">
        <f t="array" ref="E248">IF(B67=B248,H67)</f>
        <v>242</v>
      </c>
      <c r="F248" s="153">
        <f t="array" ref="F248">IF(B122=B248,H122)</f>
        <v>88</v>
      </c>
      <c r="G248" s="153">
        <f t="array" ref="G248">IF(B169=B248,H169)</f>
        <v>472</v>
      </c>
      <c r="H248" s="153">
        <f t="array" ref="H248">IF(B219=B248,H219)</f>
        <v>137</v>
      </c>
      <c r="I248" s="153">
        <f t="shared" si="34"/>
        <v>233.8</v>
      </c>
      <c r="J248" s="164">
        <f t="shared" si="35"/>
        <v>263</v>
      </c>
      <c r="K248" s="156"/>
      <c r="L248" s="95"/>
      <c r="M248" s="95"/>
      <c r="N248" s="95"/>
      <c r="O248" s="95"/>
    </row>
    <row r="249" spans="1:15" ht="15" customHeight="1">
      <c r="A249" s="95"/>
      <c r="B249" s="112">
        <v>2022</v>
      </c>
      <c r="C249" s="113"/>
      <c r="D249" s="153">
        <f t="array" ref="D249">IF(B34=B249,H34)</f>
        <v>222</v>
      </c>
      <c r="E249" s="153">
        <f t="array" ref="E249">IF(B68=B249,H68)</f>
        <v>236</v>
      </c>
      <c r="F249" s="153">
        <f t="array" ref="F249">IF(B123=B249,H123)</f>
        <v>67</v>
      </c>
      <c r="G249" s="153">
        <f t="array" ref="G249">IF(B170=B249,H170)</f>
        <v>475</v>
      </c>
      <c r="H249" s="153">
        <f t="array" ref="H249">IF(B220=B249,H220)</f>
        <v>126</v>
      </c>
      <c r="I249" s="153">
        <f t="shared" si="34"/>
        <v>225.2</v>
      </c>
      <c r="J249" s="164">
        <f t="shared" si="35"/>
        <v>255</v>
      </c>
      <c r="K249" s="156"/>
      <c r="L249" s="95"/>
      <c r="M249" s="95"/>
      <c r="N249" s="95"/>
      <c r="O249" s="95"/>
    </row>
    <row r="250" spans="1:15" ht="15" customHeight="1">
      <c r="A250" s="95"/>
      <c r="B250" s="112">
        <v>2023</v>
      </c>
      <c r="C250" s="113"/>
      <c r="D250" s="153">
        <f t="array" ref="D250">IF(B35=B250,H35)</f>
        <v>213</v>
      </c>
      <c r="E250" s="153">
        <f t="array" ref="E250">IF(B69=B250,H69)</f>
        <v>230</v>
      </c>
      <c r="F250" s="153">
        <f t="array" ref="F250">IF(B124=B250,H124)</f>
        <v>46</v>
      </c>
      <c r="G250" s="153">
        <f t="array" ref="G250">IF(B171=B250,H171)</f>
        <v>477</v>
      </c>
      <c r="H250" s="153">
        <f t="array" ref="H250">IF(B221=B250,H221)</f>
        <v>116</v>
      </c>
      <c r="I250" s="153">
        <f t="shared" si="34"/>
        <v>216.4</v>
      </c>
      <c r="J250" s="164">
        <f t="shared" si="35"/>
        <v>245</v>
      </c>
      <c r="K250" s="156"/>
      <c r="L250" s="95"/>
      <c r="M250" s="95"/>
      <c r="N250" s="95"/>
      <c r="O250" s="95"/>
    </row>
    <row r="251" spans="1:15" ht="15" customHeight="1">
      <c r="A251" s="95"/>
      <c r="B251" s="112">
        <v>2024</v>
      </c>
      <c r="C251" s="113"/>
      <c r="D251" s="153">
        <f t="array" ref="D251">IF(B36=B251,H36)</f>
        <v>204</v>
      </c>
      <c r="E251" s="153">
        <f t="array" ref="E251">IF(B70=B251,H70)</f>
        <v>224</v>
      </c>
      <c r="F251" s="153">
        <f t="array" ref="F251">IF(B125=B251,H125)</f>
        <v>25</v>
      </c>
      <c r="G251" s="153">
        <f t="array" ref="G251">IF(B172=B251,H172)</f>
        <v>480</v>
      </c>
      <c r="H251" s="153">
        <f t="array" ref="H251">IF(B222=B251,H222)</f>
        <v>107</v>
      </c>
      <c r="I251" s="153">
        <f t="shared" si="34"/>
        <v>208</v>
      </c>
      <c r="J251" s="164">
        <f t="shared" si="35"/>
        <v>236</v>
      </c>
      <c r="K251" s="156"/>
      <c r="L251" s="95"/>
      <c r="M251" s="95"/>
      <c r="N251" s="95"/>
      <c r="O251" s="95"/>
    </row>
    <row r="252" spans="1:15" ht="15" customHeight="1">
      <c r="A252" s="95"/>
      <c r="B252" s="115">
        <v>2025</v>
      </c>
      <c r="C252" s="116"/>
      <c r="D252" s="154">
        <f t="array" ref="D252">IF(B37=B252,H37)</f>
        <v>195</v>
      </c>
      <c r="E252" s="154">
        <f t="array" ref="E252">IF(B71=B252,H71)</f>
        <v>218</v>
      </c>
      <c r="F252" s="154">
        <f t="array" ref="F252">IF(B126=B252,H126)</f>
        <v>4</v>
      </c>
      <c r="G252" s="154">
        <f t="array" ref="G252">IF(B173=B252,H173)</f>
        <v>483</v>
      </c>
      <c r="H252" s="154">
        <f t="array" ref="H252">IF(B223=B252,H223)</f>
        <v>98</v>
      </c>
      <c r="I252" s="154">
        <f t="shared" si="34"/>
        <v>199.6</v>
      </c>
      <c r="J252" s="165">
        <f t="shared" si="35"/>
        <v>227</v>
      </c>
      <c r="K252" s="155"/>
      <c r="L252" s="95"/>
      <c r="M252" s="95"/>
      <c r="N252" s="95"/>
      <c r="O252" s="95"/>
    </row>
    <row r="253" spans="1:15" ht="15" customHeight="1">
      <c r="A253" s="95"/>
      <c r="B253" s="112">
        <v>2026</v>
      </c>
      <c r="C253" s="113"/>
      <c r="D253" s="153">
        <f t="array" ref="D253">IF(B38=B253,H38)</f>
        <v>186</v>
      </c>
      <c r="E253" s="153">
        <f t="array" ref="E253">IF(B72=B253,H72)</f>
        <v>212</v>
      </c>
      <c r="F253" s="153">
        <f t="array" ref="F253">IF(B127=B253,H127)</f>
        <v>-18</v>
      </c>
      <c r="G253" s="153">
        <f t="array" ref="G253">IF(B174=B253,H174)</f>
        <v>485</v>
      </c>
      <c r="H253" s="153">
        <f t="array" ref="H253">IF(B224=B253,H224)</f>
        <v>90</v>
      </c>
      <c r="I253" s="153">
        <f t="shared" si="34"/>
        <v>191</v>
      </c>
      <c r="J253" s="164">
        <f t="shared" si="35"/>
        <v>218</v>
      </c>
      <c r="K253" s="156"/>
      <c r="L253" s="95"/>
      <c r="M253" s="95"/>
      <c r="N253" s="95"/>
      <c r="O253" s="95"/>
    </row>
    <row r="254" spans="1:15" ht="15" customHeight="1">
      <c r="A254" s="95"/>
      <c r="B254" s="112">
        <v>2027</v>
      </c>
      <c r="C254" s="113"/>
      <c r="D254" s="153">
        <f t="array" ref="D254">IF(B39=B254,H39)</f>
        <v>178</v>
      </c>
      <c r="E254" s="153">
        <f t="array" ref="E254">IF(B73=B254,H73)</f>
        <v>207</v>
      </c>
      <c r="F254" s="153">
        <f t="array" ref="F254">IF(B128=B254,H128)</f>
        <v>-39</v>
      </c>
      <c r="G254" s="153">
        <f t="array" ref="G254">IF(B175=B254,H175)</f>
        <v>488</v>
      </c>
      <c r="H254" s="153">
        <f t="array" ref="H254">IF(B225=B254,H225)</f>
        <v>82</v>
      </c>
      <c r="I254" s="153">
        <f t="shared" si="34"/>
        <v>183.2</v>
      </c>
      <c r="J254" s="164">
        <f t="shared" si="35"/>
        <v>209</v>
      </c>
      <c r="K254" s="156"/>
      <c r="L254" s="95"/>
      <c r="M254" s="95"/>
      <c r="N254" s="95"/>
      <c r="O254" s="95"/>
    </row>
    <row r="255" spans="1:15" ht="15" customHeight="1">
      <c r="A255" s="95"/>
      <c r="B255" s="112">
        <v>2028</v>
      </c>
      <c r="C255" s="113"/>
      <c r="D255" s="153">
        <f t="array" ref="D255">IF(B40=B255,H40)</f>
        <v>169</v>
      </c>
      <c r="E255" s="153">
        <f t="array" ref="E255">IF(B74=B255,H74)</f>
        <v>201</v>
      </c>
      <c r="F255" s="153">
        <f t="array" ref="F255">IF(B129=B255,H129)</f>
        <v>-60</v>
      </c>
      <c r="G255" s="153">
        <f t="array" ref="G255">IF(B176=B255,H176)</f>
        <v>490</v>
      </c>
      <c r="H255" s="153">
        <f t="array" ref="H255">IF(B226=B255,H226)</f>
        <v>75</v>
      </c>
      <c r="I255" s="153">
        <f t="shared" si="34"/>
        <v>175</v>
      </c>
      <c r="J255" s="164">
        <f t="shared" si="35"/>
        <v>200</v>
      </c>
      <c r="K255" s="156"/>
      <c r="L255" s="95"/>
      <c r="M255" s="95"/>
      <c r="N255" s="95"/>
      <c r="O255" s="95"/>
    </row>
    <row r="256" spans="1:15" ht="15" customHeight="1">
      <c r="A256" s="95"/>
      <c r="B256" s="112">
        <v>2029</v>
      </c>
      <c r="C256" s="113"/>
      <c r="D256" s="153">
        <f t="array" ref="D256">IF(B41=B256,H41)</f>
        <v>160</v>
      </c>
      <c r="E256" s="153">
        <f t="array" ref="E256">IF(B75=B256,H75)</f>
        <v>196</v>
      </c>
      <c r="F256" s="153">
        <f t="array" ref="F256">IF(B130=B256,H130)</f>
        <v>-81</v>
      </c>
      <c r="G256" s="153">
        <f t="array" ref="G256">IF(B177=B256,H177)</f>
        <v>493</v>
      </c>
      <c r="H256" s="153">
        <f t="array" ref="H256">IF(B227=B256,H227)</f>
        <v>69</v>
      </c>
      <c r="I256" s="153">
        <f t="shared" si="34"/>
        <v>167.4</v>
      </c>
      <c r="J256" s="164">
        <f t="shared" si="35"/>
        <v>191</v>
      </c>
      <c r="K256" s="156"/>
      <c r="L256" s="95"/>
      <c r="M256" s="95"/>
      <c r="N256" s="95"/>
      <c r="O256" s="95"/>
    </row>
    <row r="257" spans="1:15" ht="15" customHeight="1">
      <c r="A257" s="95"/>
      <c r="B257" s="115">
        <v>2030</v>
      </c>
      <c r="C257" s="116"/>
      <c r="D257" s="154">
        <f t="array" ref="D257">IF(B42=B257,H42)</f>
        <v>151</v>
      </c>
      <c r="E257" s="154">
        <f t="array" ref="E257">IF(B76=B257,H76)</f>
        <v>191</v>
      </c>
      <c r="F257" s="154">
        <f t="array" ref="F257">IF(B131=B257,H131)</f>
        <v>-102</v>
      </c>
      <c r="G257" s="154">
        <f t="array" ref="G257">IF(B178=B257,H178)</f>
        <v>495</v>
      </c>
      <c r="H257" s="154">
        <f t="array" ref="H257">IF(B228=B257,H228)</f>
        <v>63</v>
      </c>
      <c r="I257" s="154">
        <f t="shared" si="34"/>
        <v>159.6</v>
      </c>
      <c r="J257" s="165">
        <f t="shared" si="35"/>
        <v>181</v>
      </c>
      <c r="K257" s="155"/>
      <c r="L257" s="95"/>
      <c r="M257" s="95"/>
      <c r="N257" s="95"/>
      <c r="O257" s="95"/>
    </row>
    <row r="258" spans="1:15" ht="15" customHeight="1">
      <c r="A258" s="95"/>
      <c r="B258" s="112">
        <v>2031</v>
      </c>
      <c r="C258" s="113"/>
      <c r="D258" s="153">
        <f t="array" ref="D258">IF(B43=B258,H43)</f>
        <v>142</v>
      </c>
      <c r="E258" s="153">
        <f t="array" ref="E258">IF(B77=B258,H77)</f>
        <v>186</v>
      </c>
      <c r="F258" s="153">
        <f t="array" ref="F258">IF(B132=B258,H132)</f>
        <v>-124</v>
      </c>
      <c r="G258" s="153">
        <f t="array" ref="G258">IF(B179=B258,H179)</f>
        <v>497</v>
      </c>
      <c r="H258" s="153">
        <f t="array" ref="H258">IF(B229=B258,H229)</f>
        <v>58</v>
      </c>
      <c r="I258" s="153">
        <f>IF(G258=0,AVERAGE(D258,E258,F258,H258),AVERAGE(D258:H258))</f>
        <v>151.80000000000001</v>
      </c>
      <c r="J258" s="164">
        <f>ROUND(AVERAGE(D258,F258:G258),0)</f>
        <v>172</v>
      </c>
      <c r="K258" s="156"/>
      <c r="L258" s="95"/>
      <c r="M258" s="95"/>
      <c r="N258" s="95"/>
      <c r="O258" s="95"/>
    </row>
    <row r="259" spans="1:15" ht="15" customHeight="1">
      <c r="A259" s="95"/>
      <c r="B259" s="112">
        <v>2032</v>
      </c>
      <c r="C259" s="113"/>
      <c r="D259" s="153">
        <f t="array" ref="D259">IF(B44=B259,H44)</f>
        <v>134</v>
      </c>
      <c r="E259" s="153">
        <f t="array" ref="E259">IF(B78=B259,H78)</f>
        <v>181</v>
      </c>
      <c r="F259" s="153">
        <f t="array" ref="F259">IF(B133=B259,H133)</f>
        <v>-145</v>
      </c>
      <c r="G259" s="153">
        <f t="array" ref="G259">IF(B180=B259,H180)</f>
        <v>499</v>
      </c>
      <c r="H259" s="153">
        <f t="array" ref="H259">IF(B230=B259,H230)</f>
        <v>53</v>
      </c>
      <c r="I259" s="153">
        <f>IF(G259=0,AVERAGE(D259,E259,F259,H259),AVERAGE(D259:H259))</f>
        <v>144.4</v>
      </c>
      <c r="J259" s="164">
        <f>ROUND(AVERAGE(D259,F259:G259),0)</f>
        <v>163</v>
      </c>
      <c r="K259" s="156"/>
      <c r="L259" s="95"/>
      <c r="M259" s="95"/>
      <c r="N259" s="95"/>
      <c r="O259" s="95"/>
    </row>
    <row r="260" spans="1:15" ht="15" customHeight="1">
      <c r="A260" s="95"/>
      <c r="B260" s="112">
        <v>2033</v>
      </c>
      <c r="C260" s="113"/>
      <c r="D260" s="153">
        <f t="array" ref="D260">IF(B45=B260,H45)</f>
        <v>125</v>
      </c>
      <c r="E260" s="153">
        <f t="array" ref="E260">IF(B79=B260,H79)</f>
        <v>176</v>
      </c>
      <c r="F260" s="153">
        <f t="array" ref="F260">IF(B134=B260,H134)</f>
        <v>-166</v>
      </c>
      <c r="G260" s="153">
        <f t="array" ref="G260">IF(B181=B260,H181)</f>
        <v>502</v>
      </c>
      <c r="H260" s="153">
        <f t="array" ref="H260">IF(B231=B260,H231)</f>
        <v>48</v>
      </c>
      <c r="I260" s="153">
        <f>IF(G260=0,AVERAGE(D260,E260,F260,H260),AVERAGE(D260:H260))</f>
        <v>137</v>
      </c>
      <c r="J260" s="164">
        <f>ROUND(AVERAGE(D260,F260:G260),0)</f>
        <v>154</v>
      </c>
      <c r="K260" s="156"/>
      <c r="L260" s="95"/>
      <c r="M260" s="95"/>
      <c r="N260" s="95"/>
      <c r="O260" s="95"/>
    </row>
    <row r="261" spans="1:15" ht="15" customHeight="1">
      <c r="A261" s="95"/>
      <c r="B261" s="112">
        <v>2034</v>
      </c>
      <c r="C261" s="113"/>
      <c r="D261" s="153">
        <f t="array" ref="D261">IF(B46=B261,H46)</f>
        <v>116</v>
      </c>
      <c r="E261" s="153">
        <f t="array" ref="E261">IF(B80=B261,H80)</f>
        <v>172</v>
      </c>
      <c r="F261" s="153">
        <f t="array" ref="F261">IF(B135=B261,H135)</f>
        <v>-187</v>
      </c>
      <c r="G261" s="153">
        <f t="array" ref="G261">IF(B182=B261,H182)</f>
        <v>504</v>
      </c>
      <c r="H261" s="153">
        <f t="array" ref="H261">IF(B232=B261,H232)</f>
        <v>44</v>
      </c>
      <c r="I261" s="153">
        <f>IF(G261=0,AVERAGE(D261,E261,F261,H261),AVERAGE(D261:H261))</f>
        <v>129.80000000000001</v>
      </c>
      <c r="J261" s="164">
        <f>ROUND(AVERAGE(D261,F261:G261),0)</f>
        <v>144</v>
      </c>
      <c r="K261" s="156"/>
      <c r="L261" s="95"/>
      <c r="M261" s="95"/>
      <c r="N261" s="95"/>
      <c r="O261" s="95"/>
    </row>
    <row r="262" spans="1:15" ht="15" customHeight="1" thickBot="1">
      <c r="A262" s="95"/>
      <c r="B262" s="115">
        <v>2035</v>
      </c>
      <c r="C262" s="116"/>
      <c r="D262" s="154">
        <f t="array" ref="D262">IF(B47=B262,H47)</f>
        <v>107</v>
      </c>
      <c r="E262" s="154">
        <f t="array" ref="E262">IF(B81=B262,H81)</f>
        <v>167</v>
      </c>
      <c r="F262" s="154">
        <f t="array" ref="F262">IF(B136=B262,H136)</f>
        <v>-208</v>
      </c>
      <c r="G262" s="154">
        <f t="array" ref="G262">IF(B183=B262,H183)</f>
        <v>506</v>
      </c>
      <c r="H262" s="154">
        <f t="array" ref="H262">IF(B233=B262,H233)</f>
        <v>40</v>
      </c>
      <c r="I262" s="154">
        <f>IF(G262=0,AVERAGE(D262,E262,F262,H262),AVERAGE(D262:H262))</f>
        <v>122.4</v>
      </c>
      <c r="J262" s="165">
        <f>ROUND(AVERAGE(D262,F262:G262),0)</f>
        <v>135</v>
      </c>
      <c r="K262" s="155"/>
      <c r="L262" s="95"/>
      <c r="M262" s="95"/>
      <c r="N262" s="95"/>
      <c r="O262" s="95"/>
    </row>
    <row r="263" spans="1:15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</row>
  </sheetData>
  <mergeCells count="1">
    <mergeCell ref="E192:F192"/>
  </mergeCells>
  <phoneticPr fontId="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70157"/>
  </sheetPr>
  <dimension ref="A1:T171"/>
  <sheetViews>
    <sheetView view="pageBreakPreview" zoomScaleNormal="100" zoomScaleSheetLayoutView="100" workbookViewId="0"/>
  </sheetViews>
  <sheetFormatPr defaultRowHeight="16.5"/>
  <cols>
    <col min="1" max="1" width="8.88671875" style="55"/>
    <col min="2" max="2" width="8" style="63" customWidth="1"/>
    <col min="3" max="4" width="8.88671875" style="64"/>
    <col min="5" max="5" width="8.88671875" style="63"/>
    <col min="6" max="7" width="8.88671875" style="64"/>
    <col min="8" max="8" width="8.88671875" style="65"/>
    <col min="9" max="9" width="10.6640625" style="64" customWidth="1"/>
    <col min="10" max="10" width="10.33203125" style="63" customWidth="1"/>
    <col min="11" max="11" width="4.44140625" style="63" customWidth="1"/>
    <col min="12" max="13" width="10.21875" style="63" customWidth="1"/>
    <col min="14" max="14" width="4.77734375" style="2" customWidth="1"/>
    <col min="15" max="15" width="62.44140625" style="2" customWidth="1"/>
    <col min="16" max="17" width="8.88671875" style="2"/>
    <col min="18" max="18" width="12.6640625" style="2" bestFit="1" customWidth="1"/>
    <col min="19" max="16384" width="8.88671875" style="2"/>
  </cols>
  <sheetData>
    <row r="1" spans="1:18" ht="21" customHeight="1">
      <c r="A1" s="78" t="s">
        <v>440</v>
      </c>
    </row>
    <row r="2" spans="1:18" ht="20.100000000000001" customHeight="1">
      <c r="A2" s="1621" t="s">
        <v>59</v>
      </c>
      <c r="B2" s="1622"/>
      <c r="C2" s="1606" t="s">
        <v>60</v>
      </c>
      <c r="D2" s="1606" t="s">
        <v>61</v>
      </c>
      <c r="E2" s="1608" t="s">
        <v>62</v>
      </c>
      <c r="F2" s="1606" t="s">
        <v>63</v>
      </c>
      <c r="G2" s="1606" t="s">
        <v>495</v>
      </c>
      <c r="H2" s="1619" t="s">
        <v>71</v>
      </c>
      <c r="I2" s="1606" t="s">
        <v>874</v>
      </c>
      <c r="J2" s="1601" t="s">
        <v>282</v>
      </c>
      <c r="K2" s="1610"/>
      <c r="L2" s="1617" t="s">
        <v>64</v>
      </c>
      <c r="M2" s="1617" t="s">
        <v>475</v>
      </c>
      <c r="N2" s="433"/>
      <c r="O2" s="1615" t="s">
        <v>90</v>
      </c>
    </row>
    <row r="3" spans="1:18" ht="20.100000000000001" customHeight="1">
      <c r="A3" s="1623"/>
      <c r="B3" s="1624"/>
      <c r="C3" s="1607"/>
      <c r="D3" s="1607"/>
      <c r="E3" s="1609"/>
      <c r="F3" s="1607"/>
      <c r="G3" s="1607"/>
      <c r="H3" s="1620"/>
      <c r="I3" s="1607"/>
      <c r="J3" s="1602"/>
      <c r="K3" s="1610"/>
      <c r="L3" s="1618"/>
      <c r="M3" s="1618"/>
      <c r="N3" s="433"/>
      <c r="O3" s="1616"/>
    </row>
    <row r="4" spans="1:18" ht="26.45" customHeight="1">
      <c r="A4" s="1605" t="s">
        <v>942</v>
      </c>
      <c r="B4" s="743" t="s">
        <v>69</v>
      </c>
      <c r="C4" s="746">
        <f>'2.음성군급수총괄'!C6</f>
        <v>88382</v>
      </c>
      <c r="D4" s="746">
        <f>'2.음성군급수총괄'!D6</f>
        <v>54773</v>
      </c>
      <c r="E4" s="1084">
        <f>'2.음성군급수총괄'!E6</f>
        <v>61.9</v>
      </c>
      <c r="F4" s="746">
        <f>'2.음성군급수총괄'!F6</f>
        <v>0</v>
      </c>
      <c r="G4" s="746">
        <f t="shared" ref="G4:G13" si="0">+L4-M4</f>
        <v>20342</v>
      </c>
      <c r="H4" s="747">
        <f t="shared" ref="H4:H12" si="1">ROUND(+G4/D4*1000,0)</f>
        <v>371</v>
      </c>
      <c r="I4" s="748">
        <f>+'4.1사용실적산정'!D4</f>
        <v>9277</v>
      </c>
      <c r="J4" s="749">
        <f t="shared" ref="J4:J12" si="2">ROUND(+I4/$D4*1000,0)</f>
        <v>169</v>
      </c>
      <c r="K4" s="798"/>
      <c r="L4" s="799">
        <v>20342</v>
      </c>
      <c r="M4" s="800">
        <f>+'4.상수사용량현황'!M5</f>
        <v>0</v>
      </c>
      <c r="N4" s="17"/>
      <c r="O4" s="1614"/>
    </row>
    <row r="5" spans="1:18" ht="26.45" customHeight="1">
      <c r="A5" s="1599"/>
      <c r="B5" s="1064" t="s">
        <v>1</v>
      </c>
      <c r="C5" s="1066">
        <f>'2.음성군급수총괄'!C7</f>
        <v>90159</v>
      </c>
      <c r="D5" s="1066">
        <f>'2.음성군급수총괄'!D7</f>
        <v>56144</v>
      </c>
      <c r="E5" s="1085">
        <f>'2.음성군급수총괄'!E7</f>
        <v>62.3</v>
      </c>
      <c r="F5" s="1066">
        <f>'2.음성군급수총괄'!F7</f>
        <v>0</v>
      </c>
      <c r="G5" s="1066">
        <f t="shared" si="0"/>
        <v>21838</v>
      </c>
      <c r="H5" s="1067">
        <f t="shared" si="1"/>
        <v>389</v>
      </c>
      <c r="I5" s="1068">
        <f>+'4.1사용실적산정'!D5</f>
        <v>10474</v>
      </c>
      <c r="J5" s="1069">
        <f t="shared" si="2"/>
        <v>187</v>
      </c>
      <c r="K5" s="798"/>
      <c r="L5" s="799">
        <v>21838</v>
      </c>
      <c r="M5" s="800">
        <f>+'4.상수사용량현황'!M6</f>
        <v>0</v>
      </c>
      <c r="N5" s="17"/>
      <c r="O5" s="1614"/>
    </row>
    <row r="6" spans="1:18" ht="26.45" customHeight="1">
      <c r="A6" s="1599"/>
      <c r="B6" s="1064" t="s">
        <v>2</v>
      </c>
      <c r="C6" s="1066">
        <f>'2.음성군급수총괄'!C8</f>
        <v>92520</v>
      </c>
      <c r="D6" s="1066">
        <f>'2.음성군급수총괄'!D8</f>
        <v>59217</v>
      </c>
      <c r="E6" s="1085">
        <f>'2.음성군급수총괄'!E8</f>
        <v>64</v>
      </c>
      <c r="F6" s="1066">
        <f>'2.음성군급수총괄'!F8</f>
        <v>0</v>
      </c>
      <c r="G6" s="1066">
        <f t="shared" si="0"/>
        <v>25182</v>
      </c>
      <c r="H6" s="1067">
        <f t="shared" si="1"/>
        <v>425</v>
      </c>
      <c r="I6" s="1068">
        <f>+'4.1사용실적산정'!D6</f>
        <v>16917</v>
      </c>
      <c r="J6" s="1069">
        <f t="shared" si="2"/>
        <v>286</v>
      </c>
      <c r="K6" s="798"/>
      <c r="L6" s="799">
        <v>25182</v>
      </c>
      <c r="M6" s="800">
        <f>+'4.상수사용량현황'!M7</f>
        <v>0</v>
      </c>
      <c r="N6" s="17"/>
      <c r="O6" s="1614"/>
    </row>
    <row r="7" spans="1:18" ht="26.45" customHeight="1">
      <c r="A7" s="1599"/>
      <c r="B7" s="1064" t="s">
        <v>3</v>
      </c>
      <c r="C7" s="1066">
        <f>'2.음성군급수총괄'!C9</f>
        <v>94144</v>
      </c>
      <c r="D7" s="1066">
        <f>'2.음성군급수총괄'!D9</f>
        <v>63816</v>
      </c>
      <c r="E7" s="1085">
        <f>'2.음성군급수총괄'!E9</f>
        <v>67.8</v>
      </c>
      <c r="F7" s="1066">
        <f>'2.음성군급수총괄'!F9</f>
        <v>0</v>
      </c>
      <c r="G7" s="1066">
        <f t="shared" si="0"/>
        <v>19540</v>
      </c>
      <c r="H7" s="1067">
        <f t="shared" si="1"/>
        <v>306</v>
      </c>
      <c r="I7" s="1068">
        <f>+'4.1사용실적산정'!D7</f>
        <v>12551</v>
      </c>
      <c r="J7" s="1069">
        <f t="shared" si="2"/>
        <v>197</v>
      </c>
      <c r="K7" s="798"/>
      <c r="L7" s="799">
        <v>27183</v>
      </c>
      <c r="M7" s="800">
        <f>+'4.상수사용량현황'!M8</f>
        <v>7643</v>
      </c>
      <c r="N7" s="17"/>
      <c r="O7" s="1614"/>
    </row>
    <row r="8" spans="1:18" ht="26.45" customHeight="1">
      <c r="A8" s="1599"/>
      <c r="B8" s="1064" t="s">
        <v>65</v>
      </c>
      <c r="C8" s="1066">
        <f>'2.음성군급수총괄'!C10</f>
        <v>94580</v>
      </c>
      <c r="D8" s="1066">
        <f>'2.음성군급수총괄'!D10</f>
        <v>66068</v>
      </c>
      <c r="E8" s="1085">
        <f>'2.음성군급수총괄'!E10</f>
        <v>69.900000000000006</v>
      </c>
      <c r="F8" s="1066">
        <f>'2.음성군급수총괄'!F10</f>
        <v>0</v>
      </c>
      <c r="G8" s="1066">
        <f t="shared" si="0"/>
        <v>19964</v>
      </c>
      <c r="H8" s="1067">
        <f t="shared" si="1"/>
        <v>302</v>
      </c>
      <c r="I8" s="1068">
        <f>+'4.1사용실적산정'!D8</f>
        <v>13460</v>
      </c>
      <c r="J8" s="1069">
        <f t="shared" si="2"/>
        <v>204</v>
      </c>
      <c r="K8" s="798"/>
      <c r="L8" s="799">
        <v>27456</v>
      </c>
      <c r="M8" s="800">
        <f>+'4.상수사용량현황'!M9</f>
        <v>7492</v>
      </c>
      <c r="N8" s="17"/>
      <c r="O8" s="1614"/>
    </row>
    <row r="9" spans="1:18" ht="26.45" customHeight="1">
      <c r="A9" s="1599"/>
      <c r="B9" s="1064" t="s">
        <v>16</v>
      </c>
      <c r="C9" s="1066">
        <f>'2.음성군급수총괄'!C11</f>
        <v>96214</v>
      </c>
      <c r="D9" s="1066">
        <f>'2.음성군급수총괄'!D11</f>
        <v>66068</v>
      </c>
      <c r="E9" s="1085">
        <f>'2.음성군급수총괄'!E11</f>
        <v>68.7</v>
      </c>
      <c r="F9" s="1066">
        <f>'2.음성군급수총괄'!F11</f>
        <v>0</v>
      </c>
      <c r="G9" s="1066">
        <f t="shared" si="0"/>
        <v>21640</v>
      </c>
      <c r="H9" s="1067">
        <f t="shared" si="1"/>
        <v>328</v>
      </c>
      <c r="I9" s="1068">
        <f>+'4.1사용실적산정'!D9</f>
        <v>14351</v>
      </c>
      <c r="J9" s="1069">
        <f t="shared" si="2"/>
        <v>217</v>
      </c>
      <c r="K9" s="798"/>
      <c r="L9" s="799">
        <v>30502</v>
      </c>
      <c r="M9" s="800">
        <f>+'4.상수사용량현황'!M10</f>
        <v>8862</v>
      </c>
      <c r="N9" s="17"/>
      <c r="O9" s="1614"/>
    </row>
    <row r="10" spans="1:18" ht="26.45" customHeight="1">
      <c r="A10" s="1599"/>
      <c r="B10" s="1064" t="s">
        <v>66</v>
      </c>
      <c r="C10" s="1066">
        <f>'2.음성군급수총괄'!C12</f>
        <v>96993</v>
      </c>
      <c r="D10" s="1066">
        <f>'2.음성군급수총괄'!D12</f>
        <v>73355</v>
      </c>
      <c r="E10" s="1085">
        <f>'2.음성군급수총괄'!E12</f>
        <v>75.599999999999994</v>
      </c>
      <c r="F10" s="1066">
        <f>'2.음성군급수총괄'!F12</f>
        <v>0</v>
      </c>
      <c r="G10" s="1066">
        <f t="shared" si="0"/>
        <v>15595</v>
      </c>
      <c r="H10" s="1067">
        <f t="shared" si="1"/>
        <v>213</v>
      </c>
      <c r="I10" s="1068">
        <f>+'4.1사용실적산정'!D10</f>
        <v>15594</v>
      </c>
      <c r="J10" s="1069">
        <f t="shared" si="2"/>
        <v>213</v>
      </c>
      <c r="K10" s="798"/>
      <c r="L10" s="799">
        <v>26607</v>
      </c>
      <c r="M10" s="800">
        <f>+'4.상수사용량현황'!M11</f>
        <v>11012</v>
      </c>
      <c r="N10" s="17"/>
      <c r="O10" s="1614"/>
    </row>
    <row r="11" spans="1:18" ht="26.45" customHeight="1">
      <c r="A11" s="1599"/>
      <c r="B11" s="1064" t="s">
        <v>67</v>
      </c>
      <c r="C11" s="1066">
        <f>'2.음성군급수총괄'!C13</f>
        <v>98279</v>
      </c>
      <c r="D11" s="1066">
        <f>'2.음성군급수총괄'!D13</f>
        <v>76988</v>
      </c>
      <c r="E11" s="1085">
        <f>'2.음성군급수총괄'!E13</f>
        <v>78.3</v>
      </c>
      <c r="F11" s="1066">
        <f>'2.음성군급수총괄'!F13</f>
        <v>0</v>
      </c>
      <c r="G11" s="1066">
        <f t="shared" si="0"/>
        <v>16687</v>
      </c>
      <c r="H11" s="1067">
        <f t="shared" si="1"/>
        <v>217</v>
      </c>
      <c r="I11" s="1068">
        <f>+'4.1사용실적산정'!D11</f>
        <v>16786</v>
      </c>
      <c r="J11" s="1069">
        <f t="shared" si="2"/>
        <v>218</v>
      </c>
      <c r="K11" s="798"/>
      <c r="L11" s="799">
        <v>29861</v>
      </c>
      <c r="M11" s="800">
        <f>+'4.상수사용량현황'!M12</f>
        <v>13174</v>
      </c>
      <c r="N11" s="17"/>
      <c r="O11" s="1614"/>
    </row>
    <row r="12" spans="1:18" ht="26.45" customHeight="1">
      <c r="A12" s="1599"/>
      <c r="B12" s="1064" t="s">
        <v>68</v>
      </c>
      <c r="C12" s="1066">
        <f>'2.음성군급수총괄'!C14</f>
        <v>99952</v>
      </c>
      <c r="D12" s="1066">
        <f>'2.음성군급수총괄'!D14</f>
        <v>79162</v>
      </c>
      <c r="E12" s="1085">
        <f>'2.음성군급수총괄'!E14</f>
        <v>79.2</v>
      </c>
      <c r="F12" s="1066">
        <f>'2.음성군급수총괄'!F14</f>
        <v>0</v>
      </c>
      <c r="G12" s="1066">
        <f t="shared" si="0"/>
        <v>17829</v>
      </c>
      <c r="H12" s="1067">
        <f t="shared" si="1"/>
        <v>225</v>
      </c>
      <c r="I12" s="1068">
        <f>+'4.1사용실적산정'!D12</f>
        <v>17830</v>
      </c>
      <c r="J12" s="1069">
        <f t="shared" si="2"/>
        <v>225</v>
      </c>
      <c r="K12" s="798"/>
      <c r="L12" s="799">
        <v>30756</v>
      </c>
      <c r="M12" s="800">
        <f>+'4.상수사용량현황'!M13</f>
        <v>12927</v>
      </c>
      <c r="N12" s="17"/>
      <c r="O12" s="1614"/>
    </row>
    <row r="13" spans="1:18" ht="26.45" customHeight="1">
      <c r="A13" s="1599"/>
      <c r="B13" s="1064" t="s">
        <v>869</v>
      </c>
      <c r="C13" s="1086">
        <f>'2.음성군급수총괄'!C15</f>
        <v>102796</v>
      </c>
      <c r="D13" s="1086">
        <f>'2.음성군급수총괄'!D15</f>
        <v>87367</v>
      </c>
      <c r="E13" s="1072">
        <f>'2.음성군급수총괄'!E15</f>
        <v>85</v>
      </c>
      <c r="F13" s="1086">
        <f>'2.음성군급수총괄'!F15</f>
        <v>0</v>
      </c>
      <c r="G13" s="1066">
        <f t="shared" si="0"/>
        <v>30132</v>
      </c>
      <c r="H13" s="1067">
        <f t="shared" ref="H13" si="3">ROUND(+G13/D13*1000,0)</f>
        <v>345</v>
      </c>
      <c r="I13" s="1068">
        <f>+'4.1사용실적산정'!D13</f>
        <v>19371</v>
      </c>
      <c r="J13" s="1069">
        <f t="shared" ref="J13" si="4">ROUND(+I13/$D13*1000,0)</f>
        <v>222</v>
      </c>
      <c r="K13" s="798"/>
      <c r="L13" s="801">
        <v>43683</v>
      </c>
      <c r="M13" s="800">
        <f>+'4.상수사용량현황'!M14</f>
        <v>13551</v>
      </c>
      <c r="N13" s="17"/>
      <c r="O13" s="1614"/>
      <c r="Q13" s="636">
        <v>0.65600362141159607</v>
      </c>
      <c r="R13" s="638">
        <f>+Q13*100</f>
        <v>65.600362141159607</v>
      </c>
    </row>
    <row r="14" spans="1:18" ht="26.45" customHeight="1">
      <c r="A14" s="1599" t="s">
        <v>944</v>
      </c>
      <c r="B14" s="1064" t="str">
        <f t="shared" ref="B14:B45" si="5">+B4</f>
        <v>2005년</v>
      </c>
      <c r="C14" s="421">
        <v>18065</v>
      </c>
      <c r="D14" s="421">
        <v>15497</v>
      </c>
      <c r="E14" s="1087">
        <v>85.8</v>
      </c>
      <c r="F14" s="421">
        <v>0</v>
      </c>
      <c r="G14" s="1066">
        <f t="shared" ref="G14:G22" si="6">+L14-M14</f>
        <v>5755</v>
      </c>
      <c r="H14" s="1067">
        <f t="shared" ref="H14:H22" si="7">ROUND(+G14/D14*1000,0)</f>
        <v>371</v>
      </c>
      <c r="I14" s="1068">
        <f>+'4.1사용실적산정'!D14</f>
        <v>3046</v>
      </c>
      <c r="J14" s="1069">
        <f t="shared" ref="J14:J22" si="8">ROUND(+I14/$D14*1000,0)</f>
        <v>197</v>
      </c>
      <c r="K14" s="798"/>
      <c r="L14" s="802">
        <v>5755</v>
      </c>
      <c r="M14" s="800">
        <f>+'4.상수사용량현황'!M15</f>
        <v>0</v>
      </c>
      <c r="N14" s="17"/>
      <c r="O14" s="1611"/>
      <c r="Q14" s="636">
        <v>0.68956346643364619</v>
      </c>
      <c r="R14" s="638">
        <f t="shared" ref="R14:R21" si="9">+Q14*100</f>
        <v>68.956346643364625</v>
      </c>
    </row>
    <row r="15" spans="1:18" ht="26.45" customHeight="1">
      <c r="A15" s="1599"/>
      <c r="B15" s="1064" t="str">
        <f t="shared" si="5"/>
        <v>2006년</v>
      </c>
      <c r="C15" s="421">
        <v>18154</v>
      </c>
      <c r="D15" s="421">
        <v>15714</v>
      </c>
      <c r="E15" s="1087">
        <v>86.6</v>
      </c>
      <c r="F15" s="421">
        <v>0</v>
      </c>
      <c r="G15" s="1066">
        <f t="shared" si="6"/>
        <v>6818</v>
      </c>
      <c r="H15" s="1067">
        <f t="shared" si="7"/>
        <v>434</v>
      </c>
      <c r="I15" s="1068">
        <f>+'4.1사용실적산정'!D15</f>
        <v>3044</v>
      </c>
      <c r="J15" s="1069">
        <f t="shared" si="8"/>
        <v>194</v>
      </c>
      <c r="K15" s="798"/>
      <c r="L15" s="802">
        <v>6818</v>
      </c>
      <c r="M15" s="800">
        <f>+'4.상수사용량현황'!M16</f>
        <v>0</v>
      </c>
      <c r="N15" s="17"/>
      <c r="O15" s="1612"/>
      <c r="Q15" s="636">
        <v>0.74265254363717736</v>
      </c>
      <c r="R15" s="638">
        <f t="shared" si="9"/>
        <v>74.26525436371773</v>
      </c>
    </row>
    <row r="16" spans="1:18" ht="26.45" customHeight="1">
      <c r="A16" s="1599"/>
      <c r="B16" s="1064" t="str">
        <f t="shared" si="5"/>
        <v>2007년</v>
      </c>
      <c r="C16" s="421">
        <v>18414</v>
      </c>
      <c r="D16" s="421">
        <v>16197</v>
      </c>
      <c r="E16" s="1087">
        <v>88</v>
      </c>
      <c r="F16" s="421">
        <v>7500</v>
      </c>
      <c r="G16" s="1066">
        <f t="shared" si="6"/>
        <v>6689</v>
      </c>
      <c r="H16" s="1067">
        <f t="shared" si="7"/>
        <v>413</v>
      </c>
      <c r="I16" s="1068">
        <f>+'4.1사용실적산정'!D16</f>
        <v>2624</v>
      </c>
      <c r="J16" s="1069">
        <f t="shared" si="8"/>
        <v>162</v>
      </c>
      <c r="K16" s="798"/>
      <c r="L16" s="802">
        <v>6689</v>
      </c>
      <c r="M16" s="800">
        <f>+'4.상수사용량현황'!M17</f>
        <v>0</v>
      </c>
      <c r="N16" s="17"/>
      <c r="O16" s="1612"/>
      <c r="Q16" s="636">
        <v>0.77045676141903552</v>
      </c>
      <c r="R16" s="638">
        <f t="shared" si="9"/>
        <v>77.045676141903556</v>
      </c>
    </row>
    <row r="17" spans="1:18" ht="26.45" customHeight="1">
      <c r="A17" s="1599"/>
      <c r="B17" s="1064" t="str">
        <f t="shared" si="5"/>
        <v>2008년</v>
      </c>
      <c r="C17" s="421">
        <v>18251</v>
      </c>
      <c r="D17" s="421">
        <v>16646</v>
      </c>
      <c r="E17" s="1087">
        <v>91.2</v>
      </c>
      <c r="F17" s="421">
        <v>0</v>
      </c>
      <c r="G17" s="1066">
        <f t="shared" si="6"/>
        <v>6831</v>
      </c>
      <c r="H17" s="1067">
        <f t="shared" si="7"/>
        <v>410</v>
      </c>
      <c r="I17" s="1068">
        <f>+'4.1사용실적산정'!D17</f>
        <v>3200</v>
      </c>
      <c r="J17" s="1069">
        <f t="shared" si="8"/>
        <v>192</v>
      </c>
      <c r="K17" s="798"/>
      <c r="L17" s="802">
        <v>6875</v>
      </c>
      <c r="M17" s="800">
        <f>+'4.상수사용량현황'!M18</f>
        <v>44</v>
      </c>
      <c r="N17" s="17"/>
      <c r="O17" s="1612"/>
      <c r="Q17" s="636">
        <v>0.80117966002344665</v>
      </c>
      <c r="R17" s="638">
        <f t="shared" si="9"/>
        <v>80.117966002344659</v>
      </c>
    </row>
    <row r="18" spans="1:18" ht="26.45" customHeight="1">
      <c r="A18" s="1599"/>
      <c r="B18" s="1064" t="str">
        <f t="shared" si="5"/>
        <v>2009년</v>
      </c>
      <c r="C18" s="421">
        <v>18588</v>
      </c>
      <c r="D18" s="421">
        <v>15556</v>
      </c>
      <c r="E18" s="1087">
        <v>83.7</v>
      </c>
      <c r="F18" s="422">
        <v>0</v>
      </c>
      <c r="G18" s="1066">
        <f t="shared" si="6"/>
        <v>5800</v>
      </c>
      <c r="H18" s="1067">
        <f t="shared" si="7"/>
        <v>373</v>
      </c>
      <c r="I18" s="1068">
        <f>+'4.1사용실적산정'!D18</f>
        <v>3461</v>
      </c>
      <c r="J18" s="1069">
        <f t="shared" si="8"/>
        <v>222</v>
      </c>
      <c r="K18" s="798"/>
      <c r="L18" s="802">
        <v>5897</v>
      </c>
      <c r="M18" s="800">
        <f>+'4.상수사용량현황'!M19</f>
        <v>97</v>
      </c>
      <c r="N18" s="17"/>
      <c r="O18" s="1612"/>
      <c r="Q18" s="636">
        <v>0.84480614094317497</v>
      </c>
      <c r="R18" s="638">
        <f t="shared" si="9"/>
        <v>84.480614094317502</v>
      </c>
    </row>
    <row r="19" spans="1:18" ht="26.45" customHeight="1">
      <c r="A19" s="1599"/>
      <c r="B19" s="1064" t="str">
        <f t="shared" si="5"/>
        <v>2010년</v>
      </c>
      <c r="C19" s="421">
        <v>19021</v>
      </c>
      <c r="D19" s="421">
        <v>15556</v>
      </c>
      <c r="E19" s="1087">
        <v>81.8</v>
      </c>
      <c r="F19" s="422">
        <v>0</v>
      </c>
      <c r="G19" s="1066">
        <f t="shared" si="6"/>
        <v>4270</v>
      </c>
      <c r="H19" s="1067">
        <f t="shared" si="7"/>
        <v>274</v>
      </c>
      <c r="I19" s="1068">
        <f>+'4.1사용실적산정'!D19</f>
        <v>3504</v>
      </c>
      <c r="J19" s="1069">
        <f t="shared" si="8"/>
        <v>225</v>
      </c>
      <c r="K19" s="798"/>
      <c r="L19" s="802">
        <v>4356</v>
      </c>
      <c r="M19" s="800">
        <f>+'4.상수사용량현황'!M20</f>
        <v>86</v>
      </c>
      <c r="N19" s="17"/>
      <c r="O19" s="1612"/>
      <c r="Q19" s="636">
        <v>0.79979969609062029</v>
      </c>
      <c r="R19" s="638">
        <f t="shared" si="9"/>
        <v>79.979969609062024</v>
      </c>
    </row>
    <row r="20" spans="1:18" ht="26.45" customHeight="1">
      <c r="A20" s="1599"/>
      <c r="B20" s="1064" t="str">
        <f t="shared" si="5"/>
        <v>2011년</v>
      </c>
      <c r="C20" s="421">
        <v>18690</v>
      </c>
      <c r="D20" s="421">
        <v>15845</v>
      </c>
      <c r="E20" s="1087">
        <v>84.7</v>
      </c>
      <c r="F20" s="422">
        <v>0</v>
      </c>
      <c r="G20" s="1066">
        <f t="shared" si="6"/>
        <v>3609</v>
      </c>
      <c r="H20" s="1067">
        <f t="shared" si="7"/>
        <v>228</v>
      </c>
      <c r="I20" s="1068">
        <f>+'4.1사용실적산정'!D20</f>
        <v>3608</v>
      </c>
      <c r="J20" s="1069">
        <f t="shared" si="8"/>
        <v>228</v>
      </c>
      <c r="K20" s="798"/>
      <c r="L20" s="802">
        <v>3714</v>
      </c>
      <c r="M20" s="800">
        <f>+'4.상수사용량현황'!M21</f>
        <v>105</v>
      </c>
      <c r="N20" s="17"/>
      <c r="O20" s="1612"/>
      <c r="Q20" s="636">
        <v>0.84227500251956866</v>
      </c>
      <c r="R20" s="638">
        <f t="shared" si="9"/>
        <v>84.227500251956869</v>
      </c>
    </row>
    <row r="21" spans="1:18" ht="26.45" customHeight="1">
      <c r="A21" s="1599"/>
      <c r="B21" s="1064" t="str">
        <f t="shared" si="5"/>
        <v>2012년</v>
      </c>
      <c r="C21" s="421">
        <v>18920</v>
      </c>
      <c r="D21" s="421">
        <v>15227</v>
      </c>
      <c r="E21" s="1087">
        <v>80.5</v>
      </c>
      <c r="F21" s="422">
        <v>0</v>
      </c>
      <c r="G21" s="1066">
        <f t="shared" si="6"/>
        <v>3664</v>
      </c>
      <c r="H21" s="1067">
        <f t="shared" si="7"/>
        <v>241</v>
      </c>
      <c r="I21" s="1068">
        <f>+'4.1사용실적산정'!D21</f>
        <v>3664</v>
      </c>
      <c r="J21" s="1069">
        <f t="shared" si="8"/>
        <v>241</v>
      </c>
      <c r="K21" s="798"/>
      <c r="L21" s="802">
        <v>3796</v>
      </c>
      <c r="M21" s="800">
        <f>+'4.상수사용량현황'!M22</f>
        <v>132</v>
      </c>
      <c r="N21" s="17"/>
      <c r="O21" s="1612"/>
      <c r="Q21" s="636">
        <v>0.8411819637139808</v>
      </c>
      <c r="R21" s="638">
        <f t="shared" si="9"/>
        <v>84.118196371398085</v>
      </c>
    </row>
    <row r="22" spans="1:18" ht="26.45" customHeight="1">
      <c r="A22" s="1599"/>
      <c r="B22" s="1064" t="str">
        <f t="shared" si="5"/>
        <v>2013년</v>
      </c>
      <c r="C22" s="1070">
        <v>19167</v>
      </c>
      <c r="D22" s="1070">
        <v>15429</v>
      </c>
      <c r="E22" s="1088">
        <v>80.5</v>
      </c>
      <c r="F22" s="1070">
        <v>0</v>
      </c>
      <c r="G22" s="1066">
        <f t="shared" si="6"/>
        <v>3882</v>
      </c>
      <c r="H22" s="1067">
        <f t="shared" si="7"/>
        <v>252</v>
      </c>
      <c r="I22" s="1068">
        <f>+'4.1사용실적산정'!D22</f>
        <v>3882</v>
      </c>
      <c r="J22" s="1089">
        <f t="shared" si="8"/>
        <v>252</v>
      </c>
      <c r="K22" s="798"/>
      <c r="L22" s="803">
        <v>3983</v>
      </c>
      <c r="M22" s="800">
        <f>+'4.상수사용량현황'!M23</f>
        <v>101</v>
      </c>
      <c r="N22" s="17"/>
      <c r="O22" s="1612"/>
      <c r="Q22" s="637">
        <v>85.1</v>
      </c>
      <c r="R22" s="638">
        <f>+Q22</f>
        <v>85.1</v>
      </c>
    </row>
    <row r="23" spans="1:18" ht="26.45" customHeight="1">
      <c r="A23" s="1599"/>
      <c r="B23" s="1064" t="str">
        <f t="shared" si="5"/>
        <v>2014년</v>
      </c>
      <c r="C23" s="1070">
        <v>19214</v>
      </c>
      <c r="D23" s="1070">
        <v>16429</v>
      </c>
      <c r="E23" s="1072">
        <v>85.5</v>
      </c>
      <c r="F23" s="1070">
        <v>0</v>
      </c>
      <c r="G23" s="1066">
        <f t="shared" ref="G23" si="10">+L23-M23</f>
        <v>4795</v>
      </c>
      <c r="H23" s="1067">
        <f t="shared" ref="H23" si="11">ROUND(+G23/D23*1000,0)</f>
        <v>292</v>
      </c>
      <c r="I23" s="1068">
        <f>+'4.1사용실적산정'!D23</f>
        <v>3847</v>
      </c>
      <c r="J23" s="1089">
        <f t="shared" ref="J23" si="12">ROUND(+I23/$D23*1000,0)</f>
        <v>234</v>
      </c>
      <c r="K23" s="798"/>
      <c r="L23" s="803">
        <v>4883</v>
      </c>
      <c r="M23" s="800">
        <f>+'4.상수사용량현황'!M24</f>
        <v>88</v>
      </c>
      <c r="N23" s="17"/>
      <c r="O23" s="1613"/>
    </row>
    <row r="24" spans="1:18" ht="26.45" customHeight="1">
      <c r="A24" s="1599" t="s">
        <v>953</v>
      </c>
      <c r="B24" s="1064" t="str">
        <f t="shared" si="5"/>
        <v>2005년</v>
      </c>
      <c r="C24" s="421">
        <v>19701</v>
      </c>
      <c r="D24" s="421">
        <v>14433</v>
      </c>
      <c r="E24" s="1065">
        <v>73.3</v>
      </c>
      <c r="F24" s="421">
        <v>0</v>
      </c>
      <c r="G24" s="1066">
        <f t="shared" ref="G24:G32" si="13">+L24-M24</f>
        <v>4510</v>
      </c>
      <c r="H24" s="1067">
        <f t="shared" ref="H24:H32" si="14">ROUND(+G24/D24*1000,0)</f>
        <v>312</v>
      </c>
      <c r="I24" s="1068">
        <f>+'4.1사용실적산정'!D24</f>
        <v>2345</v>
      </c>
      <c r="J24" s="1069">
        <f t="shared" ref="J24:J32" si="15">ROUND(+I24/$D24*1000,0)</f>
        <v>162</v>
      </c>
      <c r="K24" s="798"/>
      <c r="L24" s="802">
        <v>4902</v>
      </c>
      <c r="M24" s="800">
        <f>+'4.상수사용량현황'!M25</f>
        <v>392</v>
      </c>
      <c r="N24" s="17"/>
      <c r="O24" s="1611"/>
    </row>
    <row r="25" spans="1:18" ht="26.45" customHeight="1">
      <c r="A25" s="1599"/>
      <c r="B25" s="1064" t="str">
        <f t="shared" si="5"/>
        <v>2006년</v>
      </c>
      <c r="C25" s="421">
        <v>19788</v>
      </c>
      <c r="D25" s="421">
        <v>14506</v>
      </c>
      <c r="E25" s="1065">
        <v>73.3</v>
      </c>
      <c r="F25" s="422">
        <v>0</v>
      </c>
      <c r="G25" s="1066">
        <f t="shared" si="13"/>
        <v>4600</v>
      </c>
      <c r="H25" s="1067">
        <f t="shared" si="14"/>
        <v>317</v>
      </c>
      <c r="I25" s="1068">
        <f>+'4.1사용실적산정'!D25</f>
        <v>2422</v>
      </c>
      <c r="J25" s="1069">
        <f t="shared" si="15"/>
        <v>167</v>
      </c>
      <c r="K25" s="798"/>
      <c r="L25" s="802">
        <v>5168</v>
      </c>
      <c r="M25" s="800">
        <f>+'4.상수사용량현황'!M26</f>
        <v>568</v>
      </c>
      <c r="N25" s="17"/>
      <c r="O25" s="1612"/>
    </row>
    <row r="26" spans="1:18" ht="26.45" customHeight="1">
      <c r="A26" s="1599"/>
      <c r="B26" s="1064" t="str">
        <f t="shared" si="5"/>
        <v>2007년</v>
      </c>
      <c r="C26" s="421">
        <v>20615</v>
      </c>
      <c r="D26" s="421">
        <v>15703</v>
      </c>
      <c r="E26" s="1065">
        <v>76.2</v>
      </c>
      <c r="F26" s="422">
        <v>0</v>
      </c>
      <c r="G26" s="1066">
        <f t="shared" si="13"/>
        <v>5936</v>
      </c>
      <c r="H26" s="1067">
        <f t="shared" si="14"/>
        <v>378</v>
      </c>
      <c r="I26" s="1068">
        <f>+'4.1사용실적산정'!D26</f>
        <v>3433</v>
      </c>
      <c r="J26" s="1069">
        <f t="shared" si="15"/>
        <v>219</v>
      </c>
      <c r="K26" s="798"/>
      <c r="L26" s="802">
        <v>5936</v>
      </c>
      <c r="M26" s="800">
        <f>+'4.상수사용량현황'!M27</f>
        <v>0</v>
      </c>
      <c r="N26" s="17"/>
      <c r="O26" s="1612"/>
    </row>
    <row r="27" spans="1:18" ht="26.45" customHeight="1">
      <c r="A27" s="1599"/>
      <c r="B27" s="1064" t="str">
        <f t="shared" si="5"/>
        <v>2008년</v>
      </c>
      <c r="C27" s="421">
        <v>22162</v>
      </c>
      <c r="D27" s="421">
        <v>16743</v>
      </c>
      <c r="E27" s="1065">
        <v>75.5</v>
      </c>
      <c r="F27" s="422">
        <v>0</v>
      </c>
      <c r="G27" s="1066">
        <f t="shared" si="13"/>
        <v>5634</v>
      </c>
      <c r="H27" s="1067">
        <f t="shared" si="14"/>
        <v>336</v>
      </c>
      <c r="I27" s="1068">
        <f>+'4.1사용실적산정'!D27</f>
        <v>3258</v>
      </c>
      <c r="J27" s="1069">
        <f t="shared" si="15"/>
        <v>195</v>
      </c>
      <c r="K27" s="798"/>
      <c r="L27" s="802">
        <v>6329</v>
      </c>
      <c r="M27" s="800">
        <f>+'4.상수사용량현황'!M28</f>
        <v>695</v>
      </c>
      <c r="N27" s="17"/>
      <c r="O27" s="1612"/>
    </row>
    <row r="28" spans="1:18" ht="26.45" customHeight="1">
      <c r="A28" s="1599"/>
      <c r="B28" s="1064" t="str">
        <f t="shared" si="5"/>
        <v>2009년</v>
      </c>
      <c r="C28" s="421">
        <v>22357</v>
      </c>
      <c r="D28" s="421">
        <v>15985</v>
      </c>
      <c r="E28" s="1065">
        <v>71.5</v>
      </c>
      <c r="F28" s="422">
        <v>0</v>
      </c>
      <c r="G28" s="1066">
        <f t="shared" si="13"/>
        <v>5662</v>
      </c>
      <c r="H28" s="1067">
        <f t="shared" si="14"/>
        <v>354</v>
      </c>
      <c r="I28" s="1068">
        <f>+'4.1사용실적산정'!D28</f>
        <v>3761</v>
      </c>
      <c r="J28" s="1069">
        <f t="shared" si="15"/>
        <v>235</v>
      </c>
      <c r="K28" s="798"/>
      <c r="L28" s="802">
        <v>6328</v>
      </c>
      <c r="M28" s="800">
        <f>+'4.상수사용량현황'!M29</f>
        <v>666</v>
      </c>
      <c r="N28" s="17"/>
      <c r="O28" s="1612"/>
      <c r="Q28" s="6"/>
    </row>
    <row r="29" spans="1:18" ht="26.45" customHeight="1">
      <c r="A29" s="1599"/>
      <c r="B29" s="1064" t="str">
        <f t="shared" si="5"/>
        <v>2010년</v>
      </c>
      <c r="C29" s="421">
        <v>22538</v>
      </c>
      <c r="D29" s="421">
        <v>15985</v>
      </c>
      <c r="E29" s="1065">
        <v>70.900000000000006</v>
      </c>
      <c r="F29" s="422">
        <v>0</v>
      </c>
      <c r="G29" s="1066">
        <f t="shared" si="13"/>
        <v>5229</v>
      </c>
      <c r="H29" s="1067">
        <f t="shared" si="14"/>
        <v>327</v>
      </c>
      <c r="I29" s="1068">
        <f>+'4.1사용실적산정'!D29</f>
        <v>3723</v>
      </c>
      <c r="J29" s="1069">
        <f t="shared" si="15"/>
        <v>233</v>
      </c>
      <c r="K29" s="798"/>
      <c r="L29" s="802">
        <v>5945</v>
      </c>
      <c r="M29" s="800">
        <f>+'4.상수사용량현황'!M30</f>
        <v>716</v>
      </c>
      <c r="N29" s="17"/>
      <c r="O29" s="1612"/>
      <c r="Q29" s="6"/>
    </row>
    <row r="30" spans="1:18" ht="26.45" customHeight="1">
      <c r="A30" s="1599"/>
      <c r="B30" s="1064" t="str">
        <f t="shared" si="5"/>
        <v>2011년</v>
      </c>
      <c r="C30" s="421">
        <v>22572</v>
      </c>
      <c r="D30" s="421">
        <v>16978</v>
      </c>
      <c r="E30" s="1065">
        <v>75.2</v>
      </c>
      <c r="F30" s="422">
        <v>0</v>
      </c>
      <c r="G30" s="1066">
        <f t="shared" si="13"/>
        <v>3912</v>
      </c>
      <c r="H30" s="1067">
        <f t="shared" si="14"/>
        <v>230</v>
      </c>
      <c r="I30" s="1068">
        <f>+'4.1사용실적산정'!D30</f>
        <v>3913</v>
      </c>
      <c r="J30" s="1069">
        <f t="shared" si="15"/>
        <v>230</v>
      </c>
      <c r="K30" s="798"/>
      <c r="L30" s="802">
        <v>4924</v>
      </c>
      <c r="M30" s="800">
        <f>+'4.상수사용량현황'!M31</f>
        <v>1012</v>
      </c>
      <c r="N30" s="17"/>
      <c r="O30" s="1612"/>
    </row>
    <row r="31" spans="1:18" ht="26.45" customHeight="1">
      <c r="A31" s="1599"/>
      <c r="B31" s="1064" t="str">
        <f t="shared" si="5"/>
        <v>2012년</v>
      </c>
      <c r="C31" s="421">
        <v>22563</v>
      </c>
      <c r="D31" s="421">
        <v>18885</v>
      </c>
      <c r="E31" s="1065">
        <v>83.7</v>
      </c>
      <c r="F31" s="422">
        <v>0</v>
      </c>
      <c r="G31" s="1066">
        <f t="shared" si="13"/>
        <v>4051</v>
      </c>
      <c r="H31" s="1067">
        <f t="shared" si="14"/>
        <v>215</v>
      </c>
      <c r="I31" s="1068">
        <f>+'4.1사용실적산정'!D31</f>
        <v>4050</v>
      </c>
      <c r="J31" s="1069">
        <f t="shared" si="15"/>
        <v>214</v>
      </c>
      <c r="K31" s="798"/>
      <c r="L31" s="802">
        <v>5480</v>
      </c>
      <c r="M31" s="800">
        <f>+'4.상수사용량현황'!M32</f>
        <v>1429</v>
      </c>
      <c r="N31" s="17"/>
      <c r="O31" s="1612"/>
    </row>
    <row r="32" spans="1:18" ht="26.45" customHeight="1">
      <c r="A32" s="1599"/>
      <c r="B32" s="1064" t="str">
        <f t="shared" si="5"/>
        <v>2013년</v>
      </c>
      <c r="C32" s="1070">
        <v>23002</v>
      </c>
      <c r="D32" s="1070">
        <v>19253</v>
      </c>
      <c r="E32" s="1071">
        <v>83.7</v>
      </c>
      <c r="F32" s="1070">
        <v>0</v>
      </c>
      <c r="G32" s="1066">
        <f t="shared" si="13"/>
        <v>4346</v>
      </c>
      <c r="H32" s="1067">
        <f t="shared" si="14"/>
        <v>226</v>
      </c>
      <c r="I32" s="1068">
        <f>+'4.1사용실적산정'!D32</f>
        <v>4347</v>
      </c>
      <c r="J32" s="1069">
        <f t="shared" si="15"/>
        <v>226</v>
      </c>
      <c r="K32" s="798"/>
      <c r="L32" s="803">
        <v>5785</v>
      </c>
      <c r="M32" s="800">
        <f>+'4.상수사용량현황'!M33</f>
        <v>1439</v>
      </c>
      <c r="N32" s="17"/>
      <c r="O32" s="1612"/>
    </row>
    <row r="33" spans="1:15" ht="26.45" customHeight="1">
      <c r="A33" s="1600"/>
      <c r="B33" s="1073" t="str">
        <f t="shared" si="5"/>
        <v>2014년</v>
      </c>
      <c r="C33" s="1081">
        <v>23362</v>
      </c>
      <c r="D33" s="1081">
        <v>20253</v>
      </c>
      <c r="E33" s="1082">
        <v>86.7</v>
      </c>
      <c r="F33" s="1081">
        <v>0</v>
      </c>
      <c r="G33" s="1077">
        <f t="shared" ref="G33" si="16">+L33-M33</f>
        <v>5609</v>
      </c>
      <c r="H33" s="1078">
        <f t="shared" ref="H33" si="17">ROUND(+G33/D33*1000,0)</f>
        <v>277</v>
      </c>
      <c r="I33" s="1079">
        <f>+'4.1사용실적산정'!D33</f>
        <v>4511</v>
      </c>
      <c r="J33" s="1080">
        <f t="shared" ref="J33" si="18">ROUND(+I33/$D33*1000,0)</f>
        <v>223</v>
      </c>
      <c r="K33" s="798"/>
      <c r="L33" s="803">
        <v>6985</v>
      </c>
      <c r="M33" s="800">
        <f>+'4.상수사용량현황'!M34</f>
        <v>1376</v>
      </c>
      <c r="N33" s="17"/>
      <c r="O33" s="1613"/>
    </row>
    <row r="34" spans="1:15" ht="27.6" customHeight="1">
      <c r="A34" s="1605" t="s">
        <v>954</v>
      </c>
      <c r="B34" s="743" t="str">
        <f t="shared" si="5"/>
        <v>2005년</v>
      </c>
      <c r="C34" s="744">
        <v>0</v>
      </c>
      <c r="D34" s="744">
        <v>0</v>
      </c>
      <c r="E34" s="744">
        <v>0</v>
      </c>
      <c r="F34" s="744">
        <v>0</v>
      </c>
      <c r="G34" s="746">
        <f t="shared" ref="G34:G42" si="19">+L34-M34</f>
        <v>0</v>
      </c>
      <c r="H34" s="747">
        <v>0</v>
      </c>
      <c r="I34" s="748">
        <f>+'4.1사용실적산정'!D34</f>
        <v>0</v>
      </c>
      <c r="J34" s="749">
        <v>0</v>
      </c>
      <c r="K34" s="798"/>
      <c r="L34" s="802">
        <v>0</v>
      </c>
      <c r="M34" s="800">
        <f>+'4.상수사용량현황'!M35</f>
        <v>0</v>
      </c>
      <c r="N34" s="17"/>
      <c r="O34" s="1611"/>
    </row>
    <row r="35" spans="1:15" ht="27.6" customHeight="1">
      <c r="A35" s="1599"/>
      <c r="B35" s="1064" t="str">
        <f t="shared" si="5"/>
        <v>2006년</v>
      </c>
      <c r="C35" s="421">
        <v>0</v>
      </c>
      <c r="D35" s="421">
        <v>0</v>
      </c>
      <c r="E35" s="421">
        <v>0</v>
      </c>
      <c r="F35" s="421">
        <v>0</v>
      </c>
      <c r="G35" s="1066">
        <f t="shared" si="19"/>
        <v>0</v>
      </c>
      <c r="H35" s="1067">
        <v>0</v>
      </c>
      <c r="I35" s="1068">
        <f>+'4.1사용실적산정'!D35</f>
        <v>0</v>
      </c>
      <c r="J35" s="1069">
        <v>0</v>
      </c>
      <c r="K35" s="798"/>
      <c r="L35" s="802">
        <v>0</v>
      </c>
      <c r="M35" s="800">
        <f>+'4.상수사용량현황'!M36</f>
        <v>0</v>
      </c>
      <c r="N35" s="17"/>
      <c r="O35" s="1612"/>
    </row>
    <row r="36" spans="1:15" ht="27.6" customHeight="1">
      <c r="A36" s="1599"/>
      <c r="B36" s="1064" t="str">
        <f t="shared" si="5"/>
        <v>2007년</v>
      </c>
      <c r="C36" s="421">
        <v>3500</v>
      </c>
      <c r="D36" s="421">
        <v>943</v>
      </c>
      <c r="E36" s="1083">
        <v>26.9</v>
      </c>
      <c r="F36" s="421">
        <v>700</v>
      </c>
      <c r="G36" s="1066">
        <f t="shared" si="19"/>
        <v>262</v>
      </c>
      <c r="H36" s="1067">
        <f t="shared" ref="H36:H42" si="20">ROUND(+G36/D36*1000,0)</f>
        <v>278</v>
      </c>
      <c r="I36" s="1068">
        <f>+'4.1사용실적산정'!D36</f>
        <v>120</v>
      </c>
      <c r="J36" s="1069">
        <f t="shared" ref="J36:J42" si="21">ROUND(+I36/$D36*1000,0)</f>
        <v>127</v>
      </c>
      <c r="K36" s="798"/>
      <c r="L36" s="802">
        <v>262</v>
      </c>
      <c r="M36" s="800">
        <f>+'4.상수사용량현황'!M37</f>
        <v>0</v>
      </c>
      <c r="N36" s="17"/>
      <c r="O36" s="1612"/>
    </row>
    <row r="37" spans="1:15" ht="27.6" customHeight="1">
      <c r="A37" s="1599"/>
      <c r="B37" s="1064" t="str">
        <f t="shared" si="5"/>
        <v>2008년</v>
      </c>
      <c r="C37" s="421">
        <v>3493</v>
      </c>
      <c r="D37" s="421">
        <v>1425</v>
      </c>
      <c r="E37" s="1065">
        <v>40.799999999999997</v>
      </c>
      <c r="F37" s="421">
        <v>0</v>
      </c>
      <c r="G37" s="1066">
        <f t="shared" si="19"/>
        <v>395</v>
      </c>
      <c r="H37" s="1067">
        <f t="shared" si="20"/>
        <v>277</v>
      </c>
      <c r="I37" s="1068">
        <f>+'4.1사용실적산정'!D37</f>
        <v>148</v>
      </c>
      <c r="J37" s="1069">
        <f t="shared" si="21"/>
        <v>104</v>
      </c>
      <c r="K37" s="798"/>
      <c r="L37" s="802">
        <v>395</v>
      </c>
      <c r="M37" s="800">
        <f>+'4.상수사용량현황'!M38</f>
        <v>0</v>
      </c>
      <c r="N37" s="17"/>
      <c r="O37" s="1612"/>
    </row>
    <row r="38" spans="1:15" ht="27.6" customHeight="1">
      <c r="A38" s="1599"/>
      <c r="B38" s="1064" t="str">
        <f t="shared" si="5"/>
        <v>2009년</v>
      </c>
      <c r="C38" s="421">
        <v>3452</v>
      </c>
      <c r="D38" s="421">
        <v>2841</v>
      </c>
      <c r="E38" s="1065">
        <v>82.3</v>
      </c>
      <c r="F38" s="421">
        <v>0</v>
      </c>
      <c r="G38" s="1066">
        <f t="shared" si="19"/>
        <v>557</v>
      </c>
      <c r="H38" s="1067">
        <f t="shared" si="20"/>
        <v>196</v>
      </c>
      <c r="I38" s="1068">
        <f>+'4.1사용실적산정'!D38</f>
        <v>220</v>
      </c>
      <c r="J38" s="1069">
        <f t="shared" si="21"/>
        <v>77</v>
      </c>
      <c r="K38" s="798"/>
      <c r="L38" s="802">
        <v>684</v>
      </c>
      <c r="M38" s="800">
        <f>+'4.상수사용량현황'!M39</f>
        <v>127</v>
      </c>
      <c r="N38" s="17"/>
      <c r="O38" s="1612"/>
    </row>
    <row r="39" spans="1:15" ht="27.6" customHeight="1">
      <c r="A39" s="1599"/>
      <c r="B39" s="1064" t="str">
        <f t="shared" si="5"/>
        <v>2010년</v>
      </c>
      <c r="C39" s="421">
        <v>3452</v>
      </c>
      <c r="D39" s="421">
        <v>2841</v>
      </c>
      <c r="E39" s="1065">
        <v>82.3</v>
      </c>
      <c r="F39" s="421">
        <v>0</v>
      </c>
      <c r="G39" s="1066">
        <f t="shared" si="19"/>
        <v>453</v>
      </c>
      <c r="H39" s="1067">
        <f t="shared" si="20"/>
        <v>159</v>
      </c>
      <c r="I39" s="1068">
        <f>+'4.1사용실적산정'!D39</f>
        <v>375</v>
      </c>
      <c r="J39" s="1069">
        <f t="shared" si="21"/>
        <v>132</v>
      </c>
      <c r="K39" s="798"/>
      <c r="L39" s="802">
        <v>1587</v>
      </c>
      <c r="M39" s="800">
        <f>+'4.상수사용량현황'!M40</f>
        <v>1134</v>
      </c>
      <c r="N39" s="17"/>
      <c r="O39" s="1612"/>
    </row>
    <row r="40" spans="1:15" ht="27.6" customHeight="1">
      <c r="A40" s="1599"/>
      <c r="B40" s="1064" t="str">
        <f t="shared" si="5"/>
        <v>2011년</v>
      </c>
      <c r="C40" s="421">
        <v>3386</v>
      </c>
      <c r="D40" s="421">
        <v>2581</v>
      </c>
      <c r="E40" s="1065">
        <v>76.2</v>
      </c>
      <c r="F40" s="421">
        <v>0</v>
      </c>
      <c r="G40" s="1066">
        <f t="shared" si="19"/>
        <v>404</v>
      </c>
      <c r="H40" s="1067">
        <f t="shared" si="20"/>
        <v>157</v>
      </c>
      <c r="I40" s="1068">
        <f>+'4.1사용실적산정'!D40</f>
        <v>404</v>
      </c>
      <c r="J40" s="1069">
        <f t="shared" si="21"/>
        <v>157</v>
      </c>
      <c r="K40" s="798"/>
      <c r="L40" s="802">
        <v>1357</v>
      </c>
      <c r="M40" s="800">
        <f>+'4.상수사용량현황'!M41</f>
        <v>953</v>
      </c>
      <c r="N40" s="17"/>
      <c r="O40" s="1612"/>
    </row>
    <row r="41" spans="1:15" ht="27.6" customHeight="1">
      <c r="A41" s="1599"/>
      <c r="B41" s="1064" t="str">
        <f t="shared" si="5"/>
        <v>2012년</v>
      </c>
      <c r="C41" s="421">
        <v>3321</v>
      </c>
      <c r="D41" s="421">
        <v>2016</v>
      </c>
      <c r="E41" s="1065">
        <v>60.7</v>
      </c>
      <c r="F41" s="421">
        <v>0</v>
      </c>
      <c r="G41" s="1066">
        <f t="shared" si="19"/>
        <v>399</v>
      </c>
      <c r="H41" s="1067">
        <f t="shared" si="20"/>
        <v>198</v>
      </c>
      <c r="I41" s="1068">
        <f>+'4.1사용실적산정'!D41</f>
        <v>400</v>
      </c>
      <c r="J41" s="1069">
        <f t="shared" si="21"/>
        <v>198</v>
      </c>
      <c r="K41" s="798"/>
      <c r="L41" s="802">
        <v>1415</v>
      </c>
      <c r="M41" s="800">
        <f>+'4.상수사용량현황'!M42</f>
        <v>1016</v>
      </c>
      <c r="N41" s="17"/>
      <c r="O41" s="1612"/>
    </row>
    <row r="42" spans="1:15" ht="27.6" customHeight="1">
      <c r="A42" s="1599"/>
      <c r="B42" s="1064" t="str">
        <f t="shared" si="5"/>
        <v>2013년</v>
      </c>
      <c r="C42" s="1070">
        <v>3291</v>
      </c>
      <c r="D42" s="1070">
        <v>1998</v>
      </c>
      <c r="E42" s="1071">
        <v>60.7</v>
      </c>
      <c r="F42" s="1070">
        <v>0</v>
      </c>
      <c r="G42" s="1066">
        <f t="shared" si="19"/>
        <v>409</v>
      </c>
      <c r="H42" s="1067">
        <f t="shared" si="20"/>
        <v>205</v>
      </c>
      <c r="I42" s="1068">
        <f>+'4.1사용실적산정'!D42</f>
        <v>409</v>
      </c>
      <c r="J42" s="1069">
        <f t="shared" si="21"/>
        <v>205</v>
      </c>
      <c r="K42" s="798"/>
      <c r="L42" s="803">
        <v>1457</v>
      </c>
      <c r="M42" s="800">
        <f>+'4.상수사용량현황'!M43</f>
        <v>1048</v>
      </c>
      <c r="N42" s="17"/>
      <c r="O42" s="1612"/>
    </row>
    <row r="43" spans="1:15" ht="27.6" customHeight="1">
      <c r="A43" s="1599"/>
      <c r="B43" s="1064" t="str">
        <f t="shared" si="5"/>
        <v>2014년</v>
      </c>
      <c r="C43" s="1070">
        <v>3233</v>
      </c>
      <c r="D43" s="1070">
        <v>2398</v>
      </c>
      <c r="E43" s="1072">
        <v>74.2</v>
      </c>
      <c r="F43" s="1070">
        <v>0</v>
      </c>
      <c r="G43" s="1066">
        <f t="shared" ref="G43" si="22">+L43-M43</f>
        <v>1715</v>
      </c>
      <c r="H43" s="1067">
        <f t="shared" ref="H43" si="23">ROUND(+G43/D43*1000,0)</f>
        <v>715</v>
      </c>
      <c r="I43" s="1068">
        <f>+'4.1사용실적산정'!D43</f>
        <v>430</v>
      </c>
      <c r="J43" s="1069">
        <f t="shared" ref="J43" si="24">ROUND(+I43/$D43*1000,0)</f>
        <v>179</v>
      </c>
      <c r="K43" s="798"/>
      <c r="L43" s="803">
        <v>2657</v>
      </c>
      <c r="M43" s="800">
        <f>+'4.상수사용량현황'!M44</f>
        <v>942</v>
      </c>
      <c r="N43" s="17"/>
      <c r="O43" s="1613"/>
    </row>
    <row r="44" spans="1:15" ht="27.6" customHeight="1">
      <c r="A44" s="1599" t="s">
        <v>947</v>
      </c>
      <c r="B44" s="1064" t="str">
        <f t="shared" si="5"/>
        <v>2005년</v>
      </c>
      <c r="C44" s="421"/>
      <c r="D44" s="421"/>
      <c r="E44" s="1065"/>
      <c r="F44" s="421">
        <v>0</v>
      </c>
      <c r="G44" s="1066">
        <f t="shared" ref="G44:G52" si="25">+L44-M44</f>
        <v>0</v>
      </c>
      <c r="H44" s="1067">
        <v>0</v>
      </c>
      <c r="I44" s="1068">
        <f>+'4.1사용실적산정'!D44</f>
        <v>0</v>
      </c>
      <c r="J44" s="1069">
        <v>0</v>
      </c>
      <c r="K44" s="798"/>
      <c r="L44" s="802"/>
      <c r="M44" s="800">
        <f>+'4.상수사용량현황'!M45</f>
        <v>0</v>
      </c>
      <c r="N44" s="17"/>
      <c r="O44" s="1611"/>
    </row>
    <row r="45" spans="1:15" ht="27.6" customHeight="1">
      <c r="A45" s="1599"/>
      <c r="B45" s="1064" t="str">
        <f t="shared" si="5"/>
        <v>2006년</v>
      </c>
      <c r="C45" s="421"/>
      <c r="D45" s="421"/>
      <c r="E45" s="1065"/>
      <c r="F45" s="421">
        <v>0</v>
      </c>
      <c r="G45" s="1066">
        <f t="shared" si="25"/>
        <v>0</v>
      </c>
      <c r="H45" s="1067">
        <v>0</v>
      </c>
      <c r="I45" s="1068">
        <f>+'4.1사용실적산정'!D45</f>
        <v>0</v>
      </c>
      <c r="J45" s="1069">
        <v>0</v>
      </c>
      <c r="K45" s="798"/>
      <c r="L45" s="802"/>
      <c r="M45" s="800">
        <f>+'4.상수사용량현황'!M46</f>
        <v>0</v>
      </c>
      <c r="N45" s="17"/>
      <c r="O45" s="1612"/>
    </row>
    <row r="46" spans="1:15" ht="27.6" customHeight="1">
      <c r="A46" s="1599"/>
      <c r="B46" s="1064" t="str">
        <f t="shared" ref="B46:B77" si="26">+B36</f>
        <v>2007년</v>
      </c>
      <c r="C46" s="421">
        <v>3377</v>
      </c>
      <c r="D46" s="421">
        <v>689</v>
      </c>
      <c r="E46" s="1065">
        <v>20.399999999999999</v>
      </c>
      <c r="F46" s="421">
        <v>900</v>
      </c>
      <c r="G46" s="1066">
        <f t="shared" si="25"/>
        <v>211</v>
      </c>
      <c r="H46" s="1067">
        <f t="shared" ref="H46:H52" si="27">ROUND(+G46/D46*1000,0)</f>
        <v>306</v>
      </c>
      <c r="I46" s="1068">
        <f>+'4.1사용실적산정'!D46</f>
        <v>272</v>
      </c>
      <c r="J46" s="1069">
        <f t="shared" ref="J46:J52" si="28">ROUND(+I46/$D46*1000,0)</f>
        <v>395</v>
      </c>
      <c r="K46" s="798"/>
      <c r="L46" s="802">
        <v>211</v>
      </c>
      <c r="M46" s="800">
        <f>+'4.상수사용량현황'!M47</f>
        <v>0</v>
      </c>
      <c r="N46" s="17"/>
      <c r="O46" s="1612"/>
    </row>
    <row r="47" spans="1:15" ht="27.6" customHeight="1">
      <c r="A47" s="1599"/>
      <c r="B47" s="1064" t="str">
        <f t="shared" si="26"/>
        <v>2008년</v>
      </c>
      <c r="C47" s="421">
        <v>3359</v>
      </c>
      <c r="D47" s="421">
        <v>1488</v>
      </c>
      <c r="E47" s="1065">
        <v>44.3</v>
      </c>
      <c r="F47" s="421">
        <v>0</v>
      </c>
      <c r="G47" s="1066">
        <f t="shared" si="25"/>
        <v>456</v>
      </c>
      <c r="H47" s="1067">
        <f t="shared" si="27"/>
        <v>306</v>
      </c>
      <c r="I47" s="1068">
        <f>+'4.1사용실적산정'!D47</f>
        <v>227</v>
      </c>
      <c r="J47" s="1069">
        <f t="shared" si="28"/>
        <v>153</v>
      </c>
      <c r="K47" s="798"/>
      <c r="L47" s="802">
        <v>456</v>
      </c>
      <c r="M47" s="800">
        <f>+'4.상수사용량현황'!M48</f>
        <v>0</v>
      </c>
      <c r="N47" s="17"/>
      <c r="O47" s="1612"/>
    </row>
    <row r="48" spans="1:15" ht="27.6" customHeight="1">
      <c r="A48" s="1599"/>
      <c r="B48" s="1064" t="str">
        <f t="shared" si="26"/>
        <v>2009년</v>
      </c>
      <c r="C48" s="421">
        <v>3318</v>
      </c>
      <c r="D48" s="421">
        <v>2145</v>
      </c>
      <c r="E48" s="1065">
        <v>64.599999999999994</v>
      </c>
      <c r="F48" s="421">
        <v>0</v>
      </c>
      <c r="G48" s="1066">
        <f t="shared" si="25"/>
        <v>615</v>
      </c>
      <c r="H48" s="1067">
        <f t="shared" si="27"/>
        <v>287</v>
      </c>
      <c r="I48" s="1068">
        <f>+'4.1사용실적산정'!D48</f>
        <v>251</v>
      </c>
      <c r="J48" s="1069">
        <f t="shared" si="28"/>
        <v>117</v>
      </c>
      <c r="K48" s="798"/>
      <c r="L48" s="802">
        <v>615</v>
      </c>
      <c r="M48" s="800">
        <f>+'4.상수사용량현황'!M49</f>
        <v>0</v>
      </c>
      <c r="N48" s="17"/>
      <c r="O48" s="1612"/>
    </row>
    <row r="49" spans="1:15" ht="27.6" customHeight="1">
      <c r="A49" s="1599"/>
      <c r="B49" s="1064" t="str">
        <f t="shared" si="26"/>
        <v>2010년</v>
      </c>
      <c r="C49" s="421">
        <v>3364</v>
      </c>
      <c r="D49" s="421">
        <v>2145</v>
      </c>
      <c r="E49" s="1065">
        <v>63.8</v>
      </c>
      <c r="F49" s="421">
        <v>0</v>
      </c>
      <c r="G49" s="1066">
        <f t="shared" si="25"/>
        <v>426</v>
      </c>
      <c r="H49" s="1067">
        <f t="shared" si="27"/>
        <v>199</v>
      </c>
      <c r="I49" s="1068">
        <f>+'4.1사용실적산정'!D49</f>
        <v>340</v>
      </c>
      <c r="J49" s="1069">
        <f t="shared" si="28"/>
        <v>159</v>
      </c>
      <c r="K49" s="798"/>
      <c r="L49" s="802">
        <v>426</v>
      </c>
      <c r="M49" s="800">
        <f>+'4.상수사용량현황'!M50</f>
        <v>0</v>
      </c>
      <c r="N49" s="17"/>
      <c r="O49" s="1612"/>
    </row>
    <row r="50" spans="1:15" ht="27.6" customHeight="1">
      <c r="A50" s="1599"/>
      <c r="B50" s="1064" t="str">
        <f t="shared" si="26"/>
        <v>2011년</v>
      </c>
      <c r="C50" s="421">
        <v>3307</v>
      </c>
      <c r="D50" s="421">
        <v>1897</v>
      </c>
      <c r="E50" s="1065">
        <v>57.4</v>
      </c>
      <c r="F50" s="421">
        <v>0</v>
      </c>
      <c r="G50" s="1066">
        <f t="shared" si="25"/>
        <v>389</v>
      </c>
      <c r="H50" s="1067">
        <f t="shared" si="27"/>
        <v>205</v>
      </c>
      <c r="I50" s="1068">
        <f>+'4.1사용실적산정'!D50</f>
        <v>389</v>
      </c>
      <c r="J50" s="1069">
        <f t="shared" si="28"/>
        <v>205</v>
      </c>
      <c r="K50" s="798"/>
      <c r="L50" s="802">
        <v>393</v>
      </c>
      <c r="M50" s="800">
        <f>+'4.상수사용량현황'!M51</f>
        <v>4</v>
      </c>
      <c r="N50" s="17"/>
      <c r="O50" s="1612"/>
    </row>
    <row r="51" spans="1:15" ht="27.6" customHeight="1">
      <c r="A51" s="1599"/>
      <c r="B51" s="1064" t="str">
        <f t="shared" si="26"/>
        <v>2012년</v>
      </c>
      <c r="C51" s="421">
        <v>3313</v>
      </c>
      <c r="D51" s="421">
        <v>2551</v>
      </c>
      <c r="E51" s="1065">
        <v>76.900000000000006</v>
      </c>
      <c r="F51" s="421">
        <v>0</v>
      </c>
      <c r="G51" s="1066">
        <f t="shared" si="25"/>
        <v>405</v>
      </c>
      <c r="H51" s="1067">
        <f t="shared" si="27"/>
        <v>159</v>
      </c>
      <c r="I51" s="1068">
        <f>+'4.1사용실적산정'!D51</f>
        <v>404</v>
      </c>
      <c r="J51" s="1069">
        <f t="shared" si="28"/>
        <v>158</v>
      </c>
      <c r="K51" s="798"/>
      <c r="L51" s="802">
        <v>439</v>
      </c>
      <c r="M51" s="800">
        <f>+'4.상수사용량현황'!M52</f>
        <v>34</v>
      </c>
      <c r="N51" s="17"/>
      <c r="O51" s="1612"/>
    </row>
    <row r="52" spans="1:15" ht="27.6" customHeight="1">
      <c r="A52" s="1599"/>
      <c r="B52" s="1064" t="str">
        <f t="shared" si="26"/>
        <v>2013년</v>
      </c>
      <c r="C52" s="1070">
        <v>3326</v>
      </c>
      <c r="D52" s="1070">
        <v>2558</v>
      </c>
      <c r="E52" s="1071">
        <v>76.900000000000006</v>
      </c>
      <c r="F52" s="1070">
        <v>0</v>
      </c>
      <c r="G52" s="1066">
        <f t="shared" si="25"/>
        <v>454</v>
      </c>
      <c r="H52" s="1067">
        <f t="shared" si="27"/>
        <v>177</v>
      </c>
      <c r="I52" s="1068">
        <f>+'4.1사용실적산정'!D52</f>
        <v>454</v>
      </c>
      <c r="J52" s="1069">
        <f t="shared" si="28"/>
        <v>177</v>
      </c>
      <c r="K52" s="798"/>
      <c r="L52" s="803">
        <v>597</v>
      </c>
      <c r="M52" s="800">
        <f>+'4.상수사용량현황'!M53</f>
        <v>143</v>
      </c>
      <c r="N52" s="17"/>
      <c r="O52" s="1612"/>
    </row>
    <row r="53" spans="1:15" ht="27.6" customHeight="1">
      <c r="A53" s="1599"/>
      <c r="B53" s="1064" t="str">
        <f t="shared" si="26"/>
        <v>2014년</v>
      </c>
      <c r="C53" s="1070">
        <v>3270</v>
      </c>
      <c r="D53" s="1070">
        <v>2658</v>
      </c>
      <c r="E53" s="1072">
        <v>81.3</v>
      </c>
      <c r="F53" s="1070">
        <v>0</v>
      </c>
      <c r="G53" s="1066">
        <f t="shared" ref="G53" si="29">+L53-M53</f>
        <v>446</v>
      </c>
      <c r="H53" s="1067">
        <f t="shared" ref="H53" si="30">ROUND(+G53/D53*1000,0)</f>
        <v>168</v>
      </c>
      <c r="I53" s="1068">
        <f>+'4.1사용실적산정'!D53</f>
        <v>460</v>
      </c>
      <c r="J53" s="1069">
        <f t="shared" ref="J53" si="31">ROUND(+I53/$D53*1000,0)</f>
        <v>173</v>
      </c>
      <c r="K53" s="798"/>
      <c r="L53" s="803">
        <v>925</v>
      </c>
      <c r="M53" s="800">
        <f>+'4.상수사용량현황'!M54</f>
        <v>479</v>
      </c>
      <c r="N53" s="17"/>
      <c r="O53" s="1613"/>
    </row>
    <row r="54" spans="1:15" ht="27.6" customHeight="1">
      <c r="A54" s="1599" t="s">
        <v>948</v>
      </c>
      <c r="B54" s="1064" t="str">
        <f t="shared" si="26"/>
        <v>2005년</v>
      </c>
      <c r="C54" s="421"/>
      <c r="D54" s="421"/>
      <c r="E54" s="421"/>
      <c r="F54" s="421">
        <v>0</v>
      </c>
      <c r="G54" s="1066">
        <f t="shared" ref="G54:G62" si="32">+L54-M54</f>
        <v>0</v>
      </c>
      <c r="H54" s="1067">
        <v>0</v>
      </c>
      <c r="I54" s="1068">
        <f>+'4.1사용실적산정'!D54</f>
        <v>0</v>
      </c>
      <c r="J54" s="1069">
        <v>0</v>
      </c>
      <c r="K54" s="798"/>
      <c r="L54" s="802">
        <v>0</v>
      </c>
      <c r="M54" s="800">
        <f>+'4.상수사용량현황'!M55</f>
        <v>0</v>
      </c>
      <c r="N54" s="17"/>
      <c r="O54" s="1611"/>
    </row>
    <row r="55" spans="1:15" ht="27.6" customHeight="1">
      <c r="A55" s="1599"/>
      <c r="B55" s="1064" t="str">
        <f t="shared" si="26"/>
        <v>2006년</v>
      </c>
      <c r="C55" s="421"/>
      <c r="D55" s="421"/>
      <c r="E55" s="1065"/>
      <c r="F55" s="421">
        <v>0</v>
      </c>
      <c r="G55" s="1066">
        <f t="shared" si="32"/>
        <v>0</v>
      </c>
      <c r="H55" s="1067">
        <v>0</v>
      </c>
      <c r="I55" s="1068">
        <f>+'4.1사용실적산정'!D55</f>
        <v>0</v>
      </c>
      <c r="J55" s="1069">
        <v>0</v>
      </c>
      <c r="K55" s="798"/>
      <c r="L55" s="802"/>
      <c r="M55" s="800">
        <f>+'4.상수사용량현황'!M56</f>
        <v>0</v>
      </c>
      <c r="N55" s="17"/>
      <c r="O55" s="1612"/>
    </row>
    <row r="56" spans="1:15" ht="27.6" customHeight="1">
      <c r="A56" s="1599"/>
      <c r="B56" s="1064" t="str">
        <f t="shared" si="26"/>
        <v>2007년</v>
      </c>
      <c r="C56" s="421">
        <v>5165</v>
      </c>
      <c r="D56" s="421">
        <v>736</v>
      </c>
      <c r="E56" s="1065">
        <v>14.2</v>
      </c>
      <c r="F56" s="421">
        <v>1100</v>
      </c>
      <c r="G56" s="1066">
        <f t="shared" si="32"/>
        <v>602</v>
      </c>
      <c r="H56" s="1067">
        <f t="shared" ref="H56:H62" si="33">ROUND(+G56/D56*1000,0)</f>
        <v>818</v>
      </c>
      <c r="I56" s="1068">
        <f>+'4.1사용실적산정'!D56</f>
        <v>391</v>
      </c>
      <c r="J56" s="1069">
        <f t="shared" ref="J56:J62" si="34">ROUND(+I56/$D56*1000,0)</f>
        <v>531</v>
      </c>
      <c r="K56" s="798"/>
      <c r="L56" s="802">
        <v>602</v>
      </c>
      <c r="M56" s="800">
        <f>+'4.상수사용량현황'!M57</f>
        <v>0</v>
      </c>
      <c r="N56" s="17"/>
      <c r="O56" s="1612"/>
    </row>
    <row r="57" spans="1:15" ht="27.6" customHeight="1">
      <c r="A57" s="1599"/>
      <c r="B57" s="1064" t="str">
        <f t="shared" si="26"/>
        <v>2008년</v>
      </c>
      <c r="C57" s="421">
        <v>5233</v>
      </c>
      <c r="D57" s="421">
        <v>922</v>
      </c>
      <c r="E57" s="1065">
        <v>17.600000000000001</v>
      </c>
      <c r="F57" s="421">
        <v>0</v>
      </c>
      <c r="G57" s="1066">
        <f t="shared" si="32"/>
        <v>107</v>
      </c>
      <c r="H57" s="1067">
        <f t="shared" si="33"/>
        <v>116</v>
      </c>
      <c r="I57" s="1068">
        <f>+'4.1사용실적산정'!D57</f>
        <v>154</v>
      </c>
      <c r="J57" s="1069">
        <f t="shared" si="34"/>
        <v>167</v>
      </c>
      <c r="K57" s="798"/>
      <c r="L57" s="802">
        <v>754</v>
      </c>
      <c r="M57" s="800">
        <f>+'4.상수사용량현황'!M58</f>
        <v>647</v>
      </c>
      <c r="N57" s="17"/>
      <c r="O57" s="1612"/>
    </row>
    <row r="58" spans="1:15" ht="27.6" customHeight="1">
      <c r="A58" s="1599"/>
      <c r="B58" s="1064" t="str">
        <f t="shared" si="26"/>
        <v>2009년</v>
      </c>
      <c r="C58" s="421">
        <v>5071</v>
      </c>
      <c r="D58" s="421">
        <v>1734</v>
      </c>
      <c r="E58" s="1065">
        <v>34.200000000000003</v>
      </c>
      <c r="F58" s="421">
        <v>0</v>
      </c>
      <c r="G58" s="1066">
        <f t="shared" si="32"/>
        <v>778</v>
      </c>
      <c r="H58" s="1067">
        <f t="shared" si="33"/>
        <v>449</v>
      </c>
      <c r="I58" s="1068">
        <f>+'4.1사용실적산정'!D58</f>
        <v>148</v>
      </c>
      <c r="J58" s="1069">
        <f t="shared" si="34"/>
        <v>85</v>
      </c>
      <c r="K58" s="798"/>
      <c r="L58" s="802">
        <v>1597</v>
      </c>
      <c r="M58" s="800">
        <f>+'4.상수사용량현황'!M59</f>
        <v>819</v>
      </c>
      <c r="N58" s="17"/>
      <c r="O58" s="1612"/>
    </row>
    <row r="59" spans="1:15" ht="27.6" customHeight="1">
      <c r="A59" s="1599"/>
      <c r="B59" s="1064" t="str">
        <f t="shared" si="26"/>
        <v>2010년</v>
      </c>
      <c r="C59" s="421">
        <v>5253</v>
      </c>
      <c r="D59" s="421">
        <v>1734</v>
      </c>
      <c r="E59" s="1065">
        <v>33</v>
      </c>
      <c r="F59" s="421">
        <v>0</v>
      </c>
      <c r="G59" s="1066">
        <f t="shared" si="32"/>
        <v>1035</v>
      </c>
      <c r="H59" s="1067">
        <f t="shared" si="33"/>
        <v>597</v>
      </c>
      <c r="I59" s="1068">
        <f>+'4.1사용실적산정'!D59</f>
        <v>227</v>
      </c>
      <c r="J59" s="1069">
        <f t="shared" si="34"/>
        <v>131</v>
      </c>
      <c r="K59" s="798"/>
      <c r="L59" s="802">
        <v>1967</v>
      </c>
      <c r="M59" s="800">
        <f>+'4.상수사용량현황'!M60</f>
        <v>932</v>
      </c>
      <c r="N59" s="17"/>
      <c r="O59" s="1612"/>
    </row>
    <row r="60" spans="1:15" ht="27.6" customHeight="1">
      <c r="A60" s="1599"/>
      <c r="B60" s="1064" t="str">
        <f t="shared" si="26"/>
        <v>2011년</v>
      </c>
      <c r="C60" s="421">
        <v>5574</v>
      </c>
      <c r="D60" s="421">
        <v>3271</v>
      </c>
      <c r="E60" s="1065">
        <v>58.9</v>
      </c>
      <c r="F60" s="421">
        <v>0</v>
      </c>
      <c r="G60" s="1066">
        <f t="shared" si="32"/>
        <v>355</v>
      </c>
      <c r="H60" s="1067">
        <f t="shared" si="33"/>
        <v>109</v>
      </c>
      <c r="I60" s="1068">
        <f>+'4.1사용실적산정'!D60</f>
        <v>355</v>
      </c>
      <c r="J60" s="1069">
        <f t="shared" si="34"/>
        <v>109</v>
      </c>
      <c r="K60" s="798"/>
      <c r="L60" s="802">
        <v>1473</v>
      </c>
      <c r="M60" s="800">
        <f>+'4.상수사용량현황'!M61</f>
        <v>1118</v>
      </c>
      <c r="N60" s="17"/>
      <c r="O60" s="1612"/>
    </row>
    <row r="61" spans="1:15" ht="27.6" customHeight="1">
      <c r="A61" s="1599"/>
      <c r="B61" s="1064" t="str">
        <f t="shared" si="26"/>
        <v>2012년</v>
      </c>
      <c r="C61" s="421">
        <v>5497</v>
      </c>
      <c r="D61" s="421">
        <v>4805</v>
      </c>
      <c r="E61" s="1065">
        <v>87.4</v>
      </c>
      <c r="F61" s="421">
        <v>0</v>
      </c>
      <c r="G61" s="1066">
        <f t="shared" si="32"/>
        <v>308</v>
      </c>
      <c r="H61" s="1067">
        <f t="shared" si="33"/>
        <v>64</v>
      </c>
      <c r="I61" s="1068">
        <f>+'4.1사용실적산정'!D61</f>
        <v>407</v>
      </c>
      <c r="J61" s="1069">
        <f t="shared" si="34"/>
        <v>85</v>
      </c>
      <c r="K61" s="798"/>
      <c r="L61" s="802">
        <v>1746</v>
      </c>
      <c r="M61" s="800">
        <f>+'4.상수사용량현황'!M62</f>
        <v>1438</v>
      </c>
      <c r="N61" s="17"/>
      <c r="O61" s="1612"/>
    </row>
    <row r="62" spans="1:15" ht="27.6" customHeight="1">
      <c r="A62" s="1599"/>
      <c r="B62" s="1064" t="str">
        <f t="shared" si="26"/>
        <v>2013년</v>
      </c>
      <c r="C62" s="1070">
        <v>5579</v>
      </c>
      <c r="D62" s="1070">
        <v>4815</v>
      </c>
      <c r="E62" s="1071">
        <v>86.3</v>
      </c>
      <c r="F62" s="1070">
        <v>0</v>
      </c>
      <c r="G62" s="1066">
        <f t="shared" si="32"/>
        <v>468</v>
      </c>
      <c r="H62" s="1067">
        <f t="shared" si="33"/>
        <v>97</v>
      </c>
      <c r="I62" s="1068">
        <f>+'4.1사용실적산정'!D62</f>
        <v>468</v>
      </c>
      <c r="J62" s="1069">
        <f t="shared" si="34"/>
        <v>97</v>
      </c>
      <c r="K62" s="798"/>
      <c r="L62" s="803">
        <v>2054</v>
      </c>
      <c r="M62" s="800">
        <f>+'4.상수사용량현황'!M63</f>
        <v>1586</v>
      </c>
      <c r="N62" s="17"/>
      <c r="O62" s="1612"/>
    </row>
    <row r="63" spans="1:15" ht="27.6" customHeight="1">
      <c r="A63" s="1600"/>
      <c r="B63" s="1073" t="str">
        <f t="shared" si="26"/>
        <v>2014년</v>
      </c>
      <c r="C63" s="1081">
        <v>8143</v>
      </c>
      <c r="D63" s="1081">
        <v>7215</v>
      </c>
      <c r="E63" s="1082">
        <v>57</v>
      </c>
      <c r="F63" s="1081">
        <v>0</v>
      </c>
      <c r="G63" s="1077">
        <f t="shared" ref="G63" si="35">+L63-M63</f>
        <v>3101</v>
      </c>
      <c r="H63" s="1078">
        <f t="shared" ref="H63" si="36">ROUND(+G63/D63*1000,0)</f>
        <v>430</v>
      </c>
      <c r="I63" s="1079">
        <f>+'4.1사용실적산정'!D63</f>
        <v>864</v>
      </c>
      <c r="J63" s="1080">
        <f t="shared" ref="J63" si="37">ROUND(+I63/$D63*1000,0)</f>
        <v>120</v>
      </c>
      <c r="K63" s="798"/>
      <c r="L63" s="803">
        <v>4654</v>
      </c>
      <c r="M63" s="800">
        <f>+'4.상수사용량현황'!M64</f>
        <v>1553</v>
      </c>
      <c r="N63" s="17"/>
      <c r="O63" s="1613"/>
    </row>
    <row r="64" spans="1:15" ht="24.95" customHeight="1">
      <c r="A64" s="1605" t="s">
        <v>949</v>
      </c>
      <c r="B64" s="743" t="str">
        <f t="shared" si="26"/>
        <v>2005년</v>
      </c>
      <c r="C64" s="744"/>
      <c r="D64" s="744"/>
      <c r="E64" s="745"/>
      <c r="F64" s="744">
        <v>0</v>
      </c>
      <c r="G64" s="746">
        <f t="shared" ref="G64:G72" si="38">+L64-M64</f>
        <v>0</v>
      </c>
      <c r="H64" s="747">
        <v>0</v>
      </c>
      <c r="I64" s="748">
        <f>+'4.1사용실적산정'!D64</f>
        <v>0</v>
      </c>
      <c r="J64" s="749">
        <v>0</v>
      </c>
      <c r="K64" s="798"/>
      <c r="L64" s="802"/>
      <c r="M64" s="800">
        <f>+'4.상수사용량현황'!M65</f>
        <v>0</v>
      </c>
      <c r="N64" s="17"/>
      <c r="O64" s="1611"/>
    </row>
    <row r="65" spans="1:15" ht="24.95" customHeight="1">
      <c r="A65" s="1599"/>
      <c r="B65" s="1064" t="str">
        <f t="shared" si="26"/>
        <v>2006년</v>
      </c>
      <c r="C65" s="421"/>
      <c r="D65" s="421"/>
      <c r="E65" s="1065"/>
      <c r="F65" s="421">
        <v>0</v>
      </c>
      <c r="G65" s="1066">
        <f t="shared" si="38"/>
        <v>0</v>
      </c>
      <c r="H65" s="1067">
        <v>0</v>
      </c>
      <c r="I65" s="1068">
        <f>+'4.1사용실적산정'!D65</f>
        <v>0</v>
      </c>
      <c r="J65" s="1069">
        <v>0</v>
      </c>
      <c r="K65" s="798"/>
      <c r="L65" s="802"/>
      <c r="M65" s="800">
        <f>+'4.상수사용량현황'!M66</f>
        <v>0</v>
      </c>
      <c r="N65" s="17"/>
      <c r="O65" s="1612"/>
    </row>
    <row r="66" spans="1:15" ht="24.95" customHeight="1">
      <c r="A66" s="1599"/>
      <c r="B66" s="1064" t="str">
        <f t="shared" si="26"/>
        <v>2007년</v>
      </c>
      <c r="C66" s="421">
        <v>16912</v>
      </c>
      <c r="D66" s="421">
        <v>11808</v>
      </c>
      <c r="E66" s="1065">
        <v>69.8</v>
      </c>
      <c r="F66" s="421">
        <v>1500</v>
      </c>
      <c r="G66" s="1066">
        <f t="shared" si="38"/>
        <v>7540</v>
      </c>
      <c r="H66" s="1067">
        <f t="shared" ref="H66:H72" si="39">ROUND(+G66/D66*1000,0)</f>
        <v>639</v>
      </c>
      <c r="I66" s="1068">
        <f>+'4.1사용실적산정'!D66</f>
        <v>6738</v>
      </c>
      <c r="J66" s="1069">
        <f t="shared" ref="J66:J72" si="40">ROUND(+I66/$D66*1000,0)</f>
        <v>571</v>
      </c>
      <c r="K66" s="798"/>
      <c r="L66" s="802">
        <v>7540</v>
      </c>
      <c r="M66" s="800">
        <f>+'4.상수사용량현황'!M67</f>
        <v>0</v>
      </c>
      <c r="N66" s="17"/>
      <c r="O66" s="1612"/>
    </row>
    <row r="67" spans="1:15" ht="24.95" customHeight="1">
      <c r="A67" s="1599"/>
      <c r="B67" s="1064" t="str">
        <f t="shared" si="26"/>
        <v>2008년</v>
      </c>
      <c r="C67" s="421">
        <v>17123</v>
      </c>
      <c r="D67" s="421">
        <v>12279</v>
      </c>
      <c r="E67" s="1065">
        <v>71.7</v>
      </c>
      <c r="F67" s="421">
        <v>0</v>
      </c>
      <c r="G67" s="1066">
        <f t="shared" si="38"/>
        <v>2010</v>
      </c>
      <c r="H67" s="1067">
        <f t="shared" si="39"/>
        <v>164</v>
      </c>
      <c r="I67" s="1068">
        <f>+'4.1사용실적산정'!D67</f>
        <v>2235</v>
      </c>
      <c r="J67" s="1069">
        <f t="shared" si="40"/>
        <v>182</v>
      </c>
      <c r="K67" s="798"/>
      <c r="L67" s="802">
        <v>7841</v>
      </c>
      <c r="M67" s="800">
        <f>+'4.상수사용량현황'!M68</f>
        <v>5831</v>
      </c>
      <c r="N67" s="17"/>
      <c r="O67" s="1612"/>
    </row>
    <row r="68" spans="1:15" ht="24.95" customHeight="1">
      <c r="A68" s="1599"/>
      <c r="B68" s="1064" t="str">
        <f t="shared" si="26"/>
        <v>2009년</v>
      </c>
      <c r="C68" s="421">
        <v>17334</v>
      </c>
      <c r="D68" s="421">
        <v>12562</v>
      </c>
      <c r="E68" s="1065">
        <v>72.5</v>
      </c>
      <c r="F68" s="421">
        <v>0</v>
      </c>
      <c r="G68" s="1066">
        <f t="shared" si="38"/>
        <v>1931</v>
      </c>
      <c r="H68" s="1067">
        <f t="shared" si="39"/>
        <v>154</v>
      </c>
      <c r="I68" s="1068">
        <f>+'4.1사용실적산정'!D68</f>
        <v>2409</v>
      </c>
      <c r="J68" s="1069">
        <f t="shared" si="40"/>
        <v>192</v>
      </c>
      <c r="K68" s="798"/>
      <c r="L68" s="802">
        <v>7307</v>
      </c>
      <c r="M68" s="800">
        <f>+'4.상수사용량현황'!M69</f>
        <v>5376</v>
      </c>
      <c r="N68" s="17"/>
      <c r="O68" s="1612"/>
    </row>
    <row r="69" spans="1:15" ht="24.95" customHeight="1">
      <c r="A69" s="1599"/>
      <c r="B69" s="1064" t="str">
        <f t="shared" si="26"/>
        <v>2010년</v>
      </c>
      <c r="C69" s="421">
        <v>17604</v>
      </c>
      <c r="D69" s="421">
        <v>12562</v>
      </c>
      <c r="E69" s="1065">
        <v>71.400000000000006</v>
      </c>
      <c r="F69" s="421">
        <v>0</v>
      </c>
      <c r="G69" s="1066">
        <f t="shared" si="38"/>
        <v>4405</v>
      </c>
      <c r="H69" s="1067">
        <f t="shared" si="39"/>
        <v>351</v>
      </c>
      <c r="I69" s="1068">
        <f>+'4.1사용실적산정'!D69</f>
        <v>2584</v>
      </c>
      <c r="J69" s="1069">
        <f t="shared" si="40"/>
        <v>206</v>
      </c>
      <c r="K69" s="798"/>
      <c r="L69" s="802">
        <v>9875</v>
      </c>
      <c r="M69" s="800">
        <f>+'4.상수사용량현황'!M70</f>
        <v>5470</v>
      </c>
      <c r="N69" s="17"/>
      <c r="O69" s="1612"/>
    </row>
    <row r="70" spans="1:15" ht="24.95" customHeight="1">
      <c r="A70" s="1599"/>
      <c r="B70" s="1064" t="str">
        <f t="shared" si="26"/>
        <v>2011년</v>
      </c>
      <c r="C70" s="421">
        <v>17831</v>
      </c>
      <c r="D70" s="421">
        <v>14898</v>
      </c>
      <c r="E70" s="1065">
        <v>83.5</v>
      </c>
      <c r="F70" s="421">
        <v>0</v>
      </c>
      <c r="G70" s="1066">
        <f t="shared" si="38"/>
        <v>2801</v>
      </c>
      <c r="H70" s="1067">
        <f t="shared" si="39"/>
        <v>188</v>
      </c>
      <c r="I70" s="1068">
        <f>+'4.1사용실적산정'!D70</f>
        <v>8555</v>
      </c>
      <c r="J70" s="1069">
        <f t="shared" si="40"/>
        <v>574</v>
      </c>
      <c r="K70" s="798"/>
      <c r="L70" s="802">
        <v>9579</v>
      </c>
      <c r="M70" s="800">
        <f>+'4.상수사용량현황'!M71</f>
        <v>6778</v>
      </c>
      <c r="N70" s="17"/>
      <c r="O70" s="1612"/>
    </row>
    <row r="71" spans="1:15" ht="24.95" customHeight="1">
      <c r="A71" s="1599"/>
      <c r="B71" s="1064" t="str">
        <f t="shared" si="26"/>
        <v>2012년</v>
      </c>
      <c r="C71" s="421">
        <v>18702</v>
      </c>
      <c r="D71" s="421">
        <v>14201</v>
      </c>
      <c r="E71" s="1065">
        <v>75.900000000000006</v>
      </c>
      <c r="F71" s="421">
        <v>0</v>
      </c>
      <c r="G71" s="1066">
        <f t="shared" si="38"/>
        <v>2989</v>
      </c>
      <c r="H71" s="1067">
        <f t="shared" si="39"/>
        <v>210</v>
      </c>
      <c r="I71" s="1068">
        <f>+'4.1사용실적산정'!D71</f>
        <v>2988</v>
      </c>
      <c r="J71" s="1069">
        <f t="shared" si="40"/>
        <v>210</v>
      </c>
      <c r="K71" s="798"/>
      <c r="L71" s="802">
        <v>10313</v>
      </c>
      <c r="M71" s="800">
        <f>+'4.상수사용량현황'!M72</f>
        <v>7324</v>
      </c>
      <c r="N71" s="17"/>
      <c r="O71" s="1612"/>
    </row>
    <row r="72" spans="1:15" ht="24.95" customHeight="1">
      <c r="A72" s="1599"/>
      <c r="B72" s="1064" t="str">
        <f t="shared" si="26"/>
        <v>2013년</v>
      </c>
      <c r="C72" s="1070">
        <v>19159</v>
      </c>
      <c r="D72" s="1070">
        <v>14561</v>
      </c>
      <c r="E72" s="1071">
        <v>76</v>
      </c>
      <c r="F72" s="1070">
        <v>0</v>
      </c>
      <c r="G72" s="1066">
        <f t="shared" si="38"/>
        <v>3286</v>
      </c>
      <c r="H72" s="1067">
        <f t="shared" si="39"/>
        <v>226</v>
      </c>
      <c r="I72" s="1068">
        <f>+'4.1사용실적산정'!D72</f>
        <v>3286</v>
      </c>
      <c r="J72" s="1069">
        <f t="shared" si="40"/>
        <v>226</v>
      </c>
      <c r="K72" s="798"/>
      <c r="L72" s="803">
        <v>9841</v>
      </c>
      <c r="M72" s="800">
        <f>+'4.상수사용량현황'!M73</f>
        <v>6555</v>
      </c>
      <c r="N72" s="17"/>
      <c r="O72" s="1612"/>
    </row>
    <row r="73" spans="1:15" ht="24.95" customHeight="1">
      <c r="A73" s="1599"/>
      <c r="B73" s="1064" t="str">
        <f t="shared" si="26"/>
        <v>2014년</v>
      </c>
      <c r="C73" s="1070">
        <v>19132</v>
      </c>
      <c r="D73" s="1070">
        <v>16561</v>
      </c>
      <c r="E73" s="1072">
        <v>86.6</v>
      </c>
      <c r="F73" s="1070">
        <v>0</v>
      </c>
      <c r="G73" s="1066">
        <f t="shared" ref="G73" si="41">+L73-M73</f>
        <v>4622</v>
      </c>
      <c r="H73" s="1067">
        <f t="shared" ref="H73" si="42">ROUND(+G73/D73*1000,0)</f>
        <v>279</v>
      </c>
      <c r="I73" s="1068">
        <f>+'4.1사용실적산정'!D73</f>
        <v>3514</v>
      </c>
      <c r="J73" s="1069">
        <f t="shared" ref="J73" si="43">ROUND(+I73/$D73*1000,0)</f>
        <v>212</v>
      </c>
      <c r="K73" s="798"/>
      <c r="L73" s="803">
        <v>11541</v>
      </c>
      <c r="M73" s="800">
        <f>+'4.상수사용량현황'!M74</f>
        <v>6919</v>
      </c>
      <c r="N73" s="17"/>
      <c r="O73" s="1613"/>
    </row>
    <row r="74" spans="1:15" ht="24.95" customHeight="1">
      <c r="A74" s="1599" t="s">
        <v>950</v>
      </c>
      <c r="B74" s="1064" t="str">
        <f t="shared" si="26"/>
        <v>2005년</v>
      </c>
      <c r="C74" s="421"/>
      <c r="D74" s="421"/>
      <c r="E74" s="1065"/>
      <c r="F74" s="421">
        <v>0</v>
      </c>
      <c r="G74" s="1066">
        <f t="shared" ref="G74:G82" si="44">+L74-M74</f>
        <v>0</v>
      </c>
      <c r="H74" s="1067">
        <v>0</v>
      </c>
      <c r="I74" s="1068">
        <f>+'4.1사용실적산정'!D74</f>
        <v>0</v>
      </c>
      <c r="J74" s="1069">
        <v>0</v>
      </c>
      <c r="K74" s="798"/>
      <c r="L74" s="802"/>
      <c r="M74" s="800">
        <f>+'4.상수사용량현황'!M75</f>
        <v>0</v>
      </c>
      <c r="N74" s="17"/>
      <c r="O74" s="1611"/>
    </row>
    <row r="75" spans="1:15" ht="24.95" customHeight="1">
      <c r="A75" s="1599"/>
      <c r="B75" s="1064" t="str">
        <f t="shared" si="26"/>
        <v>2006년</v>
      </c>
      <c r="C75" s="421"/>
      <c r="D75" s="421"/>
      <c r="E75" s="1065"/>
      <c r="F75" s="421">
        <v>0</v>
      </c>
      <c r="G75" s="1066">
        <f t="shared" si="44"/>
        <v>0</v>
      </c>
      <c r="H75" s="1067">
        <v>0</v>
      </c>
      <c r="I75" s="1068">
        <f>+'4.1사용실적산정'!D75</f>
        <v>0</v>
      </c>
      <c r="J75" s="1069">
        <v>0</v>
      </c>
      <c r="K75" s="798"/>
      <c r="L75" s="802"/>
      <c r="M75" s="800">
        <f>+'4.상수사용량현황'!M76</f>
        <v>0</v>
      </c>
      <c r="N75" s="17"/>
      <c r="O75" s="1612"/>
    </row>
    <row r="76" spans="1:15" ht="24.95" customHeight="1">
      <c r="A76" s="1599"/>
      <c r="B76" s="1064" t="str">
        <f t="shared" si="26"/>
        <v>2007년</v>
      </c>
      <c r="C76" s="421">
        <v>8527</v>
      </c>
      <c r="D76" s="421">
        <v>2853</v>
      </c>
      <c r="E76" s="1065">
        <v>33.5</v>
      </c>
      <c r="F76" s="421">
        <v>1100</v>
      </c>
      <c r="G76" s="1066">
        <f t="shared" si="44"/>
        <v>388</v>
      </c>
      <c r="H76" s="1067">
        <f t="shared" ref="H76:H82" si="45">ROUND(+G76/D76*1000,0)</f>
        <v>136</v>
      </c>
      <c r="I76" s="1068">
        <f>+'4.1사용실적산정'!D76</f>
        <v>199</v>
      </c>
      <c r="J76" s="1069">
        <f t="shared" ref="J76:J82" si="46">ROUND(+I76/$D76*1000,0)</f>
        <v>70</v>
      </c>
      <c r="K76" s="798"/>
      <c r="L76" s="802">
        <v>388</v>
      </c>
      <c r="M76" s="800">
        <f>+'4.상수사용량현황'!M77</f>
        <v>0</v>
      </c>
      <c r="N76" s="17"/>
      <c r="O76" s="1612"/>
    </row>
    <row r="77" spans="1:15" ht="24.95" customHeight="1">
      <c r="A77" s="1599"/>
      <c r="B77" s="1064" t="str">
        <f t="shared" si="26"/>
        <v>2008년</v>
      </c>
      <c r="C77" s="421">
        <v>8679</v>
      </c>
      <c r="D77" s="421">
        <v>3324</v>
      </c>
      <c r="E77" s="1065">
        <v>38.299999999999997</v>
      </c>
      <c r="F77" s="421">
        <v>0</v>
      </c>
      <c r="G77" s="1066">
        <f t="shared" si="44"/>
        <v>217</v>
      </c>
      <c r="H77" s="1067">
        <f t="shared" si="45"/>
        <v>65</v>
      </c>
      <c r="I77" s="1068">
        <f>+'4.1사용실적산정'!D77</f>
        <v>254</v>
      </c>
      <c r="J77" s="1069">
        <f t="shared" si="46"/>
        <v>76</v>
      </c>
      <c r="K77" s="798"/>
      <c r="L77" s="802">
        <v>452</v>
      </c>
      <c r="M77" s="800">
        <f>+'4.상수사용량현황'!M78</f>
        <v>235</v>
      </c>
      <c r="N77" s="17"/>
      <c r="O77" s="1612"/>
    </row>
    <row r="78" spans="1:15" ht="24.95" customHeight="1">
      <c r="A78" s="1599"/>
      <c r="B78" s="1064" t="str">
        <f t="shared" ref="B78:B103" si="47">+B68</f>
        <v>2009년</v>
      </c>
      <c r="C78" s="421">
        <v>8768</v>
      </c>
      <c r="D78" s="421">
        <v>4165</v>
      </c>
      <c r="E78" s="1065">
        <v>47.5</v>
      </c>
      <c r="F78" s="421">
        <v>0</v>
      </c>
      <c r="G78" s="1066">
        <f t="shared" si="44"/>
        <v>627</v>
      </c>
      <c r="H78" s="1067">
        <f t="shared" si="45"/>
        <v>151</v>
      </c>
      <c r="I78" s="1068">
        <f>+'4.1사용실적산정'!D78</f>
        <v>303</v>
      </c>
      <c r="J78" s="1069">
        <f t="shared" si="46"/>
        <v>73</v>
      </c>
      <c r="K78" s="798"/>
      <c r="L78" s="802">
        <v>859</v>
      </c>
      <c r="M78" s="800">
        <f>+'4.상수사용량현황'!M79</f>
        <v>232</v>
      </c>
      <c r="N78" s="17"/>
      <c r="O78" s="1612"/>
    </row>
    <row r="79" spans="1:15" ht="24.95" customHeight="1">
      <c r="A79" s="1599"/>
      <c r="B79" s="1064" t="str">
        <f t="shared" si="47"/>
        <v>2010년</v>
      </c>
      <c r="C79" s="421">
        <v>8838</v>
      </c>
      <c r="D79" s="421">
        <v>4165</v>
      </c>
      <c r="E79" s="1065">
        <v>47.1</v>
      </c>
      <c r="F79" s="421">
        <v>0</v>
      </c>
      <c r="G79" s="1066">
        <f t="shared" si="44"/>
        <v>1507</v>
      </c>
      <c r="H79" s="1067">
        <f t="shared" si="45"/>
        <v>362</v>
      </c>
      <c r="I79" s="1068">
        <f>+'4.1사용실적산정'!D79</f>
        <v>398</v>
      </c>
      <c r="J79" s="1069">
        <f t="shared" si="46"/>
        <v>96</v>
      </c>
      <c r="K79" s="798"/>
      <c r="L79" s="802">
        <v>1878</v>
      </c>
      <c r="M79" s="800">
        <f>+'4.상수사용량현황'!M80</f>
        <v>371</v>
      </c>
      <c r="N79" s="17"/>
      <c r="O79" s="1612"/>
    </row>
    <row r="80" spans="1:15" ht="24.95" customHeight="1">
      <c r="A80" s="1599"/>
      <c r="B80" s="1064" t="str">
        <f t="shared" si="47"/>
        <v>2011년</v>
      </c>
      <c r="C80" s="421">
        <v>9306</v>
      </c>
      <c r="D80" s="421">
        <v>5895</v>
      </c>
      <c r="E80" s="1065">
        <v>63.3</v>
      </c>
      <c r="F80" s="421">
        <v>0</v>
      </c>
      <c r="G80" s="1066">
        <f t="shared" si="44"/>
        <v>723</v>
      </c>
      <c r="H80" s="1067">
        <f t="shared" si="45"/>
        <v>123</v>
      </c>
      <c r="I80" s="1068">
        <f>+'4.1사용실적산정'!D80</f>
        <v>723</v>
      </c>
      <c r="J80" s="1069">
        <f t="shared" si="46"/>
        <v>123</v>
      </c>
      <c r="K80" s="798"/>
      <c r="L80" s="802">
        <v>1423</v>
      </c>
      <c r="M80" s="800">
        <f>+'4.상수사용량현황'!M81</f>
        <v>700</v>
      </c>
      <c r="N80" s="17"/>
      <c r="O80" s="1612"/>
    </row>
    <row r="81" spans="1:15" ht="24.95" customHeight="1">
      <c r="A81" s="1599"/>
      <c r="B81" s="1064" t="str">
        <f t="shared" si="47"/>
        <v>2012년</v>
      </c>
      <c r="C81" s="421">
        <v>9393</v>
      </c>
      <c r="D81" s="421">
        <v>5509</v>
      </c>
      <c r="E81" s="1065">
        <v>58.6</v>
      </c>
      <c r="F81" s="421">
        <v>0</v>
      </c>
      <c r="G81" s="1066">
        <f t="shared" si="44"/>
        <v>1323</v>
      </c>
      <c r="H81" s="1067">
        <f t="shared" si="45"/>
        <v>240</v>
      </c>
      <c r="I81" s="1068">
        <f>+'4.1사용실적산정'!D81</f>
        <v>1322</v>
      </c>
      <c r="J81" s="1069">
        <f t="shared" si="46"/>
        <v>240</v>
      </c>
      <c r="K81" s="798"/>
      <c r="L81" s="802">
        <v>2642</v>
      </c>
      <c r="M81" s="800">
        <f>+'4.상수사용량현황'!M82</f>
        <v>1319</v>
      </c>
      <c r="N81" s="17"/>
      <c r="O81" s="1612"/>
    </row>
    <row r="82" spans="1:15" ht="24.95" customHeight="1">
      <c r="A82" s="1599"/>
      <c r="B82" s="1064" t="str">
        <f t="shared" si="47"/>
        <v>2013년</v>
      </c>
      <c r="C82" s="1070">
        <v>9575</v>
      </c>
      <c r="D82" s="1070">
        <v>6607</v>
      </c>
      <c r="E82" s="1071">
        <v>69</v>
      </c>
      <c r="F82" s="1070">
        <v>0</v>
      </c>
      <c r="G82" s="1066">
        <f t="shared" si="44"/>
        <v>1416</v>
      </c>
      <c r="H82" s="1067">
        <f t="shared" si="45"/>
        <v>214</v>
      </c>
      <c r="I82" s="1068">
        <f>+'4.1사용실적산정'!D82</f>
        <v>1416</v>
      </c>
      <c r="J82" s="1069">
        <f t="shared" si="46"/>
        <v>214</v>
      </c>
      <c r="K82" s="798"/>
      <c r="L82" s="803">
        <v>3013</v>
      </c>
      <c r="M82" s="800">
        <f>+'4.상수사용량현황'!M83</f>
        <v>1597</v>
      </c>
      <c r="N82" s="17"/>
      <c r="O82" s="1612"/>
    </row>
    <row r="83" spans="1:15" ht="24.95" customHeight="1">
      <c r="A83" s="1599"/>
      <c r="B83" s="1064" t="str">
        <f t="shared" si="47"/>
        <v>2014년</v>
      </c>
      <c r="C83" s="1070">
        <v>9739</v>
      </c>
      <c r="D83" s="1070">
        <v>7910</v>
      </c>
      <c r="E83" s="1072">
        <v>81.2</v>
      </c>
      <c r="F83" s="1070">
        <v>0</v>
      </c>
      <c r="G83" s="1066">
        <f t="shared" ref="G83:G92" si="48">+L83-M83</f>
        <v>2637</v>
      </c>
      <c r="H83" s="1067">
        <f t="shared" ref="H83:H92" si="49">ROUND(+G83/D83*1000,0)</f>
        <v>333</v>
      </c>
      <c r="I83" s="1068">
        <f>+'4.1사용실적산정'!D83</f>
        <v>1478</v>
      </c>
      <c r="J83" s="1069">
        <f t="shared" ref="J83:J92" si="50">ROUND(+I83/$D83*1000,0)</f>
        <v>187</v>
      </c>
      <c r="K83" s="798"/>
      <c r="L83" s="803">
        <v>4313</v>
      </c>
      <c r="M83" s="800">
        <f>+'4.상수사용량현황'!M84</f>
        <v>1676</v>
      </c>
      <c r="N83" s="17"/>
      <c r="O83" s="1613"/>
    </row>
    <row r="84" spans="1:15" ht="24.95" customHeight="1">
      <c r="A84" s="1599" t="s">
        <v>951</v>
      </c>
      <c r="B84" s="1064" t="str">
        <f t="shared" si="47"/>
        <v>2005년</v>
      </c>
      <c r="C84" s="421"/>
      <c r="D84" s="421"/>
      <c r="E84" s="1065"/>
      <c r="F84" s="421">
        <v>0</v>
      </c>
      <c r="G84" s="1066">
        <f t="shared" si="48"/>
        <v>0</v>
      </c>
      <c r="H84" s="1067">
        <v>0</v>
      </c>
      <c r="I84" s="1068">
        <f>+'4.1사용실적산정'!D104</f>
        <v>0</v>
      </c>
      <c r="J84" s="1069">
        <v>0</v>
      </c>
      <c r="K84" s="798"/>
      <c r="L84" s="802"/>
      <c r="M84" s="800">
        <f>+'4.상수사용량현황'!M85</f>
        <v>0</v>
      </c>
      <c r="N84" s="17"/>
      <c r="O84" s="1611"/>
    </row>
    <row r="85" spans="1:15" ht="24.95" customHeight="1">
      <c r="A85" s="1599"/>
      <c r="B85" s="1064" t="str">
        <f t="shared" si="47"/>
        <v>2006년</v>
      </c>
      <c r="C85" s="421"/>
      <c r="D85" s="421"/>
      <c r="E85" s="1065"/>
      <c r="F85" s="421">
        <v>0</v>
      </c>
      <c r="G85" s="1066">
        <f t="shared" si="48"/>
        <v>0</v>
      </c>
      <c r="H85" s="1067">
        <v>0</v>
      </c>
      <c r="I85" s="1068">
        <f>+'4.1사용실적산정'!D105</f>
        <v>0</v>
      </c>
      <c r="J85" s="1069">
        <v>0</v>
      </c>
      <c r="K85" s="798"/>
      <c r="L85" s="802"/>
      <c r="M85" s="800">
        <f>+'4.상수사용량현황'!M86</f>
        <v>0</v>
      </c>
      <c r="N85" s="17"/>
      <c r="O85" s="1612"/>
    </row>
    <row r="86" spans="1:15" ht="24.95" customHeight="1">
      <c r="A86" s="1599"/>
      <c r="B86" s="1064" t="str">
        <f t="shared" si="47"/>
        <v>2007년</v>
      </c>
      <c r="C86" s="421">
        <v>5146</v>
      </c>
      <c r="D86" s="421">
        <v>2898</v>
      </c>
      <c r="E86" s="1065">
        <v>56.3</v>
      </c>
      <c r="F86" s="421">
        <v>1000</v>
      </c>
      <c r="G86" s="1066">
        <f t="shared" si="48"/>
        <v>776</v>
      </c>
      <c r="H86" s="1067">
        <f t="shared" si="49"/>
        <v>268</v>
      </c>
      <c r="I86" s="1068">
        <f>+'4.1사용실적산정'!D106</f>
        <v>10931</v>
      </c>
      <c r="J86" s="1069">
        <f t="shared" si="50"/>
        <v>3772</v>
      </c>
      <c r="K86" s="798"/>
      <c r="L86" s="802">
        <v>776</v>
      </c>
      <c r="M86" s="800">
        <f>+'4.상수사용량현황'!M87</f>
        <v>0</v>
      </c>
      <c r="N86" s="17"/>
      <c r="O86" s="1612"/>
    </row>
    <row r="87" spans="1:15" ht="24.95" customHeight="1">
      <c r="A87" s="1599"/>
      <c r="B87" s="1064" t="str">
        <f t="shared" si="47"/>
        <v>2008년</v>
      </c>
      <c r="C87" s="421">
        <v>5158</v>
      </c>
      <c r="D87" s="421">
        <v>3084</v>
      </c>
      <c r="E87" s="1065">
        <v>59.8</v>
      </c>
      <c r="F87" s="421">
        <v>0</v>
      </c>
      <c r="G87" s="1066">
        <f t="shared" si="48"/>
        <v>813</v>
      </c>
      <c r="H87" s="1067">
        <f t="shared" si="49"/>
        <v>264</v>
      </c>
      <c r="I87" s="1068">
        <f>+'4.1사용실적산정'!D107</f>
        <v>6092</v>
      </c>
      <c r="J87" s="1069">
        <f t="shared" si="50"/>
        <v>1975</v>
      </c>
      <c r="K87" s="798"/>
      <c r="L87" s="802">
        <v>826</v>
      </c>
      <c r="M87" s="800">
        <f>+'4.상수사용량현황'!M88</f>
        <v>13</v>
      </c>
      <c r="N87" s="17"/>
      <c r="O87" s="1612"/>
    </row>
    <row r="88" spans="1:15" ht="24.95" customHeight="1">
      <c r="A88" s="1599"/>
      <c r="B88" s="1064" t="str">
        <f t="shared" si="47"/>
        <v>2009년</v>
      </c>
      <c r="C88" s="421">
        <v>5153</v>
      </c>
      <c r="D88" s="421">
        <v>3421</v>
      </c>
      <c r="E88" s="1065">
        <v>66.400000000000006</v>
      </c>
      <c r="F88" s="421">
        <v>0</v>
      </c>
      <c r="G88" s="1066">
        <f t="shared" si="48"/>
        <v>1663</v>
      </c>
      <c r="H88" s="1067">
        <f t="shared" si="49"/>
        <v>486</v>
      </c>
      <c r="I88" s="1068">
        <f>+'4.1사용실적산정'!D108</f>
        <v>6238</v>
      </c>
      <c r="J88" s="1069">
        <f t="shared" si="50"/>
        <v>1823</v>
      </c>
      <c r="K88" s="798"/>
      <c r="L88" s="802">
        <v>1673</v>
      </c>
      <c r="M88" s="800">
        <f>+'4.상수사용량현황'!M89</f>
        <v>10</v>
      </c>
      <c r="N88" s="17"/>
      <c r="O88" s="1612"/>
    </row>
    <row r="89" spans="1:15" ht="24.95" customHeight="1">
      <c r="A89" s="1599"/>
      <c r="B89" s="1064" t="str">
        <f t="shared" si="47"/>
        <v>2010년</v>
      </c>
      <c r="C89" s="421">
        <v>5104</v>
      </c>
      <c r="D89" s="421">
        <v>3421</v>
      </c>
      <c r="E89" s="1065">
        <v>67</v>
      </c>
      <c r="F89" s="421">
        <v>0</v>
      </c>
      <c r="G89" s="1066">
        <f t="shared" si="48"/>
        <v>1515</v>
      </c>
      <c r="H89" s="1067">
        <f t="shared" si="49"/>
        <v>443</v>
      </c>
      <c r="I89" s="1068">
        <f>+'4.1사용실적산정'!D109</f>
        <v>7122</v>
      </c>
      <c r="J89" s="1069">
        <f t="shared" si="50"/>
        <v>2082</v>
      </c>
      <c r="K89" s="798"/>
      <c r="L89" s="802">
        <v>1525</v>
      </c>
      <c r="M89" s="800">
        <f>+'4.상수사용량현황'!M90</f>
        <v>10</v>
      </c>
      <c r="N89" s="17"/>
      <c r="O89" s="1612"/>
    </row>
    <row r="90" spans="1:15" ht="24.95" customHeight="1">
      <c r="A90" s="1599"/>
      <c r="B90" s="1064" t="str">
        <f t="shared" si="47"/>
        <v>2011년</v>
      </c>
      <c r="C90" s="421">
        <v>5114</v>
      </c>
      <c r="D90" s="421">
        <v>3204</v>
      </c>
      <c r="E90" s="1065">
        <v>62.6</v>
      </c>
      <c r="F90" s="421">
        <v>0</v>
      </c>
      <c r="G90" s="1066">
        <f t="shared" si="48"/>
        <v>1218</v>
      </c>
      <c r="H90" s="1067">
        <f t="shared" si="49"/>
        <v>380</v>
      </c>
      <c r="I90" s="1068">
        <f>+'4.1사용실적산정'!D110</f>
        <v>13827</v>
      </c>
      <c r="J90" s="1069">
        <f t="shared" si="50"/>
        <v>4316</v>
      </c>
      <c r="K90" s="798"/>
      <c r="L90" s="802">
        <v>1267</v>
      </c>
      <c r="M90" s="800">
        <f>+'4.상수사용량현황'!M91</f>
        <v>49</v>
      </c>
      <c r="N90" s="17"/>
      <c r="O90" s="1612"/>
    </row>
    <row r="91" spans="1:15" ht="24.95" customHeight="1">
      <c r="A91" s="1599"/>
      <c r="B91" s="1064" t="str">
        <f t="shared" si="47"/>
        <v>2012년</v>
      </c>
      <c r="C91" s="421">
        <v>5165</v>
      </c>
      <c r="D91" s="421">
        <v>4765</v>
      </c>
      <c r="E91" s="1065">
        <v>92.2</v>
      </c>
      <c r="F91" s="421">
        <v>0</v>
      </c>
      <c r="G91" s="1066">
        <f t="shared" si="48"/>
        <v>1362</v>
      </c>
      <c r="H91" s="1067">
        <f t="shared" si="49"/>
        <v>286</v>
      </c>
      <c r="I91" s="1068">
        <f>+'4.1사용실적산정'!D111</f>
        <v>9073</v>
      </c>
      <c r="J91" s="1069">
        <f t="shared" si="50"/>
        <v>1904</v>
      </c>
      <c r="K91" s="798"/>
      <c r="L91" s="802">
        <v>1520</v>
      </c>
      <c r="M91" s="800">
        <f>+'4.상수사용량현황'!M92</f>
        <v>158</v>
      </c>
      <c r="N91" s="17"/>
      <c r="O91" s="1612"/>
    </row>
    <row r="92" spans="1:15" ht="24.95" customHeight="1">
      <c r="A92" s="1599"/>
      <c r="B92" s="1064" t="str">
        <f t="shared" si="47"/>
        <v>2013년</v>
      </c>
      <c r="C92" s="1070">
        <v>5412</v>
      </c>
      <c r="D92" s="1070">
        <v>4882</v>
      </c>
      <c r="E92" s="1071">
        <v>90.2</v>
      </c>
      <c r="F92" s="1070">
        <v>0</v>
      </c>
      <c r="G92" s="1066">
        <f t="shared" si="48"/>
        <v>1311</v>
      </c>
      <c r="H92" s="1067">
        <f t="shared" si="49"/>
        <v>269</v>
      </c>
      <c r="I92" s="1068">
        <f>+'4.1사용실적산정'!D112</f>
        <v>9600</v>
      </c>
      <c r="J92" s="1069">
        <f t="shared" si="50"/>
        <v>1966</v>
      </c>
      <c r="K92" s="798"/>
      <c r="L92" s="803">
        <v>1442</v>
      </c>
      <c r="M92" s="800">
        <f>+'4.상수사용량현황'!M93</f>
        <v>131</v>
      </c>
      <c r="N92" s="17"/>
      <c r="O92" s="1612"/>
    </row>
    <row r="93" spans="1:15" ht="24.95" customHeight="1">
      <c r="A93" s="1600"/>
      <c r="B93" s="1073" t="str">
        <f t="shared" si="47"/>
        <v>2014년</v>
      </c>
      <c r="C93" s="1081">
        <v>11728</v>
      </c>
      <c r="D93" s="1081">
        <v>9669</v>
      </c>
      <c r="E93" s="1082">
        <v>82.4</v>
      </c>
      <c r="F93" s="1081">
        <v>0</v>
      </c>
      <c r="G93" s="1077">
        <f t="shared" ref="G93:G102" si="51">+L93-M93</f>
        <v>2745</v>
      </c>
      <c r="H93" s="1078">
        <f t="shared" ref="H93:H102" si="52">ROUND(+G93/D93*1000,0)</f>
        <v>284</v>
      </c>
      <c r="I93" s="1079">
        <f>+'4.1사용실적산정'!D113</f>
        <v>10465</v>
      </c>
      <c r="J93" s="1080">
        <f t="shared" ref="J93:J102" si="53">ROUND(+I93/$D93*1000,0)</f>
        <v>1082</v>
      </c>
      <c r="K93" s="798"/>
      <c r="L93" s="803">
        <v>2942</v>
      </c>
      <c r="M93" s="800">
        <f>+'4.상수사용량현황'!M94</f>
        <v>197</v>
      </c>
      <c r="N93" s="17"/>
      <c r="O93" s="1613"/>
    </row>
    <row r="94" spans="1:15" ht="24.95" customHeight="1">
      <c r="A94" s="1605" t="s">
        <v>952</v>
      </c>
      <c r="B94" s="743" t="str">
        <f t="shared" si="47"/>
        <v>2005년</v>
      </c>
      <c r="C94" s="744"/>
      <c r="D94" s="744"/>
      <c r="E94" s="745"/>
      <c r="F94" s="744">
        <v>0</v>
      </c>
      <c r="G94" s="746">
        <f t="shared" si="51"/>
        <v>0</v>
      </c>
      <c r="H94" s="747">
        <v>0</v>
      </c>
      <c r="I94" s="748">
        <f>+'4.1사용실적산정'!D114</f>
        <v>0</v>
      </c>
      <c r="J94" s="749">
        <v>0</v>
      </c>
      <c r="K94" s="798"/>
      <c r="L94" s="802"/>
      <c r="M94" s="800">
        <f>+'4.상수사용량현황'!M95</f>
        <v>0</v>
      </c>
      <c r="N94" s="17"/>
      <c r="O94" s="1611"/>
    </row>
    <row r="95" spans="1:15" ht="24.95" customHeight="1">
      <c r="A95" s="1599"/>
      <c r="B95" s="1064" t="str">
        <f t="shared" si="47"/>
        <v>2006년</v>
      </c>
      <c r="C95" s="421"/>
      <c r="D95" s="421"/>
      <c r="E95" s="1065"/>
      <c r="F95" s="421">
        <v>0</v>
      </c>
      <c r="G95" s="1066">
        <f t="shared" si="51"/>
        <v>0</v>
      </c>
      <c r="H95" s="1067">
        <v>0</v>
      </c>
      <c r="I95" s="1068">
        <f>+'4.1사용실적산정'!D115</f>
        <v>0</v>
      </c>
      <c r="J95" s="1069">
        <v>0</v>
      </c>
      <c r="K95" s="798"/>
      <c r="L95" s="802"/>
      <c r="M95" s="800">
        <f>+'4.상수사용량현황'!M96</f>
        <v>0</v>
      </c>
      <c r="N95" s="17"/>
      <c r="O95" s="1612"/>
    </row>
    <row r="96" spans="1:15" ht="24.95" customHeight="1">
      <c r="A96" s="1599"/>
      <c r="B96" s="1064" t="str">
        <f t="shared" si="47"/>
        <v>2007년</v>
      </c>
      <c r="C96" s="421">
        <v>10864</v>
      </c>
      <c r="D96" s="421">
        <v>7390</v>
      </c>
      <c r="E96" s="1065">
        <v>68</v>
      </c>
      <c r="F96" s="421">
        <v>1000</v>
      </c>
      <c r="G96" s="1066">
        <f t="shared" si="51"/>
        <v>2778</v>
      </c>
      <c r="H96" s="1067">
        <f t="shared" si="52"/>
        <v>376</v>
      </c>
      <c r="I96" s="1068">
        <f>+'4.1사용실적산정'!D116</f>
        <v>-240</v>
      </c>
      <c r="J96" s="1069">
        <f t="shared" si="53"/>
        <v>-32</v>
      </c>
      <c r="K96" s="798"/>
      <c r="L96" s="802">
        <v>2778</v>
      </c>
      <c r="M96" s="800">
        <f>+'4.상수사용량현황'!M97</f>
        <v>0</v>
      </c>
      <c r="N96" s="17"/>
      <c r="O96" s="1612"/>
    </row>
    <row r="97" spans="1:15" ht="24.95" customHeight="1">
      <c r="A97" s="1599"/>
      <c r="B97" s="1064" t="str">
        <f t="shared" si="47"/>
        <v>2008년</v>
      </c>
      <c r="C97" s="421">
        <v>10686</v>
      </c>
      <c r="D97" s="421">
        <v>7905</v>
      </c>
      <c r="E97" s="1065">
        <v>74</v>
      </c>
      <c r="F97" s="421">
        <v>0</v>
      </c>
      <c r="G97" s="1066">
        <f t="shared" si="51"/>
        <v>2792</v>
      </c>
      <c r="H97" s="1067">
        <f t="shared" si="52"/>
        <v>353</v>
      </c>
      <c r="I97" s="1068">
        <f>+'4.1사용실적산정'!D117</f>
        <v>-240</v>
      </c>
      <c r="J97" s="1069">
        <f t="shared" si="53"/>
        <v>-30</v>
      </c>
      <c r="K97" s="798"/>
      <c r="L97" s="802">
        <v>2971</v>
      </c>
      <c r="M97" s="800">
        <f>+'4.상수사용량현황'!M98</f>
        <v>179</v>
      </c>
      <c r="N97" s="17"/>
      <c r="O97" s="1612"/>
    </row>
    <row r="98" spans="1:15" ht="24.95" customHeight="1">
      <c r="A98" s="1599"/>
      <c r="B98" s="1064" t="str">
        <f t="shared" si="47"/>
        <v>2009년</v>
      </c>
      <c r="C98" s="421">
        <v>10539</v>
      </c>
      <c r="D98" s="421">
        <v>7659</v>
      </c>
      <c r="E98" s="1065">
        <v>72.7</v>
      </c>
      <c r="F98" s="421">
        <v>0</v>
      </c>
      <c r="G98" s="1066">
        <f t="shared" si="51"/>
        <v>2330</v>
      </c>
      <c r="H98" s="1067">
        <f t="shared" si="52"/>
        <v>304</v>
      </c>
      <c r="I98" s="1068">
        <f>+'4.1사용실적산정'!D118</f>
        <v>-41</v>
      </c>
      <c r="J98" s="1069">
        <f t="shared" si="53"/>
        <v>-5</v>
      </c>
      <c r="K98" s="798"/>
      <c r="L98" s="802">
        <v>2496</v>
      </c>
      <c r="M98" s="800">
        <f>+'4.상수사용량현황'!M99</f>
        <v>166</v>
      </c>
      <c r="N98" s="17"/>
      <c r="O98" s="1612"/>
    </row>
    <row r="99" spans="1:15" ht="24.95" customHeight="1">
      <c r="A99" s="1599"/>
      <c r="B99" s="1064" t="str">
        <f t="shared" si="47"/>
        <v>2010년</v>
      </c>
      <c r="C99" s="421">
        <v>11040</v>
      </c>
      <c r="D99" s="421">
        <v>7659</v>
      </c>
      <c r="E99" s="1065">
        <v>69.400000000000006</v>
      </c>
      <c r="F99" s="421">
        <v>0</v>
      </c>
      <c r="G99" s="1066">
        <f t="shared" si="51"/>
        <v>2799</v>
      </c>
      <c r="H99" s="1067">
        <f t="shared" si="52"/>
        <v>365</v>
      </c>
      <c r="I99" s="1068">
        <f>+'4.1사용실적산정'!D119</f>
        <v>14</v>
      </c>
      <c r="J99" s="1069">
        <f t="shared" si="53"/>
        <v>2</v>
      </c>
      <c r="K99" s="798"/>
      <c r="L99" s="802">
        <v>2943</v>
      </c>
      <c r="M99" s="800">
        <f>+'4.상수사용량현황'!M100</f>
        <v>144</v>
      </c>
      <c r="N99" s="17"/>
      <c r="O99" s="1612"/>
    </row>
    <row r="100" spans="1:15" ht="24.95" customHeight="1">
      <c r="A100" s="1599"/>
      <c r="B100" s="1064" t="str">
        <f t="shared" si="47"/>
        <v>2011년</v>
      </c>
      <c r="C100" s="421">
        <v>11213</v>
      </c>
      <c r="D100" s="421">
        <v>8786</v>
      </c>
      <c r="E100" s="1065">
        <v>78.3</v>
      </c>
      <c r="F100" s="421">
        <v>0</v>
      </c>
      <c r="G100" s="1066">
        <f t="shared" si="51"/>
        <v>2183</v>
      </c>
      <c r="H100" s="1067">
        <f t="shared" si="52"/>
        <v>248</v>
      </c>
      <c r="I100" s="1068">
        <f>+'4.1사용실적산정'!D120</f>
        <v>63</v>
      </c>
      <c r="J100" s="1069">
        <f t="shared" si="53"/>
        <v>7</v>
      </c>
      <c r="K100" s="798"/>
      <c r="L100" s="802">
        <v>2477</v>
      </c>
      <c r="M100" s="800">
        <f>+'4.상수사용량현황'!M101</f>
        <v>294</v>
      </c>
      <c r="N100" s="17"/>
      <c r="O100" s="1612"/>
    </row>
    <row r="101" spans="1:15" ht="24.95" customHeight="1">
      <c r="A101" s="1599"/>
      <c r="B101" s="1064" t="str">
        <f t="shared" si="47"/>
        <v>2012년</v>
      </c>
      <c r="C101" s="421">
        <v>11405</v>
      </c>
      <c r="D101" s="421">
        <v>9029</v>
      </c>
      <c r="E101" s="1065">
        <v>79.2</v>
      </c>
      <c r="F101" s="421">
        <v>0</v>
      </c>
      <c r="G101" s="1066">
        <f t="shared" si="51"/>
        <v>2188</v>
      </c>
      <c r="H101" s="1067">
        <f t="shared" si="52"/>
        <v>242</v>
      </c>
      <c r="I101" s="1068">
        <f>+'4.1사용실적산정'!D121</f>
        <v>158</v>
      </c>
      <c r="J101" s="1069">
        <f t="shared" si="53"/>
        <v>17</v>
      </c>
      <c r="K101" s="798"/>
      <c r="L101" s="802">
        <v>2511</v>
      </c>
      <c r="M101" s="800">
        <f>+'4.상수사용량현황'!M102</f>
        <v>323</v>
      </c>
      <c r="N101" s="17"/>
      <c r="O101" s="1612"/>
    </row>
    <row r="102" spans="1:15" ht="24.95" customHeight="1">
      <c r="A102" s="1599"/>
      <c r="B102" s="1064" t="str">
        <f t="shared" si="47"/>
        <v>2013년</v>
      </c>
      <c r="C102" s="1070">
        <v>11441</v>
      </c>
      <c r="D102" s="1070">
        <v>9061</v>
      </c>
      <c r="E102" s="1071">
        <v>79.2</v>
      </c>
      <c r="F102" s="1070">
        <v>0</v>
      </c>
      <c r="G102" s="1066">
        <f t="shared" si="51"/>
        <v>2256</v>
      </c>
      <c r="H102" s="1067">
        <f t="shared" si="52"/>
        <v>249</v>
      </c>
      <c r="I102" s="1068">
        <f>+'4.1사용실적산정'!D122</f>
        <v>483</v>
      </c>
      <c r="J102" s="1069">
        <f t="shared" si="53"/>
        <v>53</v>
      </c>
      <c r="K102" s="798"/>
      <c r="L102" s="803">
        <v>2583</v>
      </c>
      <c r="M102" s="800">
        <f>+'4.상수사용량현황'!M103</f>
        <v>327</v>
      </c>
      <c r="N102" s="17"/>
      <c r="O102" s="1612"/>
    </row>
    <row r="103" spans="1:15" ht="24.95" customHeight="1">
      <c r="A103" s="1599"/>
      <c r="B103" s="1064" t="str">
        <f t="shared" si="47"/>
        <v>2014년</v>
      </c>
      <c r="C103" s="1070">
        <v>11333</v>
      </c>
      <c r="D103" s="1070">
        <v>9061</v>
      </c>
      <c r="E103" s="1072">
        <v>80</v>
      </c>
      <c r="F103" s="1070">
        <v>0</v>
      </c>
      <c r="G103" s="1066">
        <f t="shared" ref="G103" si="54">+L103-M103</f>
        <v>4462</v>
      </c>
      <c r="H103" s="1067">
        <f t="shared" ref="H103" si="55">ROUND(+G103/D103*1000,0)</f>
        <v>492</v>
      </c>
      <c r="I103" s="1068">
        <f>+'4.1사용실적산정'!D123</f>
        <v>1082</v>
      </c>
      <c r="J103" s="1069">
        <f t="shared" ref="J103" si="56">ROUND(+I103/$D103*1000,0)</f>
        <v>119</v>
      </c>
      <c r="K103" s="798"/>
      <c r="L103" s="803">
        <v>4783</v>
      </c>
      <c r="M103" s="800">
        <f>+'4.상수사용량현황'!M104</f>
        <v>321</v>
      </c>
      <c r="N103" s="17"/>
      <c r="O103" s="1613"/>
    </row>
    <row r="104" spans="1:15" ht="24.95" customHeight="1">
      <c r="A104" s="1599" t="s">
        <v>290</v>
      </c>
      <c r="B104" s="1064" t="str">
        <f t="shared" ref="B104:B113" si="57">+B74</f>
        <v>2005년</v>
      </c>
      <c r="C104" s="421">
        <f t="shared" ref="C104:D104" si="58">C34+C44+C54+C64+C74+C84+C94</f>
        <v>0</v>
      </c>
      <c r="D104" s="421">
        <f t="shared" si="58"/>
        <v>0</v>
      </c>
      <c r="E104" s="1065">
        <v>0</v>
      </c>
      <c r="F104" s="421">
        <v>0</v>
      </c>
      <c r="G104" s="1066">
        <f t="shared" ref="G104:G113" si="59">+L104-M104</f>
        <v>0</v>
      </c>
      <c r="H104" s="1067">
        <v>0</v>
      </c>
      <c r="I104" s="1068">
        <f>+'4.1사용실적산정'!D104</f>
        <v>0</v>
      </c>
      <c r="J104" s="1069">
        <v>0</v>
      </c>
      <c r="K104" s="798"/>
      <c r="L104" s="802">
        <f>+L34+L44+L54+L64+L74+L84+L94</f>
        <v>0</v>
      </c>
      <c r="M104" s="800">
        <f>+'4.상수사용량현황'!M105</f>
        <v>0</v>
      </c>
      <c r="N104" s="17"/>
      <c r="O104" s="1611"/>
    </row>
    <row r="105" spans="1:15" ht="24.95" customHeight="1">
      <c r="A105" s="1599"/>
      <c r="B105" s="1064" t="str">
        <f t="shared" si="57"/>
        <v>2006년</v>
      </c>
      <c r="C105" s="421">
        <f t="shared" ref="C105:D105" si="60">C35+C45+C55+C65+C75+C85+C95</f>
        <v>0</v>
      </c>
      <c r="D105" s="421">
        <f t="shared" si="60"/>
        <v>0</v>
      </c>
      <c r="E105" s="1065">
        <v>0</v>
      </c>
      <c r="F105" s="421">
        <f t="shared" ref="F105:F113" si="61">F25+F35+F45+F55+F65+F75+F85+F95</f>
        <v>0</v>
      </c>
      <c r="G105" s="1066">
        <f t="shared" si="59"/>
        <v>0</v>
      </c>
      <c r="H105" s="1067">
        <v>0</v>
      </c>
      <c r="I105" s="1068">
        <f>+'4.1사용실적산정'!D105</f>
        <v>0</v>
      </c>
      <c r="J105" s="1069">
        <v>0</v>
      </c>
      <c r="K105" s="798"/>
      <c r="L105" s="802">
        <f>+L35+L45+L55+L65+L75+L85+L95</f>
        <v>0</v>
      </c>
      <c r="M105" s="800">
        <f>+'4.상수사용량현황'!M106</f>
        <v>0</v>
      </c>
      <c r="N105" s="17"/>
      <c r="O105" s="1612"/>
    </row>
    <row r="106" spans="1:15" ht="24.95" customHeight="1">
      <c r="A106" s="1599"/>
      <c r="B106" s="1064" t="str">
        <f t="shared" si="57"/>
        <v>2007년</v>
      </c>
      <c r="C106" s="421">
        <f>C36+C46+C56+C66+C76+C86+C96</f>
        <v>53491</v>
      </c>
      <c r="D106" s="421">
        <f>D36+D46+D56+D66+D76+D86+D96</f>
        <v>27317</v>
      </c>
      <c r="E106" s="1065">
        <f t="shared" ref="E106:E112" si="62">D106/C106*100</f>
        <v>51.068404030584581</v>
      </c>
      <c r="F106" s="422">
        <f t="shared" si="61"/>
        <v>7300</v>
      </c>
      <c r="G106" s="1066">
        <f t="shared" si="59"/>
        <v>12557</v>
      </c>
      <c r="H106" s="1067">
        <f t="shared" ref="H106:H113" si="63">ROUND(+G106/D106*1000,0)</f>
        <v>460</v>
      </c>
      <c r="I106" s="1068">
        <f>+'4.1사용실적산정'!D106</f>
        <v>10931</v>
      </c>
      <c r="J106" s="1069">
        <f t="shared" ref="J106:J113" si="64">ROUND(+I106/$D106*1000,0)</f>
        <v>400</v>
      </c>
      <c r="K106" s="798"/>
      <c r="L106" s="802">
        <f>L36+L46+L56+L66+L76+L86+L96</f>
        <v>12557</v>
      </c>
      <c r="M106" s="800">
        <f>+'4.상수사용량현황'!M107</f>
        <v>0</v>
      </c>
      <c r="N106" s="17"/>
      <c r="O106" s="1612"/>
    </row>
    <row r="107" spans="1:15" ht="24.95" customHeight="1">
      <c r="A107" s="1599"/>
      <c r="B107" s="1064" t="str">
        <f t="shared" si="57"/>
        <v>2008년</v>
      </c>
      <c r="C107" s="421">
        <f t="shared" ref="C107:D107" si="65">C37+C47+C57+C67+C77+C87+C97</f>
        <v>53731</v>
      </c>
      <c r="D107" s="421">
        <f t="shared" si="65"/>
        <v>30427</v>
      </c>
      <c r="E107" s="1065">
        <f t="shared" si="62"/>
        <v>56.628389570266705</v>
      </c>
      <c r="F107" s="422">
        <f t="shared" si="61"/>
        <v>0</v>
      </c>
      <c r="G107" s="1066">
        <f t="shared" si="59"/>
        <v>6790</v>
      </c>
      <c r="H107" s="1067">
        <f t="shared" si="63"/>
        <v>223</v>
      </c>
      <c r="I107" s="1068">
        <f>+'4.1사용실적산정'!D107</f>
        <v>6092</v>
      </c>
      <c r="J107" s="1069">
        <f t="shared" si="64"/>
        <v>200</v>
      </c>
      <c r="K107" s="798"/>
      <c r="L107" s="802">
        <f t="shared" ref="L107:L113" si="66">L37+L47+L57+L67+L77+L87+L97</f>
        <v>13695</v>
      </c>
      <c r="M107" s="800">
        <f>+'4.상수사용량현황'!M108</f>
        <v>6905</v>
      </c>
      <c r="N107" s="17"/>
      <c r="O107" s="1612"/>
    </row>
    <row r="108" spans="1:15" ht="24.95" customHeight="1">
      <c r="A108" s="1599"/>
      <c r="B108" s="1064" t="str">
        <f t="shared" si="57"/>
        <v>2009년</v>
      </c>
      <c r="C108" s="421">
        <f t="shared" ref="C108:D108" si="67">C38+C48+C58+C68+C78+C88+C98</f>
        <v>53635</v>
      </c>
      <c r="D108" s="421">
        <f t="shared" si="67"/>
        <v>34527</v>
      </c>
      <c r="E108" s="1065">
        <f t="shared" si="62"/>
        <v>64.374009508716327</v>
      </c>
      <c r="F108" s="422">
        <f t="shared" si="61"/>
        <v>0</v>
      </c>
      <c r="G108" s="1066">
        <f t="shared" si="59"/>
        <v>8503</v>
      </c>
      <c r="H108" s="1067">
        <f t="shared" si="63"/>
        <v>246</v>
      </c>
      <c r="I108" s="1068">
        <f>+'4.1사용실적산정'!D108</f>
        <v>6238</v>
      </c>
      <c r="J108" s="1069">
        <f t="shared" si="64"/>
        <v>181</v>
      </c>
      <c r="K108" s="798"/>
      <c r="L108" s="802">
        <f t="shared" si="66"/>
        <v>15231</v>
      </c>
      <c r="M108" s="800">
        <f>+'4.상수사용량현황'!M109</f>
        <v>6728</v>
      </c>
      <c r="N108" s="17"/>
      <c r="O108" s="1612"/>
    </row>
    <row r="109" spans="1:15" ht="24.95" customHeight="1">
      <c r="A109" s="1599"/>
      <c r="B109" s="1064" t="str">
        <f t="shared" si="57"/>
        <v>2010년</v>
      </c>
      <c r="C109" s="421">
        <f t="shared" ref="C109:D109" si="68">C39+C49+C59+C69+C79+C89+C99</f>
        <v>54655</v>
      </c>
      <c r="D109" s="421">
        <f t="shared" si="68"/>
        <v>34527</v>
      </c>
      <c r="E109" s="1065">
        <f t="shared" si="62"/>
        <v>63.172628304821153</v>
      </c>
      <c r="F109" s="422">
        <f t="shared" si="61"/>
        <v>0</v>
      </c>
      <c r="G109" s="1066">
        <f t="shared" si="59"/>
        <v>12141</v>
      </c>
      <c r="H109" s="1067">
        <f t="shared" si="63"/>
        <v>352</v>
      </c>
      <c r="I109" s="1068">
        <f>+'4.1사용실적산정'!D109</f>
        <v>7122</v>
      </c>
      <c r="J109" s="1069">
        <f t="shared" si="64"/>
        <v>206</v>
      </c>
      <c r="K109" s="798"/>
      <c r="L109" s="802">
        <f t="shared" si="66"/>
        <v>20201</v>
      </c>
      <c r="M109" s="800">
        <f>+'4.상수사용량현황'!M110</f>
        <v>8060</v>
      </c>
      <c r="N109" s="17"/>
      <c r="O109" s="1612"/>
    </row>
    <row r="110" spans="1:15" ht="24.95" customHeight="1">
      <c r="A110" s="1599"/>
      <c r="B110" s="1064" t="str">
        <f t="shared" si="57"/>
        <v>2011년</v>
      </c>
      <c r="C110" s="421">
        <f t="shared" ref="C110:D110" si="69">C40+C50+C60+C70+C80+C90+C100</f>
        <v>55731</v>
      </c>
      <c r="D110" s="421">
        <f t="shared" si="69"/>
        <v>40532</v>
      </c>
      <c r="E110" s="1065">
        <f t="shared" si="62"/>
        <v>72.72792521217994</v>
      </c>
      <c r="F110" s="422">
        <f t="shared" si="61"/>
        <v>0</v>
      </c>
      <c r="G110" s="1066">
        <f t="shared" si="59"/>
        <v>8074</v>
      </c>
      <c r="H110" s="1067">
        <f t="shared" si="63"/>
        <v>199</v>
      </c>
      <c r="I110" s="1068">
        <f>+'4.1사용실적산정'!D110</f>
        <v>13827</v>
      </c>
      <c r="J110" s="1069">
        <f t="shared" si="64"/>
        <v>341</v>
      </c>
      <c r="K110" s="798"/>
      <c r="L110" s="802">
        <f t="shared" si="66"/>
        <v>17969</v>
      </c>
      <c r="M110" s="800">
        <f>+'4.상수사용량현황'!M111</f>
        <v>9895</v>
      </c>
      <c r="N110" s="17"/>
      <c r="O110" s="1612"/>
    </row>
    <row r="111" spans="1:15" ht="24.95" customHeight="1">
      <c r="A111" s="1599"/>
      <c r="B111" s="1064" t="str">
        <f t="shared" si="57"/>
        <v>2012년</v>
      </c>
      <c r="C111" s="421">
        <f t="shared" ref="C111:D111" si="70">C41+C51+C61+C71+C81+C91+C101</f>
        <v>56796</v>
      </c>
      <c r="D111" s="421">
        <f t="shared" si="70"/>
        <v>42876</v>
      </c>
      <c r="E111" s="1065">
        <f t="shared" si="62"/>
        <v>75.491231776885698</v>
      </c>
      <c r="F111" s="422">
        <f t="shared" si="61"/>
        <v>0</v>
      </c>
      <c r="G111" s="1066">
        <f t="shared" si="59"/>
        <v>8974</v>
      </c>
      <c r="H111" s="1067">
        <f t="shared" si="63"/>
        <v>209</v>
      </c>
      <c r="I111" s="1068">
        <f>+'4.1사용실적산정'!D111</f>
        <v>9073</v>
      </c>
      <c r="J111" s="1069">
        <f t="shared" si="64"/>
        <v>212</v>
      </c>
      <c r="K111" s="798"/>
      <c r="L111" s="802">
        <f t="shared" si="66"/>
        <v>20586</v>
      </c>
      <c r="M111" s="800">
        <f>+'4.상수사용량현황'!M112</f>
        <v>11612</v>
      </c>
      <c r="N111" s="17"/>
      <c r="O111" s="1612"/>
    </row>
    <row r="112" spans="1:15" ht="24.95" customHeight="1">
      <c r="A112" s="1599"/>
      <c r="B112" s="1064" t="str">
        <f t="shared" si="57"/>
        <v>2013년</v>
      </c>
      <c r="C112" s="421">
        <f t="shared" ref="C112:D112" si="71">C42+C52+C62+C72+C82+C92+C102</f>
        <v>57783</v>
      </c>
      <c r="D112" s="421">
        <f t="shared" si="71"/>
        <v>44482</v>
      </c>
      <c r="E112" s="1065">
        <f t="shared" si="62"/>
        <v>76.981119014242935</v>
      </c>
      <c r="F112" s="422">
        <f t="shared" si="61"/>
        <v>0</v>
      </c>
      <c r="G112" s="1066">
        <f t="shared" si="59"/>
        <v>9600</v>
      </c>
      <c r="H112" s="1067">
        <f t="shared" si="63"/>
        <v>216</v>
      </c>
      <c r="I112" s="1068">
        <f>+'4.1사용실적산정'!D112</f>
        <v>9600</v>
      </c>
      <c r="J112" s="1069">
        <f t="shared" si="64"/>
        <v>216</v>
      </c>
      <c r="K112" s="798"/>
      <c r="L112" s="802">
        <f t="shared" si="66"/>
        <v>20987</v>
      </c>
      <c r="M112" s="800">
        <f>+'4.상수사용량현황'!M113</f>
        <v>11387</v>
      </c>
      <c r="N112" s="17"/>
      <c r="O112" s="1612"/>
    </row>
    <row r="113" spans="1:18" ht="24.95" customHeight="1">
      <c r="A113" s="1600"/>
      <c r="B113" s="1073" t="str">
        <f t="shared" si="57"/>
        <v>2014년</v>
      </c>
      <c r="C113" s="1074">
        <f t="shared" ref="C113:D113" si="72">C43+C53+C63+C73+C83+C93+C103</f>
        <v>66578</v>
      </c>
      <c r="D113" s="1074">
        <f t="shared" si="72"/>
        <v>55472</v>
      </c>
      <c r="E113" s="1075">
        <f t="shared" ref="E113" si="73">D113/C113*100</f>
        <v>83.318814022650116</v>
      </c>
      <c r="F113" s="1076">
        <f t="shared" si="61"/>
        <v>0</v>
      </c>
      <c r="G113" s="1077">
        <f t="shared" si="59"/>
        <v>19728</v>
      </c>
      <c r="H113" s="1078">
        <f t="shared" si="63"/>
        <v>356</v>
      </c>
      <c r="I113" s="1079">
        <f>+'4.1사용실적산정'!D113</f>
        <v>10465</v>
      </c>
      <c r="J113" s="1080">
        <f t="shared" si="64"/>
        <v>189</v>
      </c>
      <c r="K113" s="798"/>
      <c r="L113" s="802">
        <f t="shared" si="66"/>
        <v>31815</v>
      </c>
      <c r="M113" s="800">
        <f>+'4.상수사용량현황'!M114</f>
        <v>12087</v>
      </c>
      <c r="N113" s="17"/>
      <c r="O113" s="1613"/>
    </row>
    <row r="114" spans="1:18" ht="24.95" customHeight="1">
      <c r="A114" s="425" t="s">
        <v>496</v>
      </c>
      <c r="B114" s="810"/>
      <c r="C114" s="794"/>
      <c r="D114" s="794"/>
      <c r="E114" s="793"/>
      <c r="F114" s="794"/>
      <c r="G114" s="794"/>
      <c r="H114" s="792"/>
      <c r="I114" s="794"/>
      <c r="J114" s="791"/>
      <c r="K114" s="791"/>
      <c r="L114" s="791"/>
      <c r="M114" s="791"/>
      <c r="N114" s="7"/>
      <c r="O114" s="7"/>
    </row>
    <row r="115" spans="1:18" ht="24.95" customHeight="1">
      <c r="A115" s="56" t="s">
        <v>136</v>
      </c>
      <c r="B115" s="810"/>
      <c r="C115" s="794"/>
      <c r="D115" s="794"/>
      <c r="E115" s="793"/>
      <c r="F115" s="794"/>
      <c r="G115" s="794"/>
      <c r="H115" s="792"/>
      <c r="I115" s="794"/>
      <c r="J115" s="791"/>
      <c r="K115" s="791"/>
      <c r="L115" s="791"/>
      <c r="M115" s="791"/>
      <c r="N115" s="7"/>
      <c r="O115" s="7"/>
    </row>
    <row r="116" spans="1:18" ht="24.95" customHeight="1">
      <c r="A116" s="55" t="s">
        <v>137</v>
      </c>
    </row>
    <row r="117" spans="1:18" ht="24.95" customHeight="1">
      <c r="A117" s="1632" t="s">
        <v>43</v>
      </c>
      <c r="B117" s="1632"/>
      <c r="C117" s="57" t="s">
        <v>959</v>
      </c>
      <c r="D117" s="788" t="s">
        <v>960</v>
      </c>
      <c r="E117" s="57" t="s">
        <v>961</v>
      </c>
      <c r="F117" s="57" t="s">
        <v>962</v>
      </c>
      <c r="G117" s="58" t="s">
        <v>963</v>
      </c>
      <c r="H117" s="57" t="s">
        <v>964</v>
      </c>
      <c r="I117" s="788" t="s">
        <v>965</v>
      </c>
      <c r="J117" s="788" t="s">
        <v>967</v>
      </c>
      <c r="K117" s="886" t="s">
        <v>966</v>
      </c>
      <c r="L117" s="886" t="s">
        <v>290</v>
      </c>
      <c r="M117" s="797"/>
      <c r="N117" s="434"/>
      <c r="O117" s="9"/>
    </row>
    <row r="118" spans="1:18" ht="24.95" customHeight="1">
      <c r="A118" s="1625" t="s">
        <v>70</v>
      </c>
      <c r="B118" s="1625"/>
      <c r="C118" s="787">
        <f t="shared" ref="C118:C127" si="74">+H14</f>
        <v>371</v>
      </c>
      <c r="D118" s="787">
        <f t="shared" ref="D118:D127" si="75">+H24</f>
        <v>312</v>
      </c>
      <c r="E118" s="787">
        <f t="shared" ref="E118:E127" si="76">+H34</f>
        <v>0</v>
      </c>
      <c r="F118" s="59">
        <f t="shared" ref="F118:F127" si="77">+H44</f>
        <v>0</v>
      </c>
      <c r="G118" s="59">
        <f t="shared" ref="G118:G127" si="78">+H54</f>
        <v>0</v>
      </c>
      <c r="H118" s="59">
        <f t="shared" ref="H118:H127" si="79">+H64</f>
        <v>0</v>
      </c>
      <c r="I118" s="787">
        <f t="shared" ref="I118" si="80">+H74</f>
        <v>0</v>
      </c>
      <c r="J118" s="887">
        <f>+H84</f>
        <v>0</v>
      </c>
      <c r="K118" s="887">
        <f>+H94</f>
        <v>0</v>
      </c>
      <c r="L118" s="887">
        <f>+H104</f>
        <v>0</v>
      </c>
      <c r="M118" s="796"/>
      <c r="N118" s="21"/>
      <c r="O118" s="18"/>
    </row>
    <row r="119" spans="1:18" ht="24.95" customHeight="1">
      <c r="A119" s="1625" t="s">
        <v>69</v>
      </c>
      <c r="B119" s="1625"/>
      <c r="C119" s="59">
        <f t="shared" si="74"/>
        <v>434</v>
      </c>
      <c r="D119" s="59">
        <f t="shared" si="75"/>
        <v>317</v>
      </c>
      <c r="E119" s="59">
        <f t="shared" si="76"/>
        <v>0</v>
      </c>
      <c r="F119" s="59">
        <f t="shared" si="77"/>
        <v>0</v>
      </c>
      <c r="G119" s="59">
        <f t="shared" si="78"/>
        <v>0</v>
      </c>
      <c r="H119" s="59">
        <f t="shared" si="79"/>
        <v>0</v>
      </c>
      <c r="I119" s="59">
        <f t="shared" ref="I119:I127" si="81">+H75</f>
        <v>0</v>
      </c>
      <c r="J119" s="59">
        <f t="shared" ref="J119:J127" si="82">+H85</f>
        <v>0</v>
      </c>
      <c r="K119" s="59">
        <f t="shared" ref="K119:K127" si="83">+H95</f>
        <v>0</v>
      </c>
      <c r="L119" s="59">
        <f t="shared" ref="L119:L127" si="84">+H105</f>
        <v>0</v>
      </c>
      <c r="M119" s="796"/>
      <c r="N119" s="21"/>
      <c r="O119" s="19"/>
    </row>
    <row r="120" spans="1:18" ht="24.95" customHeight="1">
      <c r="A120" s="1625" t="s">
        <v>1</v>
      </c>
      <c r="B120" s="1625"/>
      <c r="C120" s="59">
        <f t="shared" si="74"/>
        <v>413</v>
      </c>
      <c r="D120" s="59">
        <f t="shared" si="75"/>
        <v>378</v>
      </c>
      <c r="E120" s="59">
        <f t="shared" si="76"/>
        <v>278</v>
      </c>
      <c r="F120" s="59">
        <f t="shared" si="77"/>
        <v>306</v>
      </c>
      <c r="G120" s="59">
        <f t="shared" si="78"/>
        <v>818</v>
      </c>
      <c r="H120" s="59">
        <f t="shared" si="79"/>
        <v>639</v>
      </c>
      <c r="I120" s="59">
        <f t="shared" si="81"/>
        <v>136</v>
      </c>
      <c r="J120" s="59">
        <f t="shared" si="82"/>
        <v>268</v>
      </c>
      <c r="K120" s="59">
        <f t="shared" si="83"/>
        <v>376</v>
      </c>
      <c r="L120" s="59">
        <f t="shared" si="84"/>
        <v>460</v>
      </c>
      <c r="M120" s="796"/>
      <c r="N120" s="21"/>
      <c r="O120" s="19"/>
    </row>
    <row r="121" spans="1:18" ht="24.95" customHeight="1">
      <c r="A121" s="1625" t="s">
        <v>2</v>
      </c>
      <c r="B121" s="1625"/>
      <c r="C121" s="59">
        <f t="shared" si="74"/>
        <v>410</v>
      </c>
      <c r="D121" s="59">
        <f t="shared" si="75"/>
        <v>336</v>
      </c>
      <c r="E121" s="59">
        <f t="shared" si="76"/>
        <v>277</v>
      </c>
      <c r="F121" s="59">
        <f t="shared" si="77"/>
        <v>306</v>
      </c>
      <c r="G121" s="59">
        <f t="shared" si="78"/>
        <v>116</v>
      </c>
      <c r="H121" s="59">
        <f t="shared" si="79"/>
        <v>164</v>
      </c>
      <c r="I121" s="59">
        <f t="shared" si="81"/>
        <v>65</v>
      </c>
      <c r="J121" s="59">
        <f t="shared" si="82"/>
        <v>264</v>
      </c>
      <c r="K121" s="59">
        <f t="shared" si="83"/>
        <v>353</v>
      </c>
      <c r="L121" s="59">
        <f t="shared" si="84"/>
        <v>223</v>
      </c>
      <c r="M121" s="796"/>
      <c r="N121" s="21"/>
      <c r="O121" s="19"/>
    </row>
    <row r="122" spans="1:18" ht="24.95" customHeight="1">
      <c r="A122" s="1625" t="s">
        <v>3</v>
      </c>
      <c r="B122" s="1625"/>
      <c r="C122" s="59">
        <f t="shared" si="74"/>
        <v>373</v>
      </c>
      <c r="D122" s="59">
        <f t="shared" si="75"/>
        <v>354</v>
      </c>
      <c r="E122" s="59">
        <f t="shared" si="76"/>
        <v>196</v>
      </c>
      <c r="F122" s="59">
        <f t="shared" si="77"/>
        <v>287</v>
      </c>
      <c r="G122" s="59">
        <f t="shared" si="78"/>
        <v>449</v>
      </c>
      <c r="H122" s="59">
        <f t="shared" si="79"/>
        <v>154</v>
      </c>
      <c r="I122" s="59">
        <f t="shared" si="81"/>
        <v>151</v>
      </c>
      <c r="J122" s="59">
        <f t="shared" si="82"/>
        <v>486</v>
      </c>
      <c r="K122" s="59">
        <f t="shared" si="83"/>
        <v>304</v>
      </c>
      <c r="L122" s="59">
        <f t="shared" si="84"/>
        <v>246</v>
      </c>
      <c r="M122" s="796"/>
      <c r="N122" s="21"/>
      <c r="O122" s="19"/>
    </row>
    <row r="123" spans="1:18" ht="24.95" customHeight="1">
      <c r="A123" s="1625" t="s">
        <v>65</v>
      </c>
      <c r="B123" s="1625"/>
      <c r="C123" s="59">
        <f t="shared" si="74"/>
        <v>274</v>
      </c>
      <c r="D123" s="59">
        <f t="shared" si="75"/>
        <v>327</v>
      </c>
      <c r="E123" s="59">
        <f t="shared" si="76"/>
        <v>159</v>
      </c>
      <c r="F123" s="59">
        <f t="shared" si="77"/>
        <v>199</v>
      </c>
      <c r="G123" s="59">
        <f t="shared" si="78"/>
        <v>597</v>
      </c>
      <c r="H123" s="59">
        <f t="shared" si="79"/>
        <v>351</v>
      </c>
      <c r="I123" s="59">
        <f t="shared" si="81"/>
        <v>362</v>
      </c>
      <c r="J123" s="59">
        <f t="shared" si="82"/>
        <v>443</v>
      </c>
      <c r="K123" s="59">
        <f t="shared" si="83"/>
        <v>365</v>
      </c>
      <c r="L123" s="59">
        <f t="shared" si="84"/>
        <v>352</v>
      </c>
      <c r="M123" s="796"/>
      <c r="N123" s="21"/>
      <c r="O123" s="19"/>
    </row>
    <row r="124" spans="1:18" ht="24.95" customHeight="1">
      <c r="A124" s="1625" t="s">
        <v>16</v>
      </c>
      <c r="B124" s="1625"/>
      <c r="C124" s="59">
        <f t="shared" si="74"/>
        <v>228</v>
      </c>
      <c r="D124" s="59">
        <f t="shared" si="75"/>
        <v>230</v>
      </c>
      <c r="E124" s="59">
        <f t="shared" si="76"/>
        <v>157</v>
      </c>
      <c r="F124" s="59">
        <f t="shared" si="77"/>
        <v>205</v>
      </c>
      <c r="G124" s="59">
        <f t="shared" si="78"/>
        <v>109</v>
      </c>
      <c r="H124" s="59">
        <f t="shared" si="79"/>
        <v>188</v>
      </c>
      <c r="I124" s="59">
        <f t="shared" si="81"/>
        <v>123</v>
      </c>
      <c r="J124" s="59">
        <f t="shared" si="82"/>
        <v>380</v>
      </c>
      <c r="K124" s="59">
        <f t="shared" si="83"/>
        <v>248</v>
      </c>
      <c r="L124" s="59">
        <f t="shared" si="84"/>
        <v>199</v>
      </c>
      <c r="M124" s="796"/>
      <c r="N124" s="21"/>
      <c r="O124" s="19"/>
    </row>
    <row r="125" spans="1:18" ht="24.95" customHeight="1">
      <c r="A125" s="1625" t="s">
        <v>66</v>
      </c>
      <c r="B125" s="1625"/>
      <c r="C125" s="787">
        <f t="shared" si="74"/>
        <v>241</v>
      </c>
      <c r="D125" s="787">
        <f t="shared" si="75"/>
        <v>215</v>
      </c>
      <c r="E125" s="787">
        <f t="shared" si="76"/>
        <v>198</v>
      </c>
      <c r="F125" s="787">
        <f t="shared" si="77"/>
        <v>159</v>
      </c>
      <c r="G125" s="787">
        <f t="shared" si="78"/>
        <v>64</v>
      </c>
      <c r="H125" s="787">
        <f t="shared" si="79"/>
        <v>210</v>
      </c>
      <c r="I125" s="787">
        <f t="shared" si="81"/>
        <v>240</v>
      </c>
      <c r="J125" s="887">
        <f t="shared" si="82"/>
        <v>286</v>
      </c>
      <c r="K125" s="887">
        <f t="shared" si="83"/>
        <v>242</v>
      </c>
      <c r="L125" s="887">
        <f t="shared" si="84"/>
        <v>209</v>
      </c>
      <c r="M125" s="796"/>
      <c r="N125" s="21"/>
      <c r="O125" s="18"/>
    </row>
    <row r="126" spans="1:18" ht="24.95" customHeight="1">
      <c r="A126" s="1625" t="s">
        <v>67</v>
      </c>
      <c r="B126" s="1625"/>
      <c r="C126" s="787">
        <f t="shared" si="74"/>
        <v>252</v>
      </c>
      <c r="D126" s="787">
        <f t="shared" si="75"/>
        <v>226</v>
      </c>
      <c r="E126" s="787">
        <f t="shared" si="76"/>
        <v>205</v>
      </c>
      <c r="F126" s="787">
        <f t="shared" si="77"/>
        <v>177</v>
      </c>
      <c r="G126" s="787">
        <f t="shared" si="78"/>
        <v>97</v>
      </c>
      <c r="H126" s="787">
        <f t="shared" si="79"/>
        <v>226</v>
      </c>
      <c r="I126" s="787">
        <f t="shared" si="81"/>
        <v>214</v>
      </c>
      <c r="J126" s="887">
        <f t="shared" si="82"/>
        <v>269</v>
      </c>
      <c r="K126" s="887">
        <f t="shared" si="83"/>
        <v>249</v>
      </c>
      <c r="L126" s="887">
        <f t="shared" si="84"/>
        <v>216</v>
      </c>
      <c r="M126" s="796"/>
      <c r="N126" s="21"/>
      <c r="O126" s="18"/>
      <c r="P126" s="8"/>
      <c r="Q126" s="8"/>
    </row>
    <row r="127" spans="1:18" ht="24.95" customHeight="1">
      <c r="A127" s="1625" t="s">
        <v>68</v>
      </c>
      <c r="B127" s="1625"/>
      <c r="C127" s="787">
        <f t="shared" si="74"/>
        <v>292</v>
      </c>
      <c r="D127" s="787">
        <f t="shared" si="75"/>
        <v>277</v>
      </c>
      <c r="E127" s="787">
        <f t="shared" si="76"/>
        <v>715</v>
      </c>
      <c r="F127" s="787">
        <f t="shared" si="77"/>
        <v>168</v>
      </c>
      <c r="G127" s="787">
        <f t="shared" si="78"/>
        <v>430</v>
      </c>
      <c r="H127" s="787">
        <f t="shared" si="79"/>
        <v>279</v>
      </c>
      <c r="I127" s="787">
        <f t="shared" si="81"/>
        <v>333</v>
      </c>
      <c r="J127" s="887">
        <f t="shared" si="82"/>
        <v>284</v>
      </c>
      <c r="K127" s="887">
        <f t="shared" si="83"/>
        <v>492</v>
      </c>
      <c r="L127" s="887">
        <f t="shared" si="84"/>
        <v>356</v>
      </c>
      <c r="M127" s="796"/>
      <c r="N127" s="21"/>
      <c r="O127" s="18"/>
      <c r="P127" s="8"/>
      <c r="Q127" s="8"/>
      <c r="R127" s="8"/>
    </row>
    <row r="128" spans="1:18" ht="24.95" customHeight="1">
      <c r="A128" s="1633" t="s">
        <v>44</v>
      </c>
      <c r="B128" s="1633"/>
      <c r="C128" s="57">
        <f>AVERAGE(C123:C127)</f>
        <v>257.39999999999998</v>
      </c>
      <c r="D128" s="57">
        <f t="shared" ref="D128:H128" si="85">AVERAGE(D123:D127)</f>
        <v>255</v>
      </c>
      <c r="E128" s="57">
        <f t="shared" si="85"/>
        <v>286.8</v>
      </c>
      <c r="F128" s="57">
        <f t="shared" si="85"/>
        <v>181.6</v>
      </c>
      <c r="G128" s="57">
        <f t="shared" si="85"/>
        <v>259.39999999999998</v>
      </c>
      <c r="H128" s="57">
        <f t="shared" si="85"/>
        <v>250.8</v>
      </c>
      <c r="I128" s="57">
        <f>AVERAGE(I123:I127)</f>
        <v>254.4</v>
      </c>
      <c r="J128" s="57">
        <f>AVERAGE(J123:J127)</f>
        <v>332.4</v>
      </c>
      <c r="K128" s="57">
        <f>AVERAGE(K123:K127)</f>
        <v>319.2</v>
      </c>
      <c r="L128" s="57">
        <f>AVERAGE(L123:L127)</f>
        <v>266.39999999999998</v>
      </c>
      <c r="M128" s="61"/>
      <c r="N128" s="22"/>
      <c r="O128" s="10"/>
      <c r="P128" s="8"/>
    </row>
    <row r="129" spans="1:20" ht="24.95" customHeight="1">
      <c r="A129" s="1633" t="s">
        <v>91</v>
      </c>
      <c r="B129" s="1633"/>
      <c r="C129" s="57">
        <f>AVERAGE(C118:C127)</f>
        <v>328.8</v>
      </c>
      <c r="D129" s="57">
        <f t="shared" ref="D129:H129" si="86">AVERAGE(D118:D127)</f>
        <v>297.2</v>
      </c>
      <c r="E129" s="57">
        <f t="shared" si="86"/>
        <v>218.5</v>
      </c>
      <c r="F129" s="57">
        <f t="shared" si="86"/>
        <v>180.7</v>
      </c>
      <c r="G129" s="57">
        <f t="shared" si="86"/>
        <v>268</v>
      </c>
      <c r="H129" s="57">
        <f t="shared" si="86"/>
        <v>221.1</v>
      </c>
      <c r="I129" s="57">
        <f>AVERAGE(I118:I127)</f>
        <v>162.4</v>
      </c>
      <c r="J129" s="57">
        <f>AVERAGE(J118:J127)</f>
        <v>268</v>
      </c>
      <c r="K129" s="57">
        <f>AVERAGE(K118:K127)</f>
        <v>262.89999999999998</v>
      </c>
      <c r="L129" s="57">
        <f>AVERAGE(L118:L127)</f>
        <v>226.1</v>
      </c>
      <c r="M129" s="61"/>
      <c r="N129" s="22"/>
      <c r="O129" s="10"/>
      <c r="P129" s="8"/>
    </row>
    <row r="130" spans="1:20" ht="24.95" customHeight="1">
      <c r="A130" s="60"/>
      <c r="B130" s="60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22"/>
      <c r="O130" s="10"/>
    </row>
    <row r="131" spans="1:20" ht="24.95" customHeight="1">
      <c r="A131" s="62" t="s">
        <v>92</v>
      </c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22"/>
      <c r="O131" s="10"/>
      <c r="R131" s="4"/>
    </row>
    <row r="132" spans="1:20" ht="24.95" customHeight="1">
      <c r="A132" s="63" t="s">
        <v>466</v>
      </c>
      <c r="N132" s="23"/>
    </row>
    <row r="133" spans="1:20" ht="24.95" customHeight="1">
      <c r="A133" s="1598" t="s">
        <v>43</v>
      </c>
      <c r="B133" s="1598"/>
      <c r="C133" s="1630" t="s">
        <v>93</v>
      </c>
      <c r="D133" s="1631"/>
      <c r="E133" s="1604" t="s">
        <v>467</v>
      </c>
      <c r="F133" s="1604"/>
      <c r="G133" s="1598" t="s">
        <v>468</v>
      </c>
      <c r="H133" s="1598"/>
      <c r="I133" s="787" t="s">
        <v>469</v>
      </c>
      <c r="J133" s="785" t="s">
        <v>470</v>
      </c>
      <c r="K133" s="67"/>
      <c r="L133" s="67"/>
      <c r="M133" s="67"/>
      <c r="N133" s="24"/>
      <c r="O133" s="426" t="s">
        <v>35</v>
      </c>
      <c r="P133" s="427" t="s">
        <v>460</v>
      </c>
      <c r="Q133" s="427" t="s">
        <v>461</v>
      </c>
      <c r="R133" s="427" t="s">
        <v>462</v>
      </c>
      <c r="S133" s="427" t="s">
        <v>463</v>
      </c>
      <c r="T133" s="428" t="s">
        <v>464</v>
      </c>
    </row>
    <row r="134" spans="1:20" ht="24.95" customHeight="1">
      <c r="A134" s="1598" t="s">
        <v>24</v>
      </c>
      <c r="B134" s="1598"/>
      <c r="C134" s="1603">
        <v>0.74</v>
      </c>
      <c r="D134" s="1603"/>
      <c r="E134" s="1603">
        <v>0.78</v>
      </c>
      <c r="F134" s="1603"/>
      <c r="G134" s="1603">
        <v>0.82</v>
      </c>
      <c r="H134" s="1603"/>
      <c r="I134" s="786">
        <v>0.85</v>
      </c>
      <c r="J134" s="786">
        <v>0.85</v>
      </c>
      <c r="K134" s="70"/>
      <c r="L134" s="70"/>
      <c r="M134" s="70"/>
      <c r="N134" s="25"/>
      <c r="O134" s="429" t="s">
        <v>465</v>
      </c>
      <c r="P134" s="430">
        <v>73.599999999999994</v>
      </c>
      <c r="Q134" s="430">
        <v>78</v>
      </c>
      <c r="R134" s="430">
        <v>82</v>
      </c>
      <c r="S134" s="430">
        <v>85</v>
      </c>
      <c r="T134" s="431">
        <v>85</v>
      </c>
    </row>
    <row r="135" spans="1:20" ht="24.95" customHeight="1">
      <c r="A135" s="1598" t="s">
        <v>26</v>
      </c>
      <c r="B135" s="1598"/>
      <c r="C135" s="1603">
        <v>0.12</v>
      </c>
      <c r="D135" s="1603"/>
      <c r="E135" s="1603">
        <v>0.1</v>
      </c>
      <c r="F135" s="1603"/>
      <c r="G135" s="1603">
        <v>0.08</v>
      </c>
      <c r="H135" s="1603"/>
      <c r="I135" s="786">
        <v>7.0000000000000007E-2</v>
      </c>
      <c r="J135" s="786">
        <v>7.0000000000000007E-2</v>
      </c>
      <c r="K135" s="70"/>
      <c r="L135" s="70"/>
      <c r="M135" s="70"/>
      <c r="N135" s="25"/>
      <c r="O135" s="13"/>
      <c r="Q135" s="5"/>
    </row>
    <row r="136" spans="1:20" ht="24.95" customHeight="1">
      <c r="A136" s="1598" t="s">
        <v>25</v>
      </c>
      <c r="B136" s="1598"/>
      <c r="C136" s="1603">
        <v>0.14000000000000001</v>
      </c>
      <c r="D136" s="1603"/>
      <c r="E136" s="1603">
        <v>0.12</v>
      </c>
      <c r="F136" s="1603"/>
      <c r="G136" s="1603">
        <v>0.1</v>
      </c>
      <c r="H136" s="1603"/>
      <c r="I136" s="786">
        <v>0.08</v>
      </c>
      <c r="J136" s="786">
        <v>0.08</v>
      </c>
      <c r="K136" s="70"/>
      <c r="L136" s="70"/>
      <c r="M136" s="70"/>
      <c r="N136" s="25"/>
      <c r="O136" s="13"/>
    </row>
    <row r="137" spans="1:20" ht="24.95" customHeight="1">
      <c r="A137" s="67"/>
      <c r="B137" s="67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26"/>
      <c r="O137" s="11"/>
    </row>
    <row r="138" spans="1:20" ht="24.95" customHeight="1">
      <c r="A138" s="66"/>
      <c r="B138" s="785"/>
      <c r="C138" s="69"/>
      <c r="D138" s="786">
        <f>+$C$127*C134</f>
        <v>216.07999999999998</v>
      </c>
      <c r="E138" s="786">
        <f>+$C$127-E139</f>
        <v>286.16000000000003</v>
      </c>
      <c r="F138" s="786">
        <f>+$C$127*E134</f>
        <v>227.76000000000002</v>
      </c>
      <c r="G138" s="786">
        <f>+$C$127-G139</f>
        <v>280.32</v>
      </c>
      <c r="H138" s="786">
        <f>+$C$127*G134</f>
        <v>239.44</v>
      </c>
      <c r="I138" s="786" t="e">
        <f>+$C$127-I139</f>
        <v>#REF!</v>
      </c>
      <c r="J138" s="786" t="e">
        <f>+$C$127*#REF!</f>
        <v>#REF!</v>
      </c>
      <c r="K138" s="70"/>
      <c r="L138" s="70"/>
      <c r="M138" s="70"/>
      <c r="N138" s="25"/>
      <c r="O138" s="13"/>
    </row>
    <row r="139" spans="1:20" ht="24.95" customHeight="1">
      <c r="A139" s="66"/>
      <c r="B139" s="785"/>
      <c r="C139" s="69"/>
      <c r="D139" s="786">
        <f t="shared" ref="D139:F140" si="87">+$C$127*C135</f>
        <v>35.04</v>
      </c>
      <c r="E139" s="786">
        <f>+$D$139-F139</f>
        <v>5.8399999999999963</v>
      </c>
      <c r="F139" s="786">
        <f t="shared" si="87"/>
        <v>29.200000000000003</v>
      </c>
      <c r="G139" s="786">
        <f>+$D$139-H139</f>
        <v>11.68</v>
      </c>
      <c r="H139" s="786">
        <f>+$C$127*G135</f>
        <v>23.36</v>
      </c>
      <c r="I139" s="786" t="e">
        <f>+$D$139-#REF!</f>
        <v>#REF!</v>
      </c>
      <c r="J139" s="786" t="e">
        <f>+$C$127*#REF!</f>
        <v>#REF!</v>
      </c>
      <c r="K139" s="70"/>
      <c r="L139" s="70"/>
      <c r="M139" s="70"/>
      <c r="N139" s="25"/>
      <c r="O139" s="13"/>
    </row>
    <row r="140" spans="1:20" ht="24.95" customHeight="1">
      <c r="A140" s="66"/>
      <c r="B140" s="785"/>
      <c r="C140" s="69"/>
      <c r="D140" s="786">
        <f t="shared" si="87"/>
        <v>40.880000000000003</v>
      </c>
      <c r="E140" s="786">
        <f>+$D$140-F140</f>
        <v>5.8400000000000034</v>
      </c>
      <c r="F140" s="786">
        <f t="shared" si="87"/>
        <v>35.04</v>
      </c>
      <c r="G140" s="786">
        <f>+$D$140-H140</f>
        <v>11.68</v>
      </c>
      <c r="H140" s="786">
        <f>+$C$127*G136</f>
        <v>29.200000000000003</v>
      </c>
      <c r="I140" s="786" t="e">
        <f>+$D$140-#REF!</f>
        <v>#REF!</v>
      </c>
      <c r="J140" s="786" t="e">
        <f>+$C$127*#REF!</f>
        <v>#REF!</v>
      </c>
      <c r="K140" s="70"/>
      <c r="L140" s="70"/>
      <c r="M140" s="70"/>
      <c r="N140" s="25"/>
      <c r="O140" s="13"/>
    </row>
    <row r="141" spans="1:20" ht="24.95" customHeight="1">
      <c r="A141" s="67"/>
      <c r="B141" s="67"/>
      <c r="C141" s="68"/>
      <c r="D141" s="70"/>
      <c r="E141" s="71">
        <f>+$C$127-E139-E140</f>
        <v>280.32000000000005</v>
      </c>
      <c r="F141" s="70"/>
      <c r="G141" s="71">
        <f>+$C$127-G139-G140</f>
        <v>268.64</v>
      </c>
      <c r="H141" s="70"/>
      <c r="I141" s="71" t="e">
        <f>+$C$127-I139-I140</f>
        <v>#REF!</v>
      </c>
      <c r="J141" s="70"/>
      <c r="K141" s="70"/>
      <c r="L141" s="70"/>
      <c r="M141" s="70"/>
      <c r="N141" s="25"/>
      <c r="O141" s="13"/>
    </row>
    <row r="142" spans="1:20" ht="24.95" customHeight="1">
      <c r="A142" s="63" t="s">
        <v>94</v>
      </c>
      <c r="N142" s="23"/>
    </row>
    <row r="143" spans="1:20" ht="24.95" customHeight="1">
      <c r="A143" s="1598" t="s">
        <v>43</v>
      </c>
      <c r="B143" s="1598"/>
      <c r="C143" s="57" t="s">
        <v>959</v>
      </c>
      <c r="D143" s="886" t="s">
        <v>960</v>
      </c>
      <c r="E143" s="57" t="s">
        <v>961</v>
      </c>
      <c r="F143" s="57" t="s">
        <v>962</v>
      </c>
      <c r="G143" s="58" t="s">
        <v>963</v>
      </c>
      <c r="H143" s="57" t="s">
        <v>964</v>
      </c>
      <c r="I143" s="886" t="s">
        <v>965</v>
      </c>
      <c r="J143" s="886" t="s">
        <v>967</v>
      </c>
      <c r="K143" s="886" t="s">
        <v>966</v>
      </c>
      <c r="L143" s="886" t="s">
        <v>290</v>
      </c>
      <c r="M143" s="67"/>
      <c r="N143" s="24"/>
      <c r="O143" s="3"/>
    </row>
    <row r="144" spans="1:20" ht="24.95" customHeight="1">
      <c r="A144" s="1628">
        <v>2014</v>
      </c>
      <c r="B144" s="1629"/>
      <c r="C144" s="787">
        <f>+C127</f>
        <v>292</v>
      </c>
      <c r="D144" s="787">
        <f t="shared" ref="D144:I144" si="88">+D127</f>
        <v>277</v>
      </c>
      <c r="E144" s="787">
        <f t="shared" si="88"/>
        <v>715</v>
      </c>
      <c r="F144" s="787">
        <f t="shared" si="88"/>
        <v>168</v>
      </c>
      <c r="G144" s="787">
        <f t="shared" si="88"/>
        <v>430</v>
      </c>
      <c r="H144" s="787">
        <f t="shared" si="88"/>
        <v>279</v>
      </c>
      <c r="I144" s="787">
        <f t="shared" si="88"/>
        <v>333</v>
      </c>
      <c r="J144" s="887">
        <f t="shared" ref="J144:L144" si="89">+J127</f>
        <v>284</v>
      </c>
      <c r="K144" s="887">
        <f t="shared" si="89"/>
        <v>492</v>
      </c>
      <c r="L144" s="887">
        <f t="shared" si="89"/>
        <v>356</v>
      </c>
      <c r="M144" s="796"/>
      <c r="N144" s="21"/>
      <c r="O144" s="18"/>
    </row>
    <row r="145" spans="1:18" ht="24.95" customHeight="1">
      <c r="A145" s="1626">
        <v>2010</v>
      </c>
      <c r="B145" s="1627"/>
      <c r="C145" s="71">
        <f t="shared" ref="C145:I145" si="90">ROUND(+C127-((C127*$C$135+C127*$C$136)-(C127*$E$135+C127*$E$136)),0)</f>
        <v>280</v>
      </c>
      <c r="D145" s="71">
        <f t="shared" si="90"/>
        <v>266</v>
      </c>
      <c r="E145" s="71">
        <f t="shared" si="90"/>
        <v>686</v>
      </c>
      <c r="F145" s="71">
        <f t="shared" si="90"/>
        <v>161</v>
      </c>
      <c r="G145" s="71">
        <f t="shared" si="90"/>
        <v>413</v>
      </c>
      <c r="H145" s="71">
        <f t="shared" si="90"/>
        <v>268</v>
      </c>
      <c r="I145" s="71">
        <f t="shared" si="90"/>
        <v>320</v>
      </c>
      <c r="J145" s="71">
        <f t="shared" ref="J145:L145" si="91">ROUND(+J127-((J127*$C$135+J127*$C$136)-(J127*$E$135+J127*$E$136)),0)</f>
        <v>273</v>
      </c>
      <c r="K145" s="71">
        <f t="shared" si="91"/>
        <v>472</v>
      </c>
      <c r="L145" s="71">
        <f t="shared" si="91"/>
        <v>342</v>
      </c>
      <c r="M145" s="795"/>
      <c r="N145" s="27"/>
      <c r="O145" s="20"/>
    </row>
    <row r="146" spans="1:18" ht="24.95" customHeight="1">
      <c r="A146" s="1626">
        <v>2015</v>
      </c>
      <c r="B146" s="1627"/>
      <c r="C146" s="71">
        <f t="shared" ref="C146:I146" si="92">ROUND(+C127-((C127*$C$135+C127*$C$136)-(C127*$G$135+C127*$G$136)),0)</f>
        <v>269</v>
      </c>
      <c r="D146" s="71">
        <f t="shared" si="92"/>
        <v>255</v>
      </c>
      <c r="E146" s="71">
        <f t="shared" si="92"/>
        <v>658</v>
      </c>
      <c r="F146" s="71">
        <f t="shared" si="92"/>
        <v>155</v>
      </c>
      <c r="G146" s="71">
        <f t="shared" si="92"/>
        <v>396</v>
      </c>
      <c r="H146" s="71">
        <f t="shared" si="92"/>
        <v>257</v>
      </c>
      <c r="I146" s="71">
        <f t="shared" si="92"/>
        <v>306</v>
      </c>
      <c r="J146" s="71">
        <f t="shared" ref="J146:L146" si="93">ROUND(+J127-((J127*$C$135+J127*$C$136)-(J127*$G$135+J127*$G$136)),0)</f>
        <v>261</v>
      </c>
      <c r="K146" s="71">
        <f t="shared" si="93"/>
        <v>453</v>
      </c>
      <c r="L146" s="71">
        <f t="shared" si="93"/>
        <v>328</v>
      </c>
      <c r="M146" s="795"/>
      <c r="N146" s="27"/>
      <c r="O146" s="20"/>
    </row>
    <row r="147" spans="1:18" ht="24.95" customHeight="1">
      <c r="A147" s="1626">
        <v>2020</v>
      </c>
      <c r="B147" s="1627"/>
      <c r="C147" s="71">
        <f t="shared" ref="C147:I147" si="94">ROUND(+C127-((C127*$C$135+C127*$C$136)-(C127*$I$135+C127*$I$136)),0)</f>
        <v>260</v>
      </c>
      <c r="D147" s="71">
        <f t="shared" si="94"/>
        <v>247</v>
      </c>
      <c r="E147" s="71">
        <f t="shared" si="94"/>
        <v>636</v>
      </c>
      <c r="F147" s="71">
        <f t="shared" si="94"/>
        <v>150</v>
      </c>
      <c r="G147" s="71">
        <f t="shared" si="94"/>
        <v>383</v>
      </c>
      <c r="H147" s="71">
        <f t="shared" si="94"/>
        <v>248</v>
      </c>
      <c r="I147" s="71">
        <f t="shared" si="94"/>
        <v>296</v>
      </c>
      <c r="J147" s="71">
        <f t="shared" ref="J147:L147" si="95">ROUND(+J127-((J127*$C$135+J127*$C$136)-(J127*$I$135+J127*$I$136)),0)</f>
        <v>253</v>
      </c>
      <c r="K147" s="71">
        <f t="shared" si="95"/>
        <v>438</v>
      </c>
      <c r="L147" s="71">
        <f t="shared" si="95"/>
        <v>317</v>
      </c>
      <c r="M147" s="795"/>
      <c r="N147" s="27"/>
      <c r="O147" s="20"/>
      <c r="Q147" s="6"/>
      <c r="R147" s="12"/>
    </row>
    <row r="148" spans="1:18" ht="24.95" customHeight="1">
      <c r="A148" s="1626">
        <v>2025</v>
      </c>
      <c r="B148" s="1627"/>
      <c r="C148" s="71" t="e">
        <f>ROUND(+C127-((C127*$C$135+C127*$C$136)-(C127*#REF!+C127*#REF!)),0)</f>
        <v>#REF!</v>
      </c>
      <c r="D148" s="71" t="e">
        <f>ROUND(+D127-((D127*$C$135+D127*$C$136)-(D127*#REF!+D127*#REF!)),0)</f>
        <v>#REF!</v>
      </c>
      <c r="E148" s="71" t="e">
        <f>ROUND(+E127-((E127*$C$135+E127*$C$136)-(E127*#REF!+E127*#REF!)),0)</f>
        <v>#REF!</v>
      </c>
      <c r="F148" s="71" t="e">
        <f>ROUND(+F127-((F127*$C$135+F127*$C$136)-(F127*#REF!+F127*#REF!)),0)</f>
        <v>#REF!</v>
      </c>
      <c r="G148" s="71" t="e">
        <f>ROUND(+G127-((G127*$C$135+G127*$C$136)-(G127*#REF!+G127*#REF!)),0)</f>
        <v>#REF!</v>
      </c>
      <c r="H148" s="71" t="e">
        <f>ROUND(+H127-((H127*$C$135+H127*$C$136)-(H127*#REF!+H127*#REF!)),0)</f>
        <v>#REF!</v>
      </c>
      <c r="I148" s="71" t="e">
        <f>ROUND(+I127-((I127*$C$135+I127*$C$136)-(I127*#REF!+I127*#REF!)),0)</f>
        <v>#REF!</v>
      </c>
      <c r="J148" s="71" t="e">
        <f>ROUND(+J127-((J127*$C$135+J127*$C$136)-(J127*#REF!+J127*#REF!)),0)</f>
        <v>#REF!</v>
      </c>
      <c r="K148" s="71" t="e">
        <f>ROUND(+K127-((K127*$C$135+K127*$C$136)-(K127*#REF!+K127*#REF!)),0)</f>
        <v>#REF!</v>
      </c>
      <c r="L148" s="71" t="e">
        <f>ROUND(+L127-((L127*$C$135+L127*$C$136)-(L127*#REF!+L127*#REF!)),0)</f>
        <v>#REF!</v>
      </c>
      <c r="M148" s="795"/>
      <c r="N148" s="27"/>
      <c r="O148" s="20"/>
    </row>
    <row r="149" spans="1:18" ht="24.95" customHeight="1">
      <c r="A149" s="63"/>
      <c r="N149" s="23"/>
    </row>
    <row r="150" spans="1:18" ht="24.95" customHeight="1">
      <c r="A150" s="63"/>
      <c r="N150" s="23"/>
    </row>
    <row r="151" spans="1:18" ht="24.95" customHeight="1">
      <c r="A151" s="63"/>
      <c r="N151" s="23"/>
    </row>
    <row r="152" spans="1:18" ht="24.95" customHeight="1">
      <c r="A152" s="63"/>
      <c r="N152" s="23"/>
    </row>
    <row r="153" spans="1:18" ht="24.95" customHeight="1">
      <c r="A153" s="63"/>
      <c r="C153" s="72"/>
      <c r="D153" s="72"/>
      <c r="E153" s="73"/>
      <c r="N153" s="23"/>
    </row>
    <row r="154" spans="1:18" ht="24.95" customHeight="1">
      <c r="A154" s="63"/>
      <c r="E154" s="74"/>
      <c r="N154" s="23"/>
    </row>
    <row r="155" spans="1:18" ht="24.95" customHeight="1">
      <c r="A155" s="63"/>
      <c r="N155" s="23"/>
    </row>
    <row r="156" spans="1:18" ht="24.95" customHeight="1">
      <c r="A156" s="63"/>
      <c r="N156" s="23"/>
    </row>
    <row r="157" spans="1:18" ht="24.95" customHeight="1">
      <c r="A157" s="63"/>
      <c r="N157" s="23"/>
    </row>
    <row r="158" spans="1:18" ht="24.95" customHeight="1">
      <c r="A158" s="63"/>
      <c r="N158" s="23"/>
    </row>
    <row r="159" spans="1:18" ht="24.95" customHeight="1">
      <c r="A159" s="63"/>
      <c r="N159" s="23"/>
    </row>
    <row r="160" spans="1:18" ht="24.95" customHeight="1">
      <c r="A160" s="63"/>
      <c r="N160" s="23"/>
    </row>
    <row r="161" spans="1:14" ht="24.95" customHeight="1">
      <c r="A161" s="63"/>
      <c r="N161" s="23"/>
    </row>
    <row r="162" spans="1:14" ht="24.95" customHeight="1">
      <c r="A162" s="63"/>
      <c r="N162" s="23"/>
    </row>
    <row r="163" spans="1:14" ht="24.95" customHeight="1">
      <c r="A163" s="63"/>
      <c r="N163" s="23"/>
    </row>
    <row r="164" spans="1:14" ht="24.95" customHeight="1">
      <c r="A164" s="63"/>
      <c r="N164" s="23"/>
    </row>
    <row r="165" spans="1:14" ht="24.95" customHeight="1">
      <c r="A165" s="63"/>
      <c r="N165" s="23"/>
    </row>
    <row r="166" spans="1:14" ht="24.95" customHeight="1">
      <c r="A166" s="63"/>
      <c r="N166" s="23"/>
    </row>
    <row r="167" spans="1:14" ht="24.95" customHeight="1">
      <c r="A167" s="63"/>
      <c r="N167" s="23"/>
    </row>
    <row r="168" spans="1:14" ht="24.95" customHeight="1">
      <c r="A168" s="63"/>
      <c r="N168" s="23"/>
    </row>
    <row r="169" spans="1:14" ht="24.95" customHeight="1">
      <c r="A169" s="63"/>
      <c r="N169" s="23"/>
    </row>
    <row r="170" spans="1:14" ht="24.95" customHeight="1">
      <c r="A170" s="63"/>
      <c r="N170" s="23"/>
    </row>
    <row r="171" spans="1:14" ht="24.95" customHeight="1">
      <c r="A171" s="63"/>
      <c r="N171" s="23"/>
    </row>
  </sheetData>
  <mergeCells count="70">
    <mergeCell ref="A84:A93"/>
    <mergeCell ref="O84:O93"/>
    <mergeCell ref="A94:A103"/>
    <mergeCell ref="O94:O103"/>
    <mergeCell ref="O14:O23"/>
    <mergeCell ref="O24:O33"/>
    <mergeCell ref="O34:O43"/>
    <mergeCell ref="O44:O53"/>
    <mergeCell ref="A133:B133"/>
    <mergeCell ref="C133:D133"/>
    <mergeCell ref="A117:B117"/>
    <mergeCell ref="A118:B118"/>
    <mergeCell ref="A119:B119"/>
    <mergeCell ref="A125:B125"/>
    <mergeCell ref="A127:B127"/>
    <mergeCell ref="A128:B128"/>
    <mergeCell ref="A129:B129"/>
    <mergeCell ref="A148:B148"/>
    <mergeCell ref="C135:D135"/>
    <mergeCell ref="C136:D136"/>
    <mergeCell ref="A144:B144"/>
    <mergeCell ref="A145:B145"/>
    <mergeCell ref="A143:B143"/>
    <mergeCell ref="A146:B146"/>
    <mergeCell ref="A147:B147"/>
    <mergeCell ref="A136:B136"/>
    <mergeCell ref="O104:O113"/>
    <mergeCell ref="A126:B126"/>
    <mergeCell ref="A120:B120"/>
    <mergeCell ref="A121:B121"/>
    <mergeCell ref="A122:B122"/>
    <mergeCell ref="A123:B123"/>
    <mergeCell ref="A124:B124"/>
    <mergeCell ref="F2:F3"/>
    <mergeCell ref="G2:G3"/>
    <mergeCell ref="H2:H3"/>
    <mergeCell ref="A24:A33"/>
    <mergeCell ref="A34:A43"/>
    <mergeCell ref="A14:A23"/>
    <mergeCell ref="A2:B3"/>
    <mergeCell ref="A4:A13"/>
    <mergeCell ref="K2:K3"/>
    <mergeCell ref="O54:O63"/>
    <mergeCell ref="O64:O73"/>
    <mergeCell ref="O74:O83"/>
    <mergeCell ref="O4:O13"/>
    <mergeCell ref="O2:O3"/>
    <mergeCell ref="L2:L3"/>
    <mergeCell ref="M2:M3"/>
    <mergeCell ref="G136:H136"/>
    <mergeCell ref="E134:F134"/>
    <mergeCell ref="E135:F135"/>
    <mergeCell ref="E136:F136"/>
    <mergeCell ref="C134:D134"/>
    <mergeCell ref="A134:B134"/>
    <mergeCell ref="A135:B135"/>
    <mergeCell ref="A104:A113"/>
    <mergeCell ref="J2:J3"/>
    <mergeCell ref="G133:H133"/>
    <mergeCell ref="G134:H134"/>
    <mergeCell ref="G135:H135"/>
    <mergeCell ref="E133:F133"/>
    <mergeCell ref="A44:A53"/>
    <mergeCell ref="A54:A63"/>
    <mergeCell ref="A64:A73"/>
    <mergeCell ref="A74:A83"/>
    <mergeCell ref="I2:I3"/>
    <mergeCell ref="C2:C3"/>
    <mergeCell ref="D2:D3"/>
    <mergeCell ref="E2:E3"/>
  </mergeCells>
  <phoneticPr fontId="7" type="noConversion"/>
  <pageMargins left="0.74803149606299213" right="0.74803149606299213" top="0.98425196850393704" bottom="0.98425196850393704" header="0.51181102362204722" footer="0.51181102362204722"/>
  <pageSetup paperSize="9" scale="80" orientation="portrait" r:id="rId1"/>
  <headerFooter alignWithMargins="0"/>
  <rowBreaks count="1" manualBreakCount="1">
    <brk id="93" max="9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 tint="0.59999389629810485"/>
  </sheetPr>
  <dimension ref="A1:O24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88" t="s">
        <v>472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2010</v>
      </c>
      <c r="C7" s="96"/>
      <c r="D7" s="97">
        <f>+'음성읍(10년)'!D12</f>
        <v>274</v>
      </c>
      <c r="E7" s="97"/>
      <c r="F7" s="98">
        <v>0</v>
      </c>
      <c r="G7" s="98"/>
      <c r="H7" s="99">
        <v>0</v>
      </c>
      <c r="I7" s="100"/>
      <c r="J7" s="101" t="s">
        <v>145</v>
      </c>
      <c r="K7" s="101">
        <v>1000</v>
      </c>
      <c r="L7" s="95"/>
      <c r="M7" s="95"/>
      <c r="N7" s="95"/>
      <c r="O7" s="95"/>
    </row>
    <row r="8" spans="1:15" ht="15" customHeight="1">
      <c r="A8" s="95"/>
      <c r="B8" s="96">
        <v>2011</v>
      </c>
      <c r="C8" s="96"/>
      <c r="D8" s="205">
        <f>+'음성읍(10년)'!D13</f>
        <v>228</v>
      </c>
      <c r="E8" s="97"/>
      <c r="F8" s="98">
        <f>D8-D7</f>
        <v>-46</v>
      </c>
      <c r="G8" s="98"/>
      <c r="H8" s="99">
        <f>ROUND(F8/D7*100,2)</f>
        <v>-16.79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96">
        <v>2012</v>
      </c>
      <c r="C9" s="96"/>
      <c r="D9" s="205">
        <f>+'음성읍(10년)'!D14</f>
        <v>241</v>
      </c>
      <c r="E9" s="97"/>
      <c r="F9" s="98">
        <f>D9-D8</f>
        <v>13</v>
      </c>
      <c r="G9" s="98"/>
      <c r="H9" s="99">
        <f>ROUND(F9/D8*100,2)</f>
        <v>5.7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96">
        <v>2013</v>
      </c>
      <c r="C10" s="96"/>
      <c r="D10" s="205">
        <f>+'음성읍(10년)'!D15</f>
        <v>252</v>
      </c>
      <c r="E10" s="97"/>
      <c r="F10" s="98">
        <f>D10-D9</f>
        <v>11</v>
      </c>
      <c r="G10" s="98"/>
      <c r="H10" s="99">
        <f>ROUND(F10/D9*100,2)</f>
        <v>4.5599999999999996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96">
        <v>2014</v>
      </c>
      <c r="C11" s="96"/>
      <c r="D11" s="205">
        <f>+'음성읍(10년)'!D16</f>
        <v>292</v>
      </c>
      <c r="E11" s="97"/>
      <c r="F11" s="98">
        <f>D11-D10</f>
        <v>40</v>
      </c>
      <c r="G11" s="98"/>
      <c r="H11" s="99">
        <f>ROUND(F11/D10*100,2)</f>
        <v>15.87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 thickBot="1">
      <c r="A12" s="95"/>
      <c r="B12" s="103" t="s">
        <v>146</v>
      </c>
      <c r="C12" s="104"/>
      <c r="D12" s="105">
        <f>SUM(D7:D11)</f>
        <v>1287</v>
      </c>
      <c r="E12" s="106"/>
      <c r="F12" s="107"/>
      <c r="G12" s="107"/>
      <c r="H12" s="108">
        <f>SUM(H7:H11)</f>
        <v>9.34</v>
      </c>
      <c r="I12" s="108"/>
      <c r="J12" s="109">
        <f>ROUND(AVERAGE(H7:H11),1)</f>
        <v>1.9</v>
      </c>
      <c r="K12" s="109"/>
      <c r="L12" s="95"/>
      <c r="M12" s="95"/>
      <c r="N12" s="95"/>
      <c r="O12" s="95"/>
    </row>
    <row r="13" spans="1:15" ht="1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</row>
    <row r="14" spans="1:15" ht="15" customHeight="1">
      <c r="A14" s="95"/>
      <c r="B14" s="110" t="s">
        <v>147</v>
      </c>
      <c r="C14" s="111"/>
      <c r="D14" s="111"/>
      <c r="E14" s="111"/>
      <c r="F14" s="111"/>
      <c r="G14" s="95"/>
      <c r="H14" s="95"/>
      <c r="I14" s="95"/>
      <c r="J14" s="95"/>
      <c r="K14" s="95"/>
      <c r="L14" s="95"/>
      <c r="M14" s="95"/>
      <c r="N14" s="95"/>
      <c r="O14" s="95"/>
    </row>
    <row r="15" spans="1:15" ht="15" customHeight="1">
      <c r="A15" s="95"/>
      <c r="B15" s="95"/>
      <c r="C15" s="111" t="s">
        <v>148</v>
      </c>
      <c r="D15" s="111" t="s">
        <v>149</v>
      </c>
      <c r="E15" s="111"/>
      <c r="F15" s="111"/>
      <c r="G15" s="95"/>
      <c r="H15" s="95"/>
      <c r="I15" s="95"/>
      <c r="J15" s="95"/>
      <c r="K15" s="95"/>
      <c r="L15" s="95"/>
      <c r="M15" s="95"/>
      <c r="N15" s="95"/>
      <c r="O15" s="95"/>
    </row>
    <row r="16" spans="1:15" ht="15" customHeight="1">
      <c r="A16" s="95"/>
      <c r="B16" s="93"/>
      <c r="C16" s="93" t="s">
        <v>150</v>
      </c>
      <c r="D16" s="111" t="s">
        <v>151</v>
      </c>
      <c r="E16" s="93"/>
      <c r="F16" s="93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5" customHeight="1">
      <c r="A17" s="95"/>
      <c r="B17" s="111"/>
      <c r="C17" s="111"/>
      <c r="D17" s="111" t="s">
        <v>152</v>
      </c>
      <c r="E17" s="111"/>
      <c r="F17" s="111"/>
      <c r="G17" s="95"/>
      <c r="H17" s="95"/>
      <c r="I17" s="95"/>
      <c r="J17" s="95"/>
      <c r="K17" s="95"/>
      <c r="L17" s="95"/>
      <c r="M17" s="95"/>
      <c r="N17" s="95"/>
      <c r="O17" s="95"/>
    </row>
    <row r="18" spans="1:15" ht="15" customHeight="1">
      <c r="A18" s="95"/>
      <c r="B18" s="111"/>
      <c r="C18" s="111"/>
      <c r="D18" s="111" t="s">
        <v>153</v>
      </c>
      <c r="E18" s="111"/>
      <c r="F18" s="111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 thickBot="1">
      <c r="A19" s="95"/>
      <c r="B19" s="95"/>
      <c r="C19" s="95"/>
      <c r="D19" s="95"/>
      <c r="E19" s="95"/>
      <c r="F19" s="100" t="s">
        <v>154</v>
      </c>
      <c r="G19" s="100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4" t="s">
        <v>155</v>
      </c>
      <c r="C20" s="94"/>
      <c r="D20" s="94" t="s">
        <v>156</v>
      </c>
      <c r="E20" s="94"/>
      <c r="F20" s="94" t="s">
        <v>157</v>
      </c>
      <c r="G20" s="94"/>
      <c r="H20" s="94" t="s">
        <v>158</v>
      </c>
      <c r="I20" s="94"/>
      <c r="J20" s="94" t="s">
        <v>159</v>
      </c>
      <c r="K20" s="94"/>
      <c r="L20" s="95"/>
      <c r="M20" s="95"/>
      <c r="N20" s="95"/>
      <c r="O20" s="95"/>
    </row>
    <row r="21" spans="1:15" ht="15" customHeight="1">
      <c r="A21" s="95"/>
      <c r="B21" s="112">
        <v>2014</v>
      </c>
      <c r="C21" s="113"/>
      <c r="D21" s="113">
        <f t="shared" ref="D21:D42" si="0">ROUND(E$43+H$43*(B21-$C$4),0)</f>
        <v>292</v>
      </c>
      <c r="E21" s="113"/>
      <c r="F21" s="113">
        <v>0</v>
      </c>
      <c r="G21" s="113"/>
      <c r="H21" s="113">
        <f t="shared" ref="H21:H42" si="1">ROUND(D21*(1+F21),0)</f>
        <v>292</v>
      </c>
      <c r="I21" s="113"/>
      <c r="J21" s="114">
        <v>0</v>
      </c>
      <c r="K21" s="114"/>
      <c r="L21" s="95"/>
      <c r="M21" s="95"/>
      <c r="N21" s="95"/>
      <c r="O21" s="95"/>
    </row>
    <row r="22" spans="1:15" ht="15" customHeight="1">
      <c r="A22" s="95"/>
      <c r="B22" s="115">
        <v>2015</v>
      </c>
      <c r="C22" s="116"/>
      <c r="D22" s="116">
        <f t="shared" si="0"/>
        <v>297</v>
      </c>
      <c r="E22" s="116"/>
      <c r="F22" s="116">
        <v>0</v>
      </c>
      <c r="G22" s="116"/>
      <c r="H22" s="116">
        <f t="shared" si="1"/>
        <v>297</v>
      </c>
      <c r="I22" s="116"/>
      <c r="J22" s="117">
        <v>0</v>
      </c>
      <c r="K22" s="117"/>
      <c r="L22" s="95"/>
      <c r="M22" s="95"/>
      <c r="N22" s="95"/>
      <c r="O22" s="95"/>
    </row>
    <row r="23" spans="1:15" ht="15" customHeight="1">
      <c r="A23" s="95"/>
      <c r="B23" s="112">
        <v>2016</v>
      </c>
      <c r="C23" s="113"/>
      <c r="D23" s="113">
        <f t="shared" si="0"/>
        <v>301</v>
      </c>
      <c r="E23" s="113"/>
      <c r="F23" s="113">
        <v>0</v>
      </c>
      <c r="G23" s="113"/>
      <c r="H23" s="113">
        <f t="shared" si="1"/>
        <v>301</v>
      </c>
      <c r="I23" s="113"/>
      <c r="J23" s="114">
        <v>0</v>
      </c>
      <c r="K23" s="114"/>
      <c r="L23" s="95"/>
      <c r="M23" s="95"/>
      <c r="N23" s="95"/>
      <c r="O23" s="95"/>
    </row>
    <row r="24" spans="1:15" ht="15" customHeight="1">
      <c r="A24" s="95"/>
      <c r="B24" s="112">
        <v>2017</v>
      </c>
      <c r="C24" s="113"/>
      <c r="D24" s="113">
        <f t="shared" si="0"/>
        <v>306</v>
      </c>
      <c r="E24" s="113"/>
      <c r="F24" s="113">
        <v>0</v>
      </c>
      <c r="G24" s="113"/>
      <c r="H24" s="113">
        <f t="shared" si="1"/>
        <v>306</v>
      </c>
      <c r="I24" s="113"/>
      <c r="J24" s="114">
        <v>0</v>
      </c>
      <c r="K24" s="114"/>
      <c r="L24" s="95"/>
      <c r="M24" s="95"/>
      <c r="N24" s="95"/>
      <c r="O24" s="95"/>
    </row>
    <row r="25" spans="1:15" ht="15" customHeight="1">
      <c r="A25" s="95"/>
      <c r="B25" s="112">
        <v>2018</v>
      </c>
      <c r="C25" s="113"/>
      <c r="D25" s="113">
        <f t="shared" si="0"/>
        <v>310</v>
      </c>
      <c r="E25" s="113"/>
      <c r="F25" s="113">
        <v>0</v>
      </c>
      <c r="G25" s="113"/>
      <c r="H25" s="113">
        <f t="shared" si="1"/>
        <v>310</v>
      </c>
      <c r="I25" s="113"/>
      <c r="J25" s="114">
        <v>0</v>
      </c>
      <c r="K25" s="114"/>
      <c r="L25" s="95"/>
      <c r="M25" s="95"/>
      <c r="N25" s="95"/>
      <c r="O25" s="95"/>
    </row>
    <row r="26" spans="1:15" ht="15" customHeight="1">
      <c r="A26" s="95"/>
      <c r="B26" s="112">
        <v>2019</v>
      </c>
      <c r="C26" s="113"/>
      <c r="D26" s="113">
        <f t="shared" si="0"/>
        <v>315</v>
      </c>
      <c r="E26" s="113"/>
      <c r="F26" s="113">
        <v>0</v>
      </c>
      <c r="G26" s="113"/>
      <c r="H26" s="113">
        <f t="shared" si="1"/>
        <v>315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2020</v>
      </c>
      <c r="C27" s="116"/>
      <c r="D27" s="116">
        <f t="shared" si="0"/>
        <v>319</v>
      </c>
      <c r="E27" s="116"/>
      <c r="F27" s="116">
        <v>0</v>
      </c>
      <c r="G27" s="116"/>
      <c r="H27" s="116">
        <f t="shared" si="1"/>
        <v>319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2021</v>
      </c>
      <c r="C28" s="113"/>
      <c r="D28" s="113">
        <f t="shared" si="0"/>
        <v>324</v>
      </c>
      <c r="E28" s="113"/>
      <c r="F28" s="113">
        <v>0</v>
      </c>
      <c r="G28" s="113"/>
      <c r="H28" s="113">
        <f t="shared" si="1"/>
        <v>324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2022</v>
      </c>
      <c r="C29" s="113"/>
      <c r="D29" s="113">
        <f t="shared" si="0"/>
        <v>328</v>
      </c>
      <c r="E29" s="113"/>
      <c r="F29" s="113">
        <v>0</v>
      </c>
      <c r="G29" s="113"/>
      <c r="H29" s="113">
        <f t="shared" si="1"/>
        <v>328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2023</v>
      </c>
      <c r="C30" s="113"/>
      <c r="D30" s="113">
        <f t="shared" si="0"/>
        <v>333</v>
      </c>
      <c r="E30" s="113"/>
      <c r="F30" s="113">
        <v>0</v>
      </c>
      <c r="G30" s="113"/>
      <c r="H30" s="113">
        <f t="shared" si="1"/>
        <v>333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2024</v>
      </c>
      <c r="C31" s="113"/>
      <c r="D31" s="113">
        <f t="shared" si="0"/>
        <v>337</v>
      </c>
      <c r="E31" s="113"/>
      <c r="F31" s="113">
        <v>0</v>
      </c>
      <c r="G31" s="113"/>
      <c r="H31" s="113">
        <f t="shared" si="1"/>
        <v>337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2025</v>
      </c>
      <c r="C32" s="116"/>
      <c r="D32" s="116">
        <f t="shared" si="0"/>
        <v>342</v>
      </c>
      <c r="E32" s="116"/>
      <c r="F32" s="116">
        <v>0</v>
      </c>
      <c r="G32" s="116"/>
      <c r="H32" s="116">
        <f t="shared" si="1"/>
        <v>342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2026</v>
      </c>
      <c r="C33" s="113"/>
      <c r="D33" s="113">
        <f t="shared" si="0"/>
        <v>346</v>
      </c>
      <c r="E33" s="113"/>
      <c r="F33" s="113">
        <v>0</v>
      </c>
      <c r="G33" s="113"/>
      <c r="H33" s="113">
        <f t="shared" si="1"/>
        <v>346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2027</v>
      </c>
      <c r="C34" s="113"/>
      <c r="D34" s="113">
        <f t="shared" si="0"/>
        <v>351</v>
      </c>
      <c r="E34" s="113"/>
      <c r="F34" s="113">
        <v>0</v>
      </c>
      <c r="G34" s="113"/>
      <c r="H34" s="113">
        <f t="shared" si="1"/>
        <v>351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2028</v>
      </c>
      <c r="C35" s="113"/>
      <c r="D35" s="113">
        <f t="shared" si="0"/>
        <v>355</v>
      </c>
      <c r="E35" s="113"/>
      <c r="F35" s="113">
        <v>0</v>
      </c>
      <c r="G35" s="113"/>
      <c r="H35" s="113">
        <f t="shared" si="1"/>
        <v>355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2029</v>
      </c>
      <c r="C36" s="113"/>
      <c r="D36" s="113">
        <f t="shared" si="0"/>
        <v>360</v>
      </c>
      <c r="E36" s="113"/>
      <c r="F36" s="113">
        <v>0</v>
      </c>
      <c r="G36" s="113"/>
      <c r="H36" s="113">
        <f t="shared" si="1"/>
        <v>360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2030</v>
      </c>
      <c r="C37" s="116"/>
      <c r="D37" s="116">
        <f t="shared" si="0"/>
        <v>364</v>
      </c>
      <c r="E37" s="116"/>
      <c r="F37" s="116">
        <v>0</v>
      </c>
      <c r="G37" s="116"/>
      <c r="H37" s="116">
        <f t="shared" si="1"/>
        <v>364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2031</v>
      </c>
      <c r="C38" s="113"/>
      <c r="D38" s="113">
        <f t="shared" si="0"/>
        <v>369</v>
      </c>
      <c r="E38" s="113"/>
      <c r="F38" s="113">
        <v>0</v>
      </c>
      <c r="G38" s="113"/>
      <c r="H38" s="113">
        <f t="shared" si="1"/>
        <v>369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2032</v>
      </c>
      <c r="C39" s="113"/>
      <c r="D39" s="113">
        <f t="shared" si="0"/>
        <v>373</v>
      </c>
      <c r="E39" s="113"/>
      <c r="F39" s="113">
        <v>0</v>
      </c>
      <c r="G39" s="113"/>
      <c r="H39" s="113">
        <f t="shared" si="1"/>
        <v>373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2033</v>
      </c>
      <c r="C40" s="113"/>
      <c r="D40" s="113">
        <f t="shared" si="0"/>
        <v>378</v>
      </c>
      <c r="E40" s="113"/>
      <c r="F40" s="113">
        <v>0</v>
      </c>
      <c r="G40" s="113"/>
      <c r="H40" s="113">
        <f t="shared" si="1"/>
        <v>378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2034</v>
      </c>
      <c r="C41" s="113"/>
      <c r="D41" s="113">
        <f t="shared" si="0"/>
        <v>382</v>
      </c>
      <c r="E41" s="113"/>
      <c r="F41" s="113">
        <v>0</v>
      </c>
      <c r="G41" s="113"/>
      <c r="H41" s="113">
        <f t="shared" si="1"/>
        <v>382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 thickBot="1">
      <c r="A42" s="95"/>
      <c r="B42" s="115">
        <v>2035</v>
      </c>
      <c r="C42" s="116"/>
      <c r="D42" s="116">
        <f t="shared" si="0"/>
        <v>387</v>
      </c>
      <c r="E42" s="116"/>
      <c r="F42" s="116">
        <v>0</v>
      </c>
      <c r="G42" s="116"/>
      <c r="H42" s="116">
        <f t="shared" si="1"/>
        <v>387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8" t="s">
        <v>160</v>
      </c>
      <c r="C43" s="118"/>
      <c r="D43" s="119" t="s">
        <v>161</v>
      </c>
      <c r="E43" s="120">
        <f>D$11</f>
        <v>292</v>
      </c>
      <c r="F43" s="121"/>
      <c r="G43" s="119" t="s">
        <v>162</v>
      </c>
      <c r="H43" s="119">
        <f>ROUND((D$11-D$7)/(COUNT(D$7:D$11)-1),1)</f>
        <v>4.5</v>
      </c>
      <c r="I43" s="119"/>
      <c r="J43" s="119" t="s">
        <v>163</v>
      </c>
      <c r="K43" s="122" t="s">
        <v>164</v>
      </c>
      <c r="L43" s="95"/>
      <c r="M43" s="95"/>
      <c r="N43" s="95"/>
      <c r="O43" s="95"/>
    </row>
    <row r="44" spans="1:15" ht="15" customHeight="1">
      <c r="A44" s="95"/>
      <c r="B44" s="123"/>
      <c r="C44" s="123"/>
      <c r="D44" s="124"/>
      <c r="E44" s="125"/>
      <c r="F44" s="126"/>
      <c r="G44" s="124"/>
      <c r="H44" s="124"/>
      <c r="I44" s="124"/>
      <c r="J44" s="124"/>
      <c r="K44" s="127"/>
      <c r="L44" s="95"/>
      <c r="M44" s="95"/>
      <c r="N44" s="95"/>
      <c r="O44" s="95"/>
    </row>
    <row r="45" spans="1:15" ht="1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1:15" ht="1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1:15" ht="15" customHeight="1">
      <c r="A47" s="95"/>
      <c r="B47" s="110" t="s">
        <v>165</v>
      </c>
      <c r="C47" s="111"/>
      <c r="D47" s="111"/>
      <c r="E47" s="111"/>
      <c r="F47" s="111"/>
      <c r="G47" s="111"/>
      <c r="H47" s="95"/>
      <c r="I47" s="95"/>
      <c r="J47" s="95"/>
      <c r="K47" s="95"/>
      <c r="L47" s="95"/>
      <c r="M47" s="95"/>
      <c r="N47" s="95"/>
      <c r="O47" s="95"/>
    </row>
    <row r="48" spans="1:15" ht="15" customHeight="1">
      <c r="A48" s="95"/>
      <c r="B48" s="95"/>
      <c r="C48" s="111" t="s">
        <v>166</v>
      </c>
      <c r="D48" s="111" t="s">
        <v>167</v>
      </c>
      <c r="E48" s="111"/>
      <c r="F48" s="111"/>
      <c r="G48" s="111"/>
      <c r="H48" s="95"/>
      <c r="I48" s="95"/>
      <c r="J48" s="95"/>
      <c r="K48" s="95"/>
      <c r="L48" s="95"/>
      <c r="M48" s="95"/>
      <c r="N48" s="95"/>
      <c r="O48" s="95"/>
    </row>
    <row r="49" spans="1:15" ht="15" customHeight="1">
      <c r="A49" s="95"/>
      <c r="B49" s="93"/>
      <c r="C49" s="93" t="s">
        <v>168</v>
      </c>
      <c r="D49" s="111" t="s">
        <v>169</v>
      </c>
      <c r="E49" s="93"/>
      <c r="F49" s="93"/>
      <c r="G49" s="93"/>
      <c r="H49" s="95"/>
      <c r="I49" s="95"/>
      <c r="J49" s="95"/>
      <c r="K49" s="95"/>
      <c r="L49" s="95"/>
      <c r="M49" s="95"/>
      <c r="N49" s="95"/>
      <c r="O49" s="95"/>
    </row>
    <row r="50" spans="1:15" ht="15" customHeight="1">
      <c r="A50" s="95"/>
      <c r="B50" s="111"/>
      <c r="C50" s="111"/>
      <c r="D50" s="111" t="s">
        <v>170</v>
      </c>
      <c r="E50" s="111"/>
      <c r="F50" s="111"/>
      <c r="G50" s="111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111"/>
      <c r="C51" s="111"/>
      <c r="D51" s="111" t="s">
        <v>171</v>
      </c>
      <c r="E51" s="111"/>
      <c r="F51" s="111"/>
      <c r="G51" s="111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15" ht="15" customHeight="1" thickBot="1">
      <c r="A53" s="95"/>
      <c r="B53" s="95"/>
      <c r="C53" s="95"/>
      <c r="D53" s="95"/>
      <c r="E53" s="95"/>
      <c r="F53" s="100" t="s">
        <v>172</v>
      </c>
      <c r="G53" s="100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4" t="s">
        <v>173</v>
      </c>
      <c r="C54" s="94"/>
      <c r="D54" s="94" t="s">
        <v>174</v>
      </c>
      <c r="E54" s="94"/>
      <c r="F54" s="94" t="s">
        <v>175</v>
      </c>
      <c r="G54" s="94"/>
      <c r="H54" s="94" t="s">
        <v>176</v>
      </c>
      <c r="I54" s="94"/>
      <c r="J54" s="94" t="s">
        <v>144</v>
      </c>
      <c r="K54" s="94"/>
      <c r="L54" s="95"/>
      <c r="M54" s="95"/>
      <c r="N54" s="95"/>
      <c r="O54" s="95"/>
    </row>
    <row r="55" spans="1:15" ht="15" customHeight="1">
      <c r="A55" s="95"/>
      <c r="B55" s="112">
        <v>2014</v>
      </c>
      <c r="C55" s="113"/>
      <c r="D55" s="113">
        <f t="shared" ref="D55:D76" si="2">ROUND(E$77*H$77^(B55-$C$4),0)</f>
        <v>292</v>
      </c>
      <c r="E55" s="113"/>
      <c r="F55" s="113">
        <v>0</v>
      </c>
      <c r="G55" s="113"/>
      <c r="H55" s="113">
        <f t="shared" ref="H55:H76" si="3">ROUND(D55*(1+F55),0)</f>
        <v>292</v>
      </c>
      <c r="I55" s="113"/>
      <c r="J55" s="114">
        <v>0</v>
      </c>
      <c r="K55" s="114"/>
      <c r="L55" s="95"/>
      <c r="M55" s="95"/>
      <c r="N55" s="95"/>
      <c r="O55" s="95"/>
    </row>
    <row r="56" spans="1:15" ht="15" customHeight="1">
      <c r="A56" s="95"/>
      <c r="B56" s="115">
        <v>2015</v>
      </c>
      <c r="C56" s="116"/>
      <c r="D56" s="116">
        <f t="shared" si="2"/>
        <v>297</v>
      </c>
      <c r="E56" s="116"/>
      <c r="F56" s="116">
        <v>0</v>
      </c>
      <c r="G56" s="116"/>
      <c r="H56" s="116">
        <f t="shared" si="3"/>
        <v>297</v>
      </c>
      <c r="I56" s="116"/>
      <c r="J56" s="117">
        <v>0</v>
      </c>
      <c r="K56" s="117"/>
      <c r="L56" s="95"/>
      <c r="M56" s="95"/>
      <c r="N56" s="95"/>
      <c r="O56" s="95"/>
    </row>
    <row r="57" spans="1:15" ht="15" customHeight="1">
      <c r="A57" s="95"/>
      <c r="B57" s="112">
        <v>2016</v>
      </c>
      <c r="C57" s="113"/>
      <c r="D57" s="113">
        <f t="shared" si="2"/>
        <v>301</v>
      </c>
      <c r="E57" s="113"/>
      <c r="F57" s="113">
        <v>0</v>
      </c>
      <c r="G57" s="113"/>
      <c r="H57" s="113">
        <f t="shared" si="3"/>
        <v>301</v>
      </c>
      <c r="I57" s="113"/>
      <c r="J57" s="114">
        <v>0</v>
      </c>
      <c r="K57" s="114"/>
      <c r="L57" s="95"/>
      <c r="M57" s="95"/>
      <c r="N57" s="95"/>
      <c r="O57" s="95"/>
    </row>
    <row r="58" spans="1:15" ht="15" customHeight="1">
      <c r="A58" s="95"/>
      <c r="B58" s="112">
        <v>2017</v>
      </c>
      <c r="C58" s="113"/>
      <c r="D58" s="113">
        <f t="shared" si="2"/>
        <v>306</v>
      </c>
      <c r="E58" s="113"/>
      <c r="F58" s="113">
        <v>0</v>
      </c>
      <c r="G58" s="113"/>
      <c r="H58" s="113">
        <f t="shared" si="3"/>
        <v>306</v>
      </c>
      <c r="I58" s="113"/>
      <c r="J58" s="114">
        <v>0</v>
      </c>
      <c r="K58" s="114"/>
      <c r="L58" s="95"/>
      <c r="M58" s="95"/>
      <c r="N58" s="95"/>
      <c r="O58" s="95"/>
    </row>
    <row r="59" spans="1:15" ht="15" customHeight="1">
      <c r="A59" s="95"/>
      <c r="B59" s="112">
        <v>2018</v>
      </c>
      <c r="C59" s="113"/>
      <c r="D59" s="113">
        <f t="shared" si="2"/>
        <v>311</v>
      </c>
      <c r="E59" s="113"/>
      <c r="F59" s="113">
        <v>0</v>
      </c>
      <c r="G59" s="113"/>
      <c r="H59" s="113">
        <f t="shared" si="3"/>
        <v>311</v>
      </c>
      <c r="I59" s="113"/>
      <c r="J59" s="114">
        <v>0</v>
      </c>
      <c r="K59" s="114"/>
      <c r="L59" s="95"/>
      <c r="M59" s="95"/>
      <c r="N59" s="95"/>
      <c r="O59" s="95"/>
    </row>
    <row r="60" spans="1:15" ht="15" customHeight="1">
      <c r="A60" s="95"/>
      <c r="B60" s="112">
        <v>2019</v>
      </c>
      <c r="C60" s="113"/>
      <c r="D60" s="113">
        <f t="shared" si="2"/>
        <v>316</v>
      </c>
      <c r="E60" s="113"/>
      <c r="F60" s="113">
        <v>0</v>
      </c>
      <c r="G60" s="113"/>
      <c r="H60" s="113">
        <f t="shared" si="3"/>
        <v>316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2020</v>
      </c>
      <c r="C61" s="116"/>
      <c r="D61" s="116">
        <f t="shared" si="2"/>
        <v>321</v>
      </c>
      <c r="E61" s="116"/>
      <c r="F61" s="116">
        <v>0</v>
      </c>
      <c r="G61" s="116"/>
      <c r="H61" s="116">
        <f t="shared" si="3"/>
        <v>321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2021</v>
      </c>
      <c r="C62" s="113"/>
      <c r="D62" s="113">
        <f t="shared" si="2"/>
        <v>326</v>
      </c>
      <c r="E62" s="113"/>
      <c r="F62" s="113">
        <v>0</v>
      </c>
      <c r="G62" s="113"/>
      <c r="H62" s="113">
        <f t="shared" si="3"/>
        <v>326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2022</v>
      </c>
      <c r="C63" s="113"/>
      <c r="D63" s="113">
        <f t="shared" si="2"/>
        <v>332</v>
      </c>
      <c r="E63" s="113"/>
      <c r="F63" s="113">
        <v>0</v>
      </c>
      <c r="G63" s="113"/>
      <c r="H63" s="113">
        <f t="shared" si="3"/>
        <v>332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2023</v>
      </c>
      <c r="C64" s="113"/>
      <c r="D64" s="113">
        <f t="shared" si="2"/>
        <v>337</v>
      </c>
      <c r="E64" s="113"/>
      <c r="F64" s="113">
        <v>0</v>
      </c>
      <c r="G64" s="113"/>
      <c r="H64" s="113">
        <f t="shared" si="3"/>
        <v>337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2024</v>
      </c>
      <c r="C65" s="113"/>
      <c r="D65" s="113">
        <f t="shared" si="2"/>
        <v>342</v>
      </c>
      <c r="E65" s="113"/>
      <c r="F65" s="113">
        <v>0</v>
      </c>
      <c r="G65" s="113"/>
      <c r="H65" s="113">
        <f t="shared" si="3"/>
        <v>342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2025</v>
      </c>
      <c r="C66" s="116"/>
      <c r="D66" s="116">
        <f t="shared" si="2"/>
        <v>348</v>
      </c>
      <c r="E66" s="116"/>
      <c r="F66" s="116">
        <v>0</v>
      </c>
      <c r="G66" s="116"/>
      <c r="H66" s="116">
        <f t="shared" si="3"/>
        <v>348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2026</v>
      </c>
      <c r="C67" s="113"/>
      <c r="D67" s="113">
        <f t="shared" si="2"/>
        <v>353</v>
      </c>
      <c r="E67" s="113"/>
      <c r="F67" s="113">
        <v>0</v>
      </c>
      <c r="G67" s="113"/>
      <c r="H67" s="113">
        <f t="shared" si="3"/>
        <v>353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2027</v>
      </c>
      <c r="C68" s="113"/>
      <c r="D68" s="113">
        <f t="shared" si="2"/>
        <v>359</v>
      </c>
      <c r="E68" s="113"/>
      <c r="F68" s="113">
        <v>0</v>
      </c>
      <c r="G68" s="113"/>
      <c r="H68" s="113">
        <f t="shared" si="3"/>
        <v>359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2028</v>
      </c>
      <c r="C69" s="113"/>
      <c r="D69" s="113">
        <f t="shared" si="2"/>
        <v>365</v>
      </c>
      <c r="E69" s="113"/>
      <c r="F69" s="113">
        <v>0</v>
      </c>
      <c r="G69" s="113"/>
      <c r="H69" s="113">
        <f t="shared" si="3"/>
        <v>365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2029</v>
      </c>
      <c r="C70" s="113"/>
      <c r="D70" s="113">
        <f t="shared" si="2"/>
        <v>371</v>
      </c>
      <c r="E70" s="113"/>
      <c r="F70" s="113">
        <v>0</v>
      </c>
      <c r="G70" s="113"/>
      <c r="H70" s="113">
        <f t="shared" si="3"/>
        <v>371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2030</v>
      </c>
      <c r="C71" s="116"/>
      <c r="D71" s="116">
        <f t="shared" si="2"/>
        <v>377</v>
      </c>
      <c r="E71" s="116"/>
      <c r="F71" s="116">
        <v>0</v>
      </c>
      <c r="G71" s="116"/>
      <c r="H71" s="116">
        <f t="shared" si="3"/>
        <v>377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2031</v>
      </c>
      <c r="C72" s="113"/>
      <c r="D72" s="113">
        <f t="shared" si="2"/>
        <v>383</v>
      </c>
      <c r="E72" s="113"/>
      <c r="F72" s="113">
        <v>0</v>
      </c>
      <c r="G72" s="113"/>
      <c r="H72" s="113">
        <f t="shared" si="3"/>
        <v>383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2032</v>
      </c>
      <c r="C73" s="113"/>
      <c r="D73" s="113">
        <f t="shared" si="2"/>
        <v>389</v>
      </c>
      <c r="E73" s="113"/>
      <c r="F73" s="113">
        <v>0</v>
      </c>
      <c r="G73" s="113"/>
      <c r="H73" s="113">
        <f t="shared" si="3"/>
        <v>389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2033</v>
      </c>
      <c r="C74" s="113"/>
      <c r="D74" s="113">
        <f t="shared" si="2"/>
        <v>395</v>
      </c>
      <c r="E74" s="113"/>
      <c r="F74" s="113">
        <v>0</v>
      </c>
      <c r="G74" s="113"/>
      <c r="H74" s="113">
        <f t="shared" si="3"/>
        <v>395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2034</v>
      </c>
      <c r="C75" s="113"/>
      <c r="D75" s="113">
        <f t="shared" si="2"/>
        <v>401</v>
      </c>
      <c r="E75" s="113"/>
      <c r="F75" s="113">
        <v>0</v>
      </c>
      <c r="G75" s="113"/>
      <c r="H75" s="113">
        <f t="shared" si="3"/>
        <v>401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 thickBot="1">
      <c r="A76" s="95"/>
      <c r="B76" s="115">
        <v>2035</v>
      </c>
      <c r="C76" s="116"/>
      <c r="D76" s="116">
        <f t="shared" si="2"/>
        <v>408</v>
      </c>
      <c r="E76" s="116"/>
      <c r="F76" s="116">
        <v>0</v>
      </c>
      <c r="G76" s="116"/>
      <c r="H76" s="116">
        <f t="shared" si="3"/>
        <v>408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8" t="s">
        <v>177</v>
      </c>
      <c r="C77" s="118"/>
      <c r="D77" s="119" t="s">
        <v>178</v>
      </c>
      <c r="E77" s="120">
        <f>D$11</f>
        <v>292</v>
      </c>
      <c r="F77" s="121"/>
      <c r="G77" s="119" t="s">
        <v>179</v>
      </c>
      <c r="H77" s="119">
        <f>ROUND((E$77/D$7)^(1/(COUNT(D$7:D$11)-1)),6)</f>
        <v>1.0160340000000001</v>
      </c>
      <c r="I77" s="119"/>
      <c r="J77" s="119" t="s">
        <v>180</v>
      </c>
      <c r="K77" s="122" t="s">
        <v>181</v>
      </c>
      <c r="L77" s="95"/>
      <c r="M77" s="95"/>
      <c r="N77" s="95"/>
      <c r="O77" s="95"/>
    </row>
    <row r="78" spans="1:15" ht="1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1:15" ht="1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1:15" ht="1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</row>
    <row r="81" spans="1:15" ht="1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</row>
    <row r="82" spans="1:15" ht="1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110" t="s">
        <v>182</v>
      </c>
      <c r="C87" s="111"/>
      <c r="D87" s="111"/>
      <c r="E87" s="111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111" t="s">
        <v>183</v>
      </c>
      <c r="D88" s="111" t="s">
        <v>184</v>
      </c>
      <c r="E88" s="111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111"/>
      <c r="C89" s="128" t="s">
        <v>185</v>
      </c>
      <c r="D89" s="111" t="s">
        <v>186</v>
      </c>
      <c r="E89" s="93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111"/>
      <c r="C90" s="111"/>
      <c r="D90" s="111" t="s">
        <v>187</v>
      </c>
      <c r="E90" s="111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3"/>
      <c r="C91" s="111"/>
      <c r="D91" s="111" t="s">
        <v>188</v>
      </c>
      <c r="E91" s="111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 thickBot="1">
      <c r="A92" s="95"/>
      <c r="B92" s="95"/>
      <c r="C92" s="95"/>
      <c r="D92" s="95"/>
      <c r="E92" s="95"/>
      <c r="F92" s="100" t="s">
        <v>189</v>
      </c>
      <c r="G92" s="100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4" t="s">
        <v>190</v>
      </c>
      <c r="C93" s="94"/>
      <c r="D93" s="94" t="s">
        <v>191</v>
      </c>
      <c r="E93" s="94" t="s">
        <v>192</v>
      </c>
      <c r="F93" s="94" t="s">
        <v>193</v>
      </c>
      <c r="G93" s="94"/>
      <c r="H93" s="94" t="s">
        <v>194</v>
      </c>
      <c r="I93" s="94"/>
      <c r="J93" s="94" t="s">
        <v>195</v>
      </c>
      <c r="K93" s="94"/>
      <c r="L93" s="95"/>
      <c r="M93" s="95"/>
      <c r="N93" s="95"/>
      <c r="O93" s="95"/>
    </row>
    <row r="94" spans="1:15" ht="15" customHeight="1">
      <c r="A94" s="95"/>
      <c r="B94" s="96">
        <f>B7</f>
        <v>2010</v>
      </c>
      <c r="C94" s="96"/>
      <c r="D94" s="100">
        <f>VLOOKUP(B94,B$7:E$11,3,FALSE)</f>
        <v>274</v>
      </c>
      <c r="E94" s="96">
        <f>((COUNT(B$94:B$98)-1)/2)+(B94-$C$4)</f>
        <v>-2</v>
      </c>
      <c r="F94" s="100">
        <f>E94^2</f>
        <v>4</v>
      </c>
      <c r="G94" s="98"/>
      <c r="H94" s="130">
        <f>ROUND(D94*E94,2)</f>
        <v>-548</v>
      </c>
      <c r="I94" s="131"/>
      <c r="J94" s="102">
        <v>0</v>
      </c>
      <c r="K94" s="102"/>
      <c r="L94" s="95"/>
      <c r="M94" s="95"/>
      <c r="N94" s="95"/>
      <c r="O94" s="95"/>
    </row>
    <row r="95" spans="1:15" ht="15" customHeight="1">
      <c r="A95" s="95"/>
      <c r="B95" s="96">
        <f>B8</f>
        <v>2011</v>
      </c>
      <c r="C95" s="96"/>
      <c r="D95" s="100">
        <f>VLOOKUP(B95,B$7:E$11,3,FALSE)</f>
        <v>228</v>
      </c>
      <c r="E95" s="96">
        <f>((COUNT(B$94:B$98)-1)/2)+(B95-$C$4)</f>
        <v>-1</v>
      </c>
      <c r="F95" s="100">
        <f>E95^2</f>
        <v>1</v>
      </c>
      <c r="G95" s="98"/>
      <c r="H95" s="130">
        <f>ROUND(D95*E95,2)</f>
        <v>-228</v>
      </c>
      <c r="I95" s="131"/>
      <c r="J95" s="102">
        <v>0</v>
      </c>
      <c r="K95" s="102"/>
      <c r="L95" s="95"/>
      <c r="M95" s="95"/>
      <c r="N95" s="95"/>
      <c r="O95" s="95"/>
    </row>
    <row r="96" spans="1:15" ht="15" customHeight="1">
      <c r="A96" s="95"/>
      <c r="B96" s="96">
        <f>B9</f>
        <v>2012</v>
      </c>
      <c r="C96" s="96"/>
      <c r="D96" s="100">
        <f>VLOOKUP(B96,B$7:E$11,3,FALSE)</f>
        <v>241</v>
      </c>
      <c r="E96" s="96">
        <f>((COUNT(B$94:B$98)-1)/2)+(B96-$C$4)</f>
        <v>0</v>
      </c>
      <c r="F96" s="100">
        <f>E96^2</f>
        <v>0</v>
      </c>
      <c r="G96" s="98"/>
      <c r="H96" s="130">
        <f>ROUND(D96*E96,2)</f>
        <v>0</v>
      </c>
      <c r="I96" s="131"/>
      <c r="J96" s="102">
        <v>0</v>
      </c>
      <c r="K96" s="102"/>
      <c r="L96" s="95"/>
      <c r="M96" s="95"/>
      <c r="N96" s="95"/>
      <c r="O96" s="95"/>
    </row>
    <row r="97" spans="1:15" ht="15" customHeight="1">
      <c r="A97" s="95"/>
      <c r="B97" s="96">
        <f>B10</f>
        <v>2013</v>
      </c>
      <c r="C97" s="96"/>
      <c r="D97" s="100">
        <f>VLOOKUP(B97,B$7:E$11,3,FALSE)</f>
        <v>252</v>
      </c>
      <c r="E97" s="96">
        <f>((COUNT(B$94:B$98)-1)/2)+(B97-$C$4)</f>
        <v>1</v>
      </c>
      <c r="F97" s="100">
        <f>E97^2</f>
        <v>1</v>
      </c>
      <c r="G97" s="98"/>
      <c r="H97" s="130">
        <f>ROUND(D97*E97,2)</f>
        <v>252</v>
      </c>
      <c r="I97" s="131"/>
      <c r="J97" s="102">
        <v>0</v>
      </c>
      <c r="K97" s="102"/>
      <c r="L97" s="95"/>
      <c r="M97" s="95"/>
      <c r="N97" s="95"/>
      <c r="O97" s="95"/>
    </row>
    <row r="98" spans="1:15" ht="15" customHeight="1">
      <c r="A98" s="95"/>
      <c r="B98" s="96">
        <f>B11</f>
        <v>2014</v>
      </c>
      <c r="C98" s="96"/>
      <c r="D98" s="100">
        <f>VLOOKUP(B98,B$7:E$11,3,FALSE)</f>
        <v>292</v>
      </c>
      <c r="E98" s="96">
        <f>((COUNT(B$94:B$98)-1)/2)+(B98-$C$4)</f>
        <v>2</v>
      </c>
      <c r="F98" s="100">
        <f>E98^2</f>
        <v>4</v>
      </c>
      <c r="G98" s="98"/>
      <c r="H98" s="130">
        <f>ROUND(D98*E98,2)</f>
        <v>584</v>
      </c>
      <c r="I98" s="131"/>
      <c r="J98" s="102">
        <v>0</v>
      </c>
      <c r="K98" s="102"/>
      <c r="L98" s="95"/>
      <c r="M98" s="95"/>
      <c r="N98" s="95"/>
      <c r="O98" s="95"/>
    </row>
    <row r="99" spans="1:15" ht="15" customHeight="1" thickBot="1">
      <c r="A99" s="95"/>
      <c r="B99" s="103" t="s">
        <v>196</v>
      </c>
      <c r="C99" s="104"/>
      <c r="D99" s="132">
        <f>SUM(D94:D98)</f>
        <v>1287</v>
      </c>
      <c r="E99" s="107"/>
      <c r="F99" s="133">
        <f>ROUND(SUM(F94:F98),0)</f>
        <v>10</v>
      </c>
      <c r="G99" s="104"/>
      <c r="H99" s="103">
        <f>SUM(H94:H98)</f>
        <v>60</v>
      </c>
      <c r="I99" s="108"/>
      <c r="J99" s="135"/>
      <c r="K99" s="135"/>
      <c r="L99" s="95"/>
      <c r="M99" s="95"/>
      <c r="N99" s="95"/>
      <c r="O99" s="95"/>
    </row>
    <row r="100" spans="1:15" ht="15" customHeight="1">
      <c r="A100" s="95"/>
      <c r="B100" s="100" t="s">
        <v>197</v>
      </c>
      <c r="C100" s="100"/>
      <c r="D100" s="136" t="s">
        <v>198</v>
      </c>
      <c r="E100" s="95"/>
      <c r="F100" s="95"/>
      <c r="G100" s="93">
        <f>((COUNT(B$94:B$98))*H$99-D$99*E$99)/((COUNT(B$94:B$98))*F$99-E$99*E$99)</f>
        <v>6</v>
      </c>
      <c r="H100" s="136" t="s">
        <v>199</v>
      </c>
      <c r="I100" s="93"/>
      <c r="J100" s="93"/>
      <c r="K100" s="93">
        <f>ROUND((F99*D99-H99*E99)/(COUNT(B$94:B$98)*F99-E99*E99),0)</f>
        <v>257</v>
      </c>
      <c r="L100" s="95"/>
      <c r="M100" s="95"/>
      <c r="N100" s="95"/>
      <c r="O100" s="95"/>
    </row>
    <row r="101" spans="1:15" ht="15" customHeight="1">
      <c r="A101" s="95"/>
      <c r="B101" s="123"/>
      <c r="C101" s="123"/>
      <c r="D101" s="137"/>
      <c r="E101" s="93"/>
      <c r="F101" s="126"/>
      <c r="G101" s="124"/>
      <c r="H101" s="95"/>
      <c r="I101" s="124"/>
      <c r="J101" s="124"/>
      <c r="K101" s="127"/>
      <c r="L101" s="95"/>
      <c r="M101" s="95"/>
      <c r="N101" s="95"/>
      <c r="O101" s="95"/>
    </row>
    <row r="102" spans="1:15" ht="15" customHeight="1">
      <c r="A102" s="95"/>
      <c r="B102" s="95"/>
      <c r="C102" s="95"/>
      <c r="D102" s="95"/>
      <c r="E102" s="111"/>
      <c r="F102" s="95"/>
      <c r="G102" s="95"/>
      <c r="H102" s="95"/>
      <c r="I102" s="95"/>
      <c r="J102" s="95"/>
      <c r="K102" s="95"/>
      <c r="L102" s="95"/>
      <c r="M102" s="95"/>
      <c r="N102" s="95"/>
      <c r="O102" s="95"/>
    </row>
    <row r="103" spans="1:15" ht="15" customHeight="1" thickBot="1">
      <c r="A103" s="95"/>
      <c r="B103" s="95"/>
      <c r="C103" s="95"/>
      <c r="D103" s="95"/>
      <c r="E103" s="95"/>
      <c r="F103" s="100" t="s">
        <v>200</v>
      </c>
      <c r="G103" s="100"/>
      <c r="H103" s="95"/>
      <c r="I103" s="95"/>
      <c r="J103" s="95"/>
      <c r="K103" s="95"/>
      <c r="L103" s="95"/>
      <c r="M103" s="95"/>
      <c r="N103" s="95"/>
      <c r="O103" s="95"/>
    </row>
    <row r="104" spans="1:15" ht="15" customHeight="1">
      <c r="A104" s="95"/>
      <c r="B104" s="94" t="s">
        <v>201</v>
      </c>
      <c r="C104" s="94"/>
      <c r="D104" s="94" t="s">
        <v>202</v>
      </c>
      <c r="E104" s="94"/>
      <c r="F104" s="94" t="s">
        <v>157</v>
      </c>
      <c r="G104" s="94"/>
      <c r="H104" s="94" t="s">
        <v>158</v>
      </c>
      <c r="I104" s="94"/>
      <c r="J104" s="94" t="s">
        <v>159</v>
      </c>
      <c r="K104" s="94"/>
      <c r="L104" s="95"/>
      <c r="M104" s="95"/>
      <c r="N104" s="95"/>
      <c r="O104" s="95"/>
    </row>
    <row r="105" spans="1:15" ht="15" customHeight="1">
      <c r="A105" s="95"/>
      <c r="B105" s="112">
        <v>2014</v>
      </c>
      <c r="C105" s="113"/>
      <c r="D105" s="113">
        <f t="shared" ref="D105:D126" si="4">ROUNDUP(G$100*(B105-B$98+E$98)+K$100,0)</f>
        <v>269</v>
      </c>
      <c r="E105" s="113"/>
      <c r="F105" s="113">
        <v>0</v>
      </c>
      <c r="G105" s="113"/>
      <c r="H105" s="113">
        <f t="shared" ref="H105:H126" si="5">ROUND(D105*(1+F105),0)</f>
        <v>269</v>
      </c>
      <c r="I105" s="113"/>
      <c r="J105" s="114">
        <v>0</v>
      </c>
      <c r="K105" s="114"/>
      <c r="L105" s="95"/>
      <c r="M105" s="95"/>
      <c r="N105" s="95"/>
      <c r="O105" s="95"/>
    </row>
    <row r="106" spans="1:15" ht="15" customHeight="1">
      <c r="A106" s="95"/>
      <c r="B106" s="115">
        <v>2015</v>
      </c>
      <c r="C106" s="116"/>
      <c r="D106" s="116">
        <f t="shared" si="4"/>
        <v>275</v>
      </c>
      <c r="E106" s="116"/>
      <c r="F106" s="116">
        <v>0</v>
      </c>
      <c r="G106" s="116"/>
      <c r="H106" s="116">
        <f t="shared" si="5"/>
        <v>275</v>
      </c>
      <c r="I106" s="116"/>
      <c r="J106" s="117">
        <v>0</v>
      </c>
      <c r="K106" s="117"/>
      <c r="L106" s="95"/>
      <c r="M106" s="95"/>
      <c r="N106" s="95"/>
      <c r="O106" s="95"/>
    </row>
    <row r="107" spans="1:15" ht="15" customHeight="1">
      <c r="A107" s="95"/>
      <c r="B107" s="112">
        <v>2016</v>
      </c>
      <c r="C107" s="113"/>
      <c r="D107" s="113">
        <f t="shared" si="4"/>
        <v>281</v>
      </c>
      <c r="E107" s="113"/>
      <c r="F107" s="113">
        <v>0</v>
      </c>
      <c r="G107" s="113"/>
      <c r="H107" s="113">
        <f t="shared" si="5"/>
        <v>281</v>
      </c>
      <c r="I107" s="113"/>
      <c r="J107" s="114">
        <v>0</v>
      </c>
      <c r="K107" s="114"/>
      <c r="L107" s="95"/>
      <c r="M107" s="95"/>
      <c r="N107" s="95"/>
      <c r="O107" s="95"/>
    </row>
    <row r="108" spans="1:15" ht="15" customHeight="1">
      <c r="A108" s="95"/>
      <c r="B108" s="112">
        <v>2017</v>
      </c>
      <c r="C108" s="113"/>
      <c r="D108" s="113">
        <f t="shared" si="4"/>
        <v>287</v>
      </c>
      <c r="E108" s="113"/>
      <c r="F108" s="113">
        <v>0</v>
      </c>
      <c r="G108" s="113"/>
      <c r="H108" s="113">
        <f t="shared" si="5"/>
        <v>287</v>
      </c>
      <c r="I108" s="113"/>
      <c r="J108" s="114">
        <v>0</v>
      </c>
      <c r="K108" s="114"/>
      <c r="L108" s="95"/>
      <c r="M108" s="95"/>
      <c r="N108" s="95"/>
      <c r="O108" s="95"/>
    </row>
    <row r="109" spans="1:15" ht="15" customHeight="1">
      <c r="A109" s="95"/>
      <c r="B109" s="112">
        <v>2018</v>
      </c>
      <c r="C109" s="113"/>
      <c r="D109" s="113">
        <f t="shared" si="4"/>
        <v>293</v>
      </c>
      <c r="E109" s="113"/>
      <c r="F109" s="113">
        <v>0</v>
      </c>
      <c r="G109" s="113"/>
      <c r="H109" s="113">
        <f t="shared" si="5"/>
        <v>293</v>
      </c>
      <c r="I109" s="113"/>
      <c r="J109" s="114">
        <v>0</v>
      </c>
      <c r="K109" s="114"/>
      <c r="L109" s="95"/>
      <c r="M109" s="95"/>
      <c r="N109" s="95"/>
      <c r="O109" s="95"/>
    </row>
    <row r="110" spans="1:15" ht="15" customHeight="1">
      <c r="A110" s="95"/>
      <c r="B110" s="112">
        <v>2019</v>
      </c>
      <c r="C110" s="113"/>
      <c r="D110" s="113">
        <f t="shared" si="4"/>
        <v>299</v>
      </c>
      <c r="E110" s="113"/>
      <c r="F110" s="113">
        <v>0</v>
      </c>
      <c r="G110" s="113"/>
      <c r="H110" s="113">
        <f t="shared" si="5"/>
        <v>299</v>
      </c>
      <c r="I110" s="113"/>
      <c r="J110" s="114">
        <v>0</v>
      </c>
      <c r="K110" s="114"/>
      <c r="L110" s="95"/>
      <c r="M110" s="95"/>
      <c r="N110" s="95"/>
      <c r="O110" s="95"/>
    </row>
    <row r="111" spans="1:15" ht="15" customHeight="1">
      <c r="A111" s="95"/>
      <c r="B111" s="115">
        <v>2020</v>
      </c>
      <c r="C111" s="116"/>
      <c r="D111" s="116">
        <f t="shared" si="4"/>
        <v>305</v>
      </c>
      <c r="E111" s="116"/>
      <c r="F111" s="116">
        <v>0</v>
      </c>
      <c r="G111" s="116"/>
      <c r="H111" s="116">
        <f t="shared" si="5"/>
        <v>305</v>
      </c>
      <c r="I111" s="116"/>
      <c r="J111" s="117">
        <v>0</v>
      </c>
      <c r="K111" s="117"/>
      <c r="L111" s="95"/>
      <c r="M111" s="95"/>
      <c r="N111" s="95"/>
      <c r="O111" s="95"/>
    </row>
    <row r="112" spans="1:15" ht="15" customHeight="1">
      <c r="A112" s="95"/>
      <c r="B112" s="112">
        <v>2021</v>
      </c>
      <c r="C112" s="113"/>
      <c r="D112" s="113">
        <f t="shared" si="4"/>
        <v>311</v>
      </c>
      <c r="E112" s="113"/>
      <c r="F112" s="113">
        <v>0</v>
      </c>
      <c r="G112" s="113"/>
      <c r="H112" s="113">
        <f t="shared" si="5"/>
        <v>311</v>
      </c>
      <c r="I112" s="113"/>
      <c r="J112" s="114">
        <v>0</v>
      </c>
      <c r="K112" s="114"/>
      <c r="L112" s="95"/>
      <c r="M112" s="95"/>
      <c r="N112" s="95"/>
      <c r="O112" s="95"/>
    </row>
    <row r="113" spans="1:15" ht="15" customHeight="1">
      <c r="A113" s="95"/>
      <c r="B113" s="112">
        <v>2022</v>
      </c>
      <c r="C113" s="113"/>
      <c r="D113" s="113">
        <f t="shared" si="4"/>
        <v>317</v>
      </c>
      <c r="E113" s="113"/>
      <c r="F113" s="113">
        <v>0</v>
      </c>
      <c r="G113" s="113"/>
      <c r="H113" s="113">
        <f t="shared" si="5"/>
        <v>317</v>
      </c>
      <c r="I113" s="113"/>
      <c r="J113" s="114">
        <v>0</v>
      </c>
      <c r="K113" s="114"/>
      <c r="L113" s="95"/>
      <c r="M113" s="95"/>
      <c r="N113" s="95"/>
      <c r="O113" s="95"/>
    </row>
    <row r="114" spans="1:15" ht="15" customHeight="1">
      <c r="A114" s="95"/>
      <c r="B114" s="112">
        <v>2023</v>
      </c>
      <c r="C114" s="113"/>
      <c r="D114" s="113">
        <f t="shared" si="4"/>
        <v>323</v>
      </c>
      <c r="E114" s="113"/>
      <c r="F114" s="113">
        <v>0</v>
      </c>
      <c r="G114" s="113"/>
      <c r="H114" s="113">
        <f t="shared" si="5"/>
        <v>323</v>
      </c>
      <c r="I114" s="113"/>
      <c r="J114" s="114">
        <v>0</v>
      </c>
      <c r="K114" s="114"/>
      <c r="L114" s="95"/>
      <c r="M114" s="95"/>
      <c r="N114" s="95"/>
      <c r="O114" s="95"/>
    </row>
    <row r="115" spans="1:15" ht="15" customHeight="1">
      <c r="A115" s="95"/>
      <c r="B115" s="112">
        <v>2024</v>
      </c>
      <c r="C115" s="113"/>
      <c r="D115" s="113">
        <f t="shared" si="4"/>
        <v>329</v>
      </c>
      <c r="E115" s="113"/>
      <c r="F115" s="113">
        <v>0</v>
      </c>
      <c r="G115" s="113"/>
      <c r="H115" s="113">
        <f t="shared" si="5"/>
        <v>329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2025</v>
      </c>
      <c r="C116" s="116"/>
      <c r="D116" s="116">
        <f t="shared" si="4"/>
        <v>335</v>
      </c>
      <c r="E116" s="116"/>
      <c r="F116" s="116">
        <v>0</v>
      </c>
      <c r="G116" s="116"/>
      <c r="H116" s="116">
        <f t="shared" si="5"/>
        <v>335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2026</v>
      </c>
      <c r="C117" s="113"/>
      <c r="D117" s="113">
        <f t="shared" si="4"/>
        <v>341</v>
      </c>
      <c r="E117" s="113"/>
      <c r="F117" s="113">
        <v>0</v>
      </c>
      <c r="G117" s="113"/>
      <c r="H117" s="113">
        <f t="shared" si="5"/>
        <v>341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2027</v>
      </c>
      <c r="C118" s="113"/>
      <c r="D118" s="113">
        <f t="shared" si="4"/>
        <v>347</v>
      </c>
      <c r="E118" s="113"/>
      <c r="F118" s="113">
        <v>0</v>
      </c>
      <c r="G118" s="113"/>
      <c r="H118" s="113">
        <f t="shared" si="5"/>
        <v>347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2028</v>
      </c>
      <c r="C119" s="113"/>
      <c r="D119" s="113">
        <f t="shared" si="4"/>
        <v>353</v>
      </c>
      <c r="E119" s="113"/>
      <c r="F119" s="113">
        <v>0</v>
      </c>
      <c r="G119" s="113"/>
      <c r="H119" s="113">
        <f t="shared" si="5"/>
        <v>353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2029</v>
      </c>
      <c r="C120" s="113"/>
      <c r="D120" s="113">
        <f t="shared" si="4"/>
        <v>359</v>
      </c>
      <c r="E120" s="113"/>
      <c r="F120" s="113">
        <v>0</v>
      </c>
      <c r="G120" s="113"/>
      <c r="H120" s="113">
        <f t="shared" si="5"/>
        <v>359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2030</v>
      </c>
      <c r="C121" s="116"/>
      <c r="D121" s="116">
        <f t="shared" si="4"/>
        <v>365</v>
      </c>
      <c r="E121" s="116"/>
      <c r="F121" s="116">
        <v>0</v>
      </c>
      <c r="G121" s="116"/>
      <c r="H121" s="116">
        <f t="shared" si="5"/>
        <v>365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2031</v>
      </c>
      <c r="C122" s="113"/>
      <c r="D122" s="113">
        <f t="shared" si="4"/>
        <v>371</v>
      </c>
      <c r="E122" s="113"/>
      <c r="F122" s="113">
        <v>0</v>
      </c>
      <c r="G122" s="113"/>
      <c r="H122" s="113">
        <f t="shared" si="5"/>
        <v>371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2032</v>
      </c>
      <c r="C123" s="113"/>
      <c r="D123" s="113">
        <f t="shared" si="4"/>
        <v>377</v>
      </c>
      <c r="E123" s="113"/>
      <c r="F123" s="113">
        <v>0</v>
      </c>
      <c r="G123" s="113"/>
      <c r="H123" s="113">
        <f t="shared" si="5"/>
        <v>377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2033</v>
      </c>
      <c r="C124" s="113"/>
      <c r="D124" s="113">
        <f t="shared" si="4"/>
        <v>383</v>
      </c>
      <c r="E124" s="113"/>
      <c r="F124" s="113">
        <v>0</v>
      </c>
      <c r="G124" s="113"/>
      <c r="H124" s="113">
        <f t="shared" si="5"/>
        <v>383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2034</v>
      </c>
      <c r="C125" s="113"/>
      <c r="D125" s="113">
        <f t="shared" si="4"/>
        <v>389</v>
      </c>
      <c r="E125" s="113"/>
      <c r="F125" s="113">
        <v>0</v>
      </c>
      <c r="G125" s="113"/>
      <c r="H125" s="113">
        <f t="shared" si="5"/>
        <v>389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 thickBot="1">
      <c r="A126" s="95"/>
      <c r="B126" s="115">
        <v>2035</v>
      </c>
      <c r="C126" s="116"/>
      <c r="D126" s="116">
        <f t="shared" si="4"/>
        <v>395</v>
      </c>
      <c r="E126" s="116"/>
      <c r="F126" s="116">
        <v>0</v>
      </c>
      <c r="G126" s="116"/>
      <c r="H126" s="116">
        <f t="shared" si="5"/>
        <v>395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95"/>
      <c r="M127" s="95"/>
      <c r="N127" s="95"/>
      <c r="O127" s="95"/>
    </row>
    <row r="128" spans="1:15" ht="15" customHeight="1">
      <c r="A128" s="95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95"/>
      <c r="M128" s="95"/>
      <c r="N128" s="95"/>
      <c r="O128" s="95"/>
    </row>
    <row r="129" spans="1:15" ht="15" customHeight="1">
      <c r="A129" s="95"/>
      <c r="B129" s="110" t="s">
        <v>203</v>
      </c>
      <c r="C129" s="111"/>
      <c r="D129" s="111"/>
      <c r="E129" s="111"/>
      <c r="F129" s="111"/>
      <c r="G129" s="95"/>
      <c r="H129" s="95"/>
      <c r="I129" s="95"/>
      <c r="J129" s="95"/>
      <c r="K129" s="95"/>
      <c r="L129" s="95"/>
      <c r="M129" s="95"/>
      <c r="N129" s="95"/>
      <c r="O129" s="95"/>
    </row>
    <row r="130" spans="1:15" ht="15" customHeight="1">
      <c r="A130" s="95"/>
      <c r="B130" s="95"/>
      <c r="C130" s="111" t="s">
        <v>204</v>
      </c>
      <c r="D130" s="111" t="s">
        <v>205</v>
      </c>
      <c r="E130" s="111"/>
      <c r="F130" s="111"/>
      <c r="G130" s="166" t="b">
        <v>1</v>
      </c>
      <c r="H130" s="95"/>
      <c r="I130" s="95"/>
      <c r="J130" s="95"/>
      <c r="K130" s="95"/>
      <c r="L130" s="95"/>
      <c r="M130" s="95"/>
      <c r="N130" s="95"/>
      <c r="O130" s="95"/>
    </row>
    <row r="131" spans="1:15" ht="15" customHeight="1">
      <c r="A131" s="95"/>
      <c r="B131" s="93"/>
      <c r="C131" s="128" t="s">
        <v>206</v>
      </c>
      <c r="D131" s="111" t="s">
        <v>207</v>
      </c>
      <c r="E131" s="111"/>
      <c r="F131" s="93"/>
      <c r="G131" s="139" t="b">
        <v>0</v>
      </c>
      <c r="H131" s="95"/>
      <c r="I131" s="95"/>
      <c r="J131" s="95"/>
      <c r="K131" s="95"/>
      <c r="L131" s="95"/>
      <c r="M131" s="95"/>
      <c r="N131" s="95"/>
      <c r="O131" s="95"/>
    </row>
    <row r="132" spans="1:15" ht="15" customHeight="1">
      <c r="A132" s="95"/>
      <c r="B132" s="93"/>
      <c r="C132" s="128"/>
      <c r="D132" s="111" t="s">
        <v>208</v>
      </c>
      <c r="E132" s="111"/>
      <c r="F132" s="93"/>
      <c r="G132" s="95"/>
      <c r="H132" s="95"/>
      <c r="I132" s="95"/>
      <c r="J132" s="95"/>
      <c r="K132" s="95"/>
      <c r="L132" s="95"/>
      <c r="M132" s="95"/>
      <c r="N132" s="95"/>
      <c r="O132" s="95"/>
    </row>
    <row r="133" spans="1:15" ht="15" customHeight="1">
      <c r="A133" s="95"/>
      <c r="B133" s="111"/>
      <c r="C133" s="111"/>
      <c r="D133" s="111" t="s">
        <v>209</v>
      </c>
      <c r="E133" s="111"/>
      <c r="F133" s="111"/>
      <c r="G133" s="95"/>
      <c r="H133" s="95"/>
      <c r="I133" s="95"/>
      <c r="J133" s="95"/>
      <c r="K133" s="95"/>
      <c r="L133" s="95"/>
      <c r="M133" s="95"/>
      <c r="N133" s="95"/>
      <c r="O133" s="95"/>
    </row>
    <row r="134" spans="1:15" ht="15" customHeight="1" thickBot="1">
      <c r="A134" s="95"/>
      <c r="B134" s="95"/>
      <c r="C134" s="95"/>
      <c r="D134" s="95"/>
      <c r="E134" s="95"/>
      <c r="F134" s="100" t="s">
        <v>210</v>
      </c>
      <c r="G134" s="100"/>
      <c r="H134" s="95"/>
      <c r="I134" s="95"/>
      <c r="J134" s="95"/>
      <c r="K134" s="95"/>
      <c r="L134" s="95"/>
      <c r="M134" s="95"/>
      <c r="N134" s="95"/>
      <c r="O134" s="95"/>
    </row>
    <row r="135" spans="1:15" ht="15" customHeight="1">
      <c r="A135" s="95"/>
      <c r="B135" s="94" t="s">
        <v>211</v>
      </c>
      <c r="C135" s="94"/>
      <c r="D135" s="94" t="s">
        <v>212</v>
      </c>
      <c r="E135" s="94" t="s">
        <v>213</v>
      </c>
      <c r="F135" s="94" t="s">
        <v>213</v>
      </c>
      <c r="G135" s="94" t="s">
        <v>214</v>
      </c>
      <c r="H135" s="94" t="s">
        <v>215</v>
      </c>
      <c r="I135" s="94"/>
      <c r="J135" s="94" t="s">
        <v>216</v>
      </c>
      <c r="K135" s="94" t="s">
        <v>217</v>
      </c>
      <c r="L135" s="95"/>
      <c r="M135" s="95"/>
      <c r="N135" s="95"/>
      <c r="O135" s="95"/>
    </row>
    <row r="136" spans="1:15" ht="15" customHeight="1">
      <c r="A136" s="95"/>
      <c r="B136" s="96">
        <f>B94</f>
        <v>2010</v>
      </c>
      <c r="C136" s="96"/>
      <c r="D136" s="100">
        <f>VLOOKUP(B136,B$7:E$11,3,FALSE)</f>
        <v>274</v>
      </c>
      <c r="E136" s="140">
        <f>IF(G$130=FALSE,"",((COUNT(B$94:B$98)-1))+(B136-$C$4))</f>
        <v>0</v>
      </c>
      <c r="F136" s="141">
        <v>0</v>
      </c>
      <c r="G136" s="142">
        <f>IF(F136="","",F136^2)</f>
        <v>0</v>
      </c>
      <c r="H136" s="131">
        <f>IF(G136="","",ABS(D136-D$136))</f>
        <v>0</v>
      </c>
      <c r="I136" s="131"/>
      <c r="J136" s="143">
        <v>0</v>
      </c>
      <c r="K136" s="143">
        <f>IF(J136="","",J136*F136)</f>
        <v>0</v>
      </c>
      <c r="L136" s="95"/>
      <c r="M136" s="95"/>
      <c r="N136" s="95"/>
      <c r="O136" s="95"/>
    </row>
    <row r="137" spans="1:15" ht="15" customHeight="1">
      <c r="A137" s="95"/>
      <c r="B137" s="96">
        <f>B95</f>
        <v>2011</v>
      </c>
      <c r="C137" s="96"/>
      <c r="D137" s="100">
        <f>VLOOKUP(B137,B$7:E$11,3,FALSE)</f>
        <v>228</v>
      </c>
      <c r="E137" s="140">
        <f>IF(G$130=FALSE,"",((COUNT(B$94:B$98)-1))+(B137-$C$4))</f>
        <v>1</v>
      </c>
      <c r="F137" s="141">
        <f>IF(E137="","",LOG(E137))</f>
        <v>0</v>
      </c>
      <c r="G137" s="142">
        <f>IF(F137="","",F137^2)</f>
        <v>0</v>
      </c>
      <c r="H137" s="131">
        <f>IF(G137="","",ABS(D137-D$136))</f>
        <v>46</v>
      </c>
      <c r="I137" s="131"/>
      <c r="J137" s="143">
        <f>IF(H137="","",LOG(H137))</f>
        <v>1.6627578316815741</v>
      </c>
      <c r="K137" s="143">
        <f>IF(J137="","",J137*F137)</f>
        <v>0</v>
      </c>
      <c r="L137" s="95"/>
      <c r="M137" s="95"/>
      <c r="N137" s="95"/>
      <c r="O137" s="95"/>
    </row>
    <row r="138" spans="1:15" ht="15" customHeight="1">
      <c r="A138" s="95"/>
      <c r="B138" s="96">
        <f>B96</f>
        <v>2012</v>
      </c>
      <c r="C138" s="96"/>
      <c r="D138" s="100">
        <f>VLOOKUP(B138,B$7:E$11,3,FALSE)</f>
        <v>241</v>
      </c>
      <c r="E138" s="140">
        <f>IF(G$130=FALSE,"",((COUNT(B$94:B$98)-1))+(B138-$C$4))</f>
        <v>2</v>
      </c>
      <c r="F138" s="141">
        <f>IF(E138="","",LOG(E138))</f>
        <v>0.3010299956639812</v>
      </c>
      <c r="G138" s="142">
        <f>IF(F138="","",F138^2)</f>
        <v>9.0619058289456544E-2</v>
      </c>
      <c r="H138" s="131">
        <f>IF(G138="","",ABS(D138-D$136))</f>
        <v>33</v>
      </c>
      <c r="I138" s="131"/>
      <c r="J138" s="143">
        <f>IF(H138="","",LOG(H138))</f>
        <v>1.5185139398778875</v>
      </c>
      <c r="K138" s="143">
        <f>IF(J138="","",J138*F138)</f>
        <v>0.45711824473713547</v>
      </c>
      <c r="L138" s="95"/>
      <c r="M138" s="95"/>
      <c r="N138" s="95"/>
      <c r="O138" s="95"/>
    </row>
    <row r="139" spans="1:15" ht="15" customHeight="1">
      <c r="A139" s="95"/>
      <c r="B139" s="96">
        <f>B97</f>
        <v>2013</v>
      </c>
      <c r="C139" s="96"/>
      <c r="D139" s="100">
        <f>VLOOKUP(B139,B$7:E$11,3,FALSE)</f>
        <v>252</v>
      </c>
      <c r="E139" s="140">
        <f>IF(G$130=FALSE,"",((COUNT(B$94:B$98)-1))+(B139-$C$4))</f>
        <v>3</v>
      </c>
      <c r="F139" s="141">
        <f>IF(E139="","",LOG(E139))</f>
        <v>0.47712125471966244</v>
      </c>
      <c r="G139" s="142">
        <f>IF(F139="","",F139^2)</f>
        <v>0.227644691705265</v>
      </c>
      <c r="H139" s="131">
        <f>IF(G139="","",ABS(D139-D$136))</f>
        <v>22</v>
      </c>
      <c r="I139" s="131"/>
      <c r="J139" s="143">
        <f>IF(H139="","",LOG(H139))</f>
        <v>1.3424226808222062</v>
      </c>
      <c r="K139" s="143">
        <f>IF(J139="","",J139*F139)</f>
        <v>0.64049839383802398</v>
      </c>
      <c r="L139" s="95"/>
      <c r="M139" s="95"/>
      <c r="N139" s="95"/>
      <c r="O139" s="95"/>
    </row>
    <row r="140" spans="1:15" ht="15" customHeight="1">
      <c r="A140" s="95"/>
      <c r="B140" s="96">
        <f>B98</f>
        <v>2014</v>
      </c>
      <c r="C140" s="96"/>
      <c r="D140" s="100">
        <f>VLOOKUP(B140,B$7:E$11,3,FALSE)</f>
        <v>292</v>
      </c>
      <c r="E140" s="140">
        <f>IF(G$130=FALSE,"",((COUNT(B$94:B$98)-1))+(B140-$C$4))</f>
        <v>4</v>
      </c>
      <c r="F140" s="141">
        <f>IF(E140="","",LOG(E140))</f>
        <v>0.6020599913279624</v>
      </c>
      <c r="G140" s="142">
        <f>IF(F140="","",F140^2)</f>
        <v>0.36247623315782618</v>
      </c>
      <c r="H140" s="131">
        <f>IF(G140="","",ABS(D140-D$136))</f>
        <v>18</v>
      </c>
      <c r="I140" s="131"/>
      <c r="J140" s="143">
        <f>IF(H140="","",LOG(H140))</f>
        <v>1.255272505103306</v>
      </c>
      <c r="K140" s="143">
        <f>IF(J140="","",J140*F140)</f>
        <v>0.75574935353672601</v>
      </c>
      <c r="L140" s="95"/>
      <c r="M140" s="95"/>
      <c r="N140" s="95"/>
      <c r="O140" s="95"/>
    </row>
    <row r="141" spans="1:15" ht="15" customHeight="1" thickBot="1">
      <c r="A141" s="95"/>
      <c r="B141" s="103" t="s">
        <v>218</v>
      </c>
      <c r="C141" s="104"/>
      <c r="D141" s="144"/>
      <c r="E141" s="145"/>
      <c r="F141" s="146">
        <f>IF(F140="","",ROUND(SUM(F136:F140),6))</f>
        <v>1.3802110000000001</v>
      </c>
      <c r="G141" s="146">
        <f>IF(G140="","",ROUND(SUM(G136:G140),6))</f>
        <v>0.68074000000000001</v>
      </c>
      <c r="H141" s="147"/>
      <c r="I141" s="148"/>
      <c r="J141" s="149">
        <f>IF(J140="","",SUM(J136:J140))</f>
        <v>5.7789669574849736</v>
      </c>
      <c r="K141" s="149">
        <f>IF(K140="","",SUM(K136:K140))</f>
        <v>1.8533659921118852</v>
      </c>
      <c r="L141" s="95"/>
      <c r="M141" s="95"/>
      <c r="N141" s="95"/>
      <c r="O141" s="95"/>
    </row>
    <row r="142" spans="1:15" ht="15" customHeight="1">
      <c r="A142" s="95"/>
      <c r="B142" s="100" t="s">
        <v>219</v>
      </c>
      <c r="C142" s="100"/>
      <c r="D142" s="93" t="s">
        <v>162</v>
      </c>
      <c r="E142" s="93">
        <f>IF(G141="",0,5^ROUND((G141*J141-F141*K141)/((COUNT(B$136:B$140)-1)*G141-F141*F141),5))</f>
        <v>14.988267093518973</v>
      </c>
      <c r="F142" s="137" t="s">
        <v>220</v>
      </c>
      <c r="G142" s="95"/>
      <c r="H142" s="100"/>
      <c r="I142" s="95"/>
      <c r="J142" s="150">
        <f>IF(G141="",0,ROUND(((COUNT(B$136:B$140)-1)*K141-J141*F141)/((COUNT(B$136:B$140)-1)*G141-F141*F141),5))</f>
        <v>-0.68794999999999995</v>
      </c>
      <c r="K142" s="151"/>
      <c r="L142" s="95"/>
      <c r="M142" s="95"/>
      <c r="N142" s="95"/>
      <c r="O142" s="95"/>
    </row>
    <row r="143" spans="1:15" ht="15" customHeight="1">
      <c r="A143" s="95"/>
      <c r="B143" s="95"/>
      <c r="C143" s="95"/>
      <c r="D143" s="137" t="s">
        <v>221</v>
      </c>
      <c r="E143" s="111"/>
      <c r="F143" s="111"/>
      <c r="G143" s="152"/>
      <c r="H143" s="93" t="s">
        <v>222</v>
      </c>
      <c r="I143" s="111" t="s">
        <v>223</v>
      </c>
      <c r="J143" s="93" t="str">
        <f>"A = 5^("&amp;RIGHT(H143,1)&amp;") "</f>
        <v xml:space="preserve">A = 5^(b) </v>
      </c>
      <c r="K143" s="95"/>
      <c r="L143" s="95"/>
      <c r="M143" s="95"/>
      <c r="N143" s="95"/>
      <c r="O143" s="95"/>
    </row>
    <row r="144" spans="1:15" ht="1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 thickBot="1">
      <c r="A145" s="95"/>
      <c r="B145" s="95"/>
      <c r="C145" s="95"/>
      <c r="D145" s="95"/>
      <c r="E145" s="95"/>
      <c r="F145" s="100" t="s">
        <v>224</v>
      </c>
      <c r="G145" s="100"/>
      <c r="H145" s="95"/>
      <c r="I145" s="95"/>
      <c r="J145" s="95"/>
      <c r="K145" s="95"/>
      <c r="L145" s="95"/>
      <c r="M145" s="95"/>
      <c r="N145" s="95"/>
      <c r="O145" s="95"/>
    </row>
    <row r="146" spans="1:15" ht="15" customHeight="1">
      <c r="A146" s="95"/>
      <c r="B146" s="94" t="s">
        <v>155</v>
      </c>
      <c r="C146" s="94"/>
      <c r="D146" s="94" t="s">
        <v>225</v>
      </c>
      <c r="E146" s="94"/>
      <c r="F146" s="94" t="s">
        <v>226</v>
      </c>
      <c r="G146" s="94"/>
      <c r="H146" s="94" t="s">
        <v>227</v>
      </c>
      <c r="I146" s="94"/>
      <c r="J146" s="94" t="s">
        <v>228</v>
      </c>
      <c r="K146" s="94"/>
      <c r="L146" s="95"/>
      <c r="M146" s="95"/>
      <c r="N146" s="95"/>
      <c r="O146" s="95"/>
    </row>
    <row r="147" spans="1:15" ht="15" customHeight="1">
      <c r="A147" s="95"/>
      <c r="B147" s="112">
        <v>2014</v>
      </c>
      <c r="C147" s="100"/>
      <c r="D147" s="153">
        <f t="shared" ref="D147:D168" si="6">IF(J$142=0,0,ROUNDUP(D$136+E$142*(B147-B$136)^J$142,0))</f>
        <v>280</v>
      </c>
      <c r="E147" s="153"/>
      <c r="F147" s="97">
        <v>0</v>
      </c>
      <c r="G147" s="97"/>
      <c r="H147" s="97">
        <f t="shared" ref="H147:H168" si="7">ROUND(D147*(1+F147),0)</f>
        <v>280</v>
      </c>
      <c r="I147" s="97"/>
      <c r="J147" s="102">
        <v>0</v>
      </c>
      <c r="K147" s="102"/>
      <c r="L147" s="95"/>
      <c r="M147" s="95"/>
      <c r="N147" s="95"/>
      <c r="O147" s="95"/>
    </row>
    <row r="148" spans="1:15" ht="15" customHeight="1">
      <c r="A148" s="95"/>
      <c r="B148" s="115">
        <v>2015</v>
      </c>
      <c r="C148" s="116"/>
      <c r="D148" s="154">
        <f t="shared" si="6"/>
        <v>279</v>
      </c>
      <c r="E148" s="154"/>
      <c r="F148" s="155">
        <v>0</v>
      </c>
      <c r="G148" s="155"/>
      <c r="H148" s="155">
        <f t="shared" si="7"/>
        <v>279</v>
      </c>
      <c r="I148" s="155"/>
      <c r="J148" s="117">
        <v>0</v>
      </c>
      <c r="K148" s="117"/>
      <c r="L148" s="95"/>
      <c r="M148" s="95"/>
      <c r="N148" s="95"/>
      <c r="O148" s="95"/>
    </row>
    <row r="149" spans="1:15" ht="15" customHeight="1">
      <c r="A149" s="95"/>
      <c r="B149" s="112">
        <v>2016</v>
      </c>
      <c r="C149" s="113"/>
      <c r="D149" s="153">
        <f t="shared" si="6"/>
        <v>279</v>
      </c>
      <c r="E149" s="153"/>
      <c r="F149" s="156">
        <v>0</v>
      </c>
      <c r="G149" s="156"/>
      <c r="H149" s="156">
        <f t="shared" si="7"/>
        <v>279</v>
      </c>
      <c r="I149" s="156"/>
      <c r="J149" s="114">
        <v>0</v>
      </c>
      <c r="K149" s="114"/>
      <c r="L149" s="95"/>
      <c r="M149" s="95"/>
      <c r="N149" s="95"/>
      <c r="O149" s="95"/>
    </row>
    <row r="150" spans="1:15" ht="15" customHeight="1">
      <c r="A150" s="95"/>
      <c r="B150" s="112">
        <v>2017</v>
      </c>
      <c r="C150" s="113"/>
      <c r="D150" s="153">
        <f t="shared" si="6"/>
        <v>278</v>
      </c>
      <c r="E150" s="153"/>
      <c r="F150" s="156">
        <v>0</v>
      </c>
      <c r="G150" s="156"/>
      <c r="H150" s="156">
        <f t="shared" si="7"/>
        <v>278</v>
      </c>
      <c r="I150" s="156"/>
      <c r="J150" s="114">
        <v>0</v>
      </c>
      <c r="K150" s="114"/>
      <c r="L150" s="95"/>
      <c r="M150" s="95"/>
      <c r="N150" s="95"/>
      <c r="O150" s="95"/>
    </row>
    <row r="151" spans="1:15" ht="15" customHeight="1">
      <c r="A151" s="95"/>
      <c r="B151" s="112">
        <v>2018</v>
      </c>
      <c r="C151" s="113"/>
      <c r="D151" s="153">
        <f t="shared" si="6"/>
        <v>278</v>
      </c>
      <c r="E151" s="153"/>
      <c r="F151" s="156">
        <v>0</v>
      </c>
      <c r="G151" s="156"/>
      <c r="H151" s="156">
        <f t="shared" si="7"/>
        <v>278</v>
      </c>
      <c r="I151" s="156"/>
      <c r="J151" s="114">
        <v>0</v>
      </c>
      <c r="K151" s="114"/>
      <c r="L151" s="95"/>
      <c r="M151" s="95"/>
      <c r="N151" s="95"/>
      <c r="O151" s="95"/>
    </row>
    <row r="152" spans="1:15" ht="15" customHeight="1">
      <c r="A152" s="95"/>
      <c r="B152" s="112">
        <v>2019</v>
      </c>
      <c r="C152" s="113"/>
      <c r="D152" s="153">
        <f t="shared" si="6"/>
        <v>278</v>
      </c>
      <c r="E152" s="153"/>
      <c r="F152" s="156">
        <v>0</v>
      </c>
      <c r="G152" s="156"/>
      <c r="H152" s="156">
        <f t="shared" si="7"/>
        <v>278</v>
      </c>
      <c r="I152" s="156"/>
      <c r="J152" s="114">
        <v>0</v>
      </c>
      <c r="K152" s="114"/>
      <c r="L152" s="95"/>
      <c r="M152" s="95"/>
      <c r="N152" s="95"/>
      <c r="O152" s="95"/>
    </row>
    <row r="153" spans="1:15" ht="15" customHeight="1">
      <c r="A153" s="95"/>
      <c r="B153" s="115">
        <v>2020</v>
      </c>
      <c r="C153" s="116"/>
      <c r="D153" s="154">
        <f t="shared" si="6"/>
        <v>278</v>
      </c>
      <c r="E153" s="154"/>
      <c r="F153" s="155">
        <v>0</v>
      </c>
      <c r="G153" s="155"/>
      <c r="H153" s="155">
        <f t="shared" si="7"/>
        <v>278</v>
      </c>
      <c r="I153" s="155"/>
      <c r="J153" s="117">
        <v>0</v>
      </c>
      <c r="K153" s="117"/>
      <c r="L153" s="95"/>
      <c r="M153" s="95"/>
      <c r="N153" s="95"/>
      <c r="O153" s="95"/>
    </row>
    <row r="154" spans="1:15" ht="15" customHeight="1">
      <c r="A154" s="95"/>
      <c r="B154" s="112">
        <v>2021</v>
      </c>
      <c r="C154" s="113"/>
      <c r="D154" s="153">
        <f t="shared" si="6"/>
        <v>277</v>
      </c>
      <c r="E154" s="153"/>
      <c r="F154" s="156">
        <v>0</v>
      </c>
      <c r="G154" s="156"/>
      <c r="H154" s="156">
        <f t="shared" si="7"/>
        <v>277</v>
      </c>
      <c r="I154" s="156"/>
      <c r="J154" s="114">
        <v>0</v>
      </c>
      <c r="K154" s="114"/>
      <c r="L154" s="95"/>
      <c r="M154" s="95"/>
      <c r="N154" s="95"/>
      <c r="O154" s="95"/>
    </row>
    <row r="155" spans="1:15" ht="15" customHeight="1">
      <c r="A155" s="95"/>
      <c r="B155" s="112">
        <v>2022</v>
      </c>
      <c r="C155" s="113"/>
      <c r="D155" s="153">
        <f t="shared" si="6"/>
        <v>277</v>
      </c>
      <c r="E155" s="153"/>
      <c r="F155" s="156">
        <v>0</v>
      </c>
      <c r="G155" s="156"/>
      <c r="H155" s="156">
        <f t="shared" si="7"/>
        <v>277</v>
      </c>
      <c r="I155" s="156"/>
      <c r="J155" s="114">
        <v>0</v>
      </c>
      <c r="K155" s="114"/>
      <c r="L155" s="95"/>
      <c r="M155" s="95"/>
      <c r="N155" s="95"/>
      <c r="O155" s="95"/>
    </row>
    <row r="156" spans="1:15" ht="15" customHeight="1">
      <c r="A156" s="95"/>
      <c r="B156" s="112">
        <v>2023</v>
      </c>
      <c r="C156" s="113"/>
      <c r="D156" s="153">
        <f t="shared" si="6"/>
        <v>277</v>
      </c>
      <c r="E156" s="153"/>
      <c r="F156" s="156">
        <v>0</v>
      </c>
      <c r="G156" s="156"/>
      <c r="H156" s="156">
        <f t="shared" si="7"/>
        <v>277</v>
      </c>
      <c r="I156" s="156"/>
      <c r="J156" s="114">
        <v>0</v>
      </c>
      <c r="K156" s="114"/>
      <c r="L156" s="95"/>
      <c r="M156" s="95"/>
      <c r="N156" s="95"/>
      <c r="O156" s="95"/>
    </row>
    <row r="157" spans="1:15" ht="15" customHeight="1">
      <c r="A157" s="95"/>
      <c r="B157" s="112">
        <v>2024</v>
      </c>
      <c r="C157" s="113"/>
      <c r="D157" s="153">
        <f t="shared" si="6"/>
        <v>277</v>
      </c>
      <c r="E157" s="153"/>
      <c r="F157" s="156">
        <v>0</v>
      </c>
      <c r="G157" s="156"/>
      <c r="H157" s="156">
        <f t="shared" si="7"/>
        <v>277</v>
      </c>
      <c r="I157" s="156"/>
      <c r="J157" s="114">
        <v>0</v>
      </c>
      <c r="K157" s="114"/>
      <c r="L157" s="95"/>
      <c r="M157" s="95"/>
      <c r="N157" s="95"/>
      <c r="O157" s="95"/>
    </row>
    <row r="158" spans="1:15" ht="15" customHeight="1">
      <c r="A158" s="95"/>
      <c r="B158" s="115">
        <v>2025</v>
      </c>
      <c r="C158" s="116"/>
      <c r="D158" s="154">
        <f t="shared" si="6"/>
        <v>277</v>
      </c>
      <c r="E158" s="154"/>
      <c r="F158" s="155">
        <v>0</v>
      </c>
      <c r="G158" s="155"/>
      <c r="H158" s="155">
        <f t="shared" si="7"/>
        <v>277</v>
      </c>
      <c r="I158" s="155"/>
      <c r="J158" s="117">
        <v>0</v>
      </c>
      <c r="K158" s="117"/>
      <c r="L158" s="95"/>
      <c r="M158" s="95"/>
      <c r="N158" s="95"/>
      <c r="O158" s="95"/>
    </row>
    <row r="159" spans="1:15" ht="15" customHeight="1">
      <c r="A159" s="95"/>
      <c r="B159" s="112">
        <v>2026</v>
      </c>
      <c r="C159" s="113"/>
      <c r="D159" s="153">
        <f t="shared" si="6"/>
        <v>277</v>
      </c>
      <c r="E159" s="153"/>
      <c r="F159" s="156">
        <v>0</v>
      </c>
      <c r="G159" s="156"/>
      <c r="H159" s="156">
        <f t="shared" si="7"/>
        <v>277</v>
      </c>
      <c r="I159" s="156"/>
      <c r="J159" s="114">
        <v>0</v>
      </c>
      <c r="K159" s="114"/>
      <c r="L159" s="95"/>
      <c r="M159" s="95"/>
      <c r="N159" s="95"/>
      <c r="O159" s="95"/>
    </row>
    <row r="160" spans="1:15" ht="15" customHeight="1">
      <c r="A160" s="95"/>
      <c r="B160" s="112">
        <v>2027</v>
      </c>
      <c r="C160" s="113"/>
      <c r="D160" s="153">
        <f t="shared" si="6"/>
        <v>277</v>
      </c>
      <c r="E160" s="153"/>
      <c r="F160" s="156">
        <v>0</v>
      </c>
      <c r="G160" s="156"/>
      <c r="H160" s="156">
        <f t="shared" si="7"/>
        <v>277</v>
      </c>
      <c r="I160" s="156"/>
      <c r="J160" s="114">
        <v>0</v>
      </c>
      <c r="K160" s="114"/>
      <c r="L160" s="95"/>
      <c r="M160" s="95"/>
      <c r="N160" s="95"/>
      <c r="O160" s="95"/>
    </row>
    <row r="161" spans="1:15" ht="15" customHeight="1">
      <c r="A161" s="95"/>
      <c r="B161" s="112">
        <v>2028</v>
      </c>
      <c r="C161" s="113"/>
      <c r="D161" s="153">
        <f t="shared" si="6"/>
        <v>277</v>
      </c>
      <c r="E161" s="153"/>
      <c r="F161" s="156">
        <v>0</v>
      </c>
      <c r="G161" s="156"/>
      <c r="H161" s="156">
        <f t="shared" si="7"/>
        <v>277</v>
      </c>
      <c r="I161" s="156"/>
      <c r="J161" s="114">
        <v>0</v>
      </c>
      <c r="K161" s="114"/>
      <c r="L161" s="95"/>
      <c r="M161" s="95"/>
      <c r="N161" s="95"/>
      <c r="O161" s="95"/>
    </row>
    <row r="162" spans="1:15" ht="15" customHeight="1">
      <c r="A162" s="95"/>
      <c r="B162" s="112">
        <v>2029</v>
      </c>
      <c r="C162" s="113"/>
      <c r="D162" s="153">
        <f t="shared" si="6"/>
        <v>276</v>
      </c>
      <c r="E162" s="153"/>
      <c r="F162" s="156">
        <v>0</v>
      </c>
      <c r="G162" s="156"/>
      <c r="H162" s="156">
        <f t="shared" si="7"/>
        <v>276</v>
      </c>
      <c r="I162" s="156"/>
      <c r="J162" s="114">
        <v>0</v>
      </c>
      <c r="K162" s="114"/>
      <c r="L162" s="95"/>
      <c r="M162" s="95"/>
      <c r="N162" s="95"/>
      <c r="O162" s="95"/>
    </row>
    <row r="163" spans="1:15" ht="15" customHeight="1">
      <c r="A163" s="95"/>
      <c r="B163" s="115">
        <v>2030</v>
      </c>
      <c r="C163" s="116"/>
      <c r="D163" s="154">
        <f t="shared" si="6"/>
        <v>276</v>
      </c>
      <c r="E163" s="154"/>
      <c r="F163" s="155">
        <v>0</v>
      </c>
      <c r="G163" s="155"/>
      <c r="H163" s="155">
        <f t="shared" si="7"/>
        <v>276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2031</v>
      </c>
      <c r="C164" s="113"/>
      <c r="D164" s="153">
        <f t="shared" si="6"/>
        <v>276</v>
      </c>
      <c r="E164" s="153"/>
      <c r="F164" s="156">
        <v>0</v>
      </c>
      <c r="G164" s="156"/>
      <c r="H164" s="156">
        <f t="shared" si="7"/>
        <v>276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2032</v>
      </c>
      <c r="C165" s="113"/>
      <c r="D165" s="153">
        <f t="shared" si="6"/>
        <v>276</v>
      </c>
      <c r="E165" s="153"/>
      <c r="F165" s="156">
        <v>0</v>
      </c>
      <c r="G165" s="156"/>
      <c r="H165" s="156">
        <f t="shared" si="7"/>
        <v>276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2033</v>
      </c>
      <c r="C166" s="113"/>
      <c r="D166" s="153">
        <f t="shared" si="6"/>
        <v>276</v>
      </c>
      <c r="E166" s="153"/>
      <c r="F166" s="156">
        <v>0</v>
      </c>
      <c r="G166" s="156"/>
      <c r="H166" s="156">
        <f t="shared" si="7"/>
        <v>276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2034</v>
      </c>
      <c r="C167" s="113"/>
      <c r="D167" s="153">
        <f t="shared" si="6"/>
        <v>276</v>
      </c>
      <c r="E167" s="153"/>
      <c r="F167" s="156">
        <v>0</v>
      </c>
      <c r="G167" s="156"/>
      <c r="H167" s="156">
        <f t="shared" si="7"/>
        <v>276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 thickBot="1">
      <c r="A168" s="95"/>
      <c r="B168" s="115">
        <v>2035</v>
      </c>
      <c r="C168" s="116"/>
      <c r="D168" s="154">
        <f t="shared" si="6"/>
        <v>276</v>
      </c>
      <c r="E168" s="154"/>
      <c r="F168" s="155">
        <v>0</v>
      </c>
      <c r="G168" s="155"/>
      <c r="H168" s="155">
        <f t="shared" si="7"/>
        <v>276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95"/>
      <c r="M169" s="95"/>
      <c r="N169" s="95"/>
      <c r="O169" s="95"/>
    </row>
    <row r="170" spans="1:15" ht="15" customHeight="1">
      <c r="A170" s="95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95"/>
      <c r="M170" s="95"/>
      <c r="N170" s="95"/>
      <c r="O170" s="95"/>
    </row>
    <row r="171" spans="1:15" ht="15" customHeight="1">
      <c r="A171" s="95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95"/>
      <c r="M171" s="95"/>
      <c r="N171" s="95"/>
      <c r="O171" s="95"/>
    </row>
    <row r="172" spans="1:15" ht="15" customHeight="1">
      <c r="A172" s="95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95"/>
      <c r="M172" s="95"/>
      <c r="N172" s="95"/>
      <c r="O172" s="95"/>
    </row>
    <row r="173" spans="1:15" ht="15" customHeight="1">
      <c r="A173" s="95"/>
      <c r="B173" s="12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</row>
    <row r="174" spans="1:15" ht="15" customHeight="1">
      <c r="A174" s="95"/>
      <c r="B174" s="110" t="s">
        <v>229</v>
      </c>
      <c r="C174" s="111"/>
      <c r="D174" s="111"/>
      <c r="E174" s="111"/>
      <c r="F174" s="111"/>
      <c r="G174" s="111"/>
      <c r="H174" s="95"/>
      <c r="I174" s="95"/>
      <c r="J174" s="95"/>
      <c r="K174" s="95"/>
      <c r="L174" s="95"/>
      <c r="M174" s="95"/>
      <c r="N174" s="95"/>
      <c r="O174" s="95"/>
    </row>
    <row r="175" spans="1:15" ht="15" customHeight="1">
      <c r="A175" s="95"/>
      <c r="B175" s="95"/>
      <c r="C175" s="111" t="s">
        <v>230</v>
      </c>
      <c r="D175" s="111" t="s">
        <v>231</v>
      </c>
      <c r="E175" s="111"/>
      <c r="F175" s="111"/>
      <c r="G175" s="111"/>
      <c r="H175" s="95"/>
      <c r="I175" s="95"/>
      <c r="J175" s="95"/>
      <c r="K175" s="95"/>
      <c r="L175" s="95"/>
      <c r="M175" s="95"/>
      <c r="N175" s="95"/>
      <c r="O175" s="95"/>
    </row>
    <row r="176" spans="1:15" ht="15" customHeight="1">
      <c r="A176" s="95"/>
      <c r="B176" s="93"/>
      <c r="C176" s="128" t="s">
        <v>232</v>
      </c>
      <c r="D176" s="111" t="s">
        <v>233</v>
      </c>
      <c r="E176" s="111"/>
      <c r="F176" s="93"/>
      <c r="G176" s="95"/>
      <c r="H176" s="95"/>
      <c r="I176" s="95"/>
      <c r="J176" s="95"/>
      <c r="K176" s="95"/>
      <c r="L176" s="95"/>
      <c r="M176" s="95"/>
      <c r="N176" s="95"/>
      <c r="O176" s="95"/>
    </row>
    <row r="177" spans="1:15" ht="15" customHeight="1">
      <c r="A177" s="95"/>
      <c r="B177" s="93"/>
      <c r="C177" s="128"/>
      <c r="D177" s="111" t="s">
        <v>234</v>
      </c>
      <c r="E177" s="2250">
        <f>K7</f>
        <v>1000</v>
      </c>
      <c r="F177" s="2250"/>
      <c r="G177" s="111" t="s">
        <v>235</v>
      </c>
      <c r="H177" s="111"/>
      <c r="I177" s="95"/>
      <c r="J177" s="95"/>
      <c r="K177" s="95"/>
      <c r="L177" s="95"/>
      <c r="M177" s="95"/>
      <c r="N177" s="95"/>
      <c r="O177" s="95"/>
    </row>
    <row r="178" spans="1:15" ht="15" customHeight="1" thickBot="1">
      <c r="A178" s="95"/>
      <c r="B178" s="95"/>
      <c r="C178" s="95"/>
      <c r="D178" s="95"/>
      <c r="E178" s="95"/>
      <c r="F178" s="100" t="s">
        <v>236</v>
      </c>
      <c r="G178" s="100"/>
      <c r="H178" s="95"/>
      <c r="I178" s="95"/>
      <c r="J178" s="95"/>
      <c r="K178" s="95"/>
      <c r="L178" s="95"/>
      <c r="M178" s="95"/>
      <c r="N178" s="95"/>
      <c r="O178" s="95"/>
    </row>
    <row r="179" spans="1:15" ht="15" customHeight="1">
      <c r="A179" s="95"/>
      <c r="B179" s="94" t="s">
        <v>237</v>
      </c>
      <c r="C179" s="94"/>
      <c r="D179" s="94" t="s">
        <v>238</v>
      </c>
      <c r="E179" s="94" t="s">
        <v>239</v>
      </c>
      <c r="F179" s="94" t="s">
        <v>240</v>
      </c>
      <c r="G179" s="94" t="s">
        <v>241</v>
      </c>
      <c r="H179" s="94" t="s">
        <v>242</v>
      </c>
      <c r="I179" s="94" t="s">
        <v>243</v>
      </c>
      <c r="J179" s="94" t="s">
        <v>244</v>
      </c>
      <c r="K179" s="94" t="s">
        <v>245</v>
      </c>
      <c r="L179" s="95"/>
      <c r="M179" s="95"/>
      <c r="N179" s="95"/>
      <c r="O179" s="95"/>
    </row>
    <row r="180" spans="1:15" ht="15" customHeight="1">
      <c r="A180" s="95"/>
      <c r="B180" s="96">
        <f>B136</f>
        <v>2010</v>
      </c>
      <c r="C180" s="96"/>
      <c r="D180" s="100">
        <f>VLOOKUP(B180,B$7:E$11,3,FALSE)</f>
        <v>274</v>
      </c>
      <c r="E180" s="140">
        <f>((COUNT(B$180:B$184)-1)/2)+(B180-$C$4)</f>
        <v>-2</v>
      </c>
      <c r="F180" s="98">
        <f>E180^2</f>
        <v>4</v>
      </c>
      <c r="G180" s="97">
        <f>E$177-D180</f>
        <v>726</v>
      </c>
      <c r="H180" s="157">
        <f>LOG(D180)</f>
        <v>2.4377505628203879</v>
      </c>
      <c r="I180" s="141">
        <f>LOG(G180)</f>
        <v>2.8609366207000937</v>
      </c>
      <c r="J180" s="142">
        <f>H180-I180</f>
        <v>-0.42318605787970576</v>
      </c>
      <c r="K180" s="142">
        <f>E180*J180</f>
        <v>0.84637211575941151</v>
      </c>
      <c r="L180" s="95"/>
      <c r="M180" s="95"/>
      <c r="N180" s="95"/>
      <c r="O180" s="95"/>
    </row>
    <row r="181" spans="1:15" ht="15" customHeight="1">
      <c r="A181" s="95"/>
      <c r="B181" s="96">
        <f>B137</f>
        <v>2011</v>
      </c>
      <c r="C181" s="96"/>
      <c r="D181" s="100">
        <f>VLOOKUP(B181,B$7:E$11,3,FALSE)</f>
        <v>228</v>
      </c>
      <c r="E181" s="140">
        <f>((COUNT(B$180:B$184)-1)/2)+(B181-$C$4)</f>
        <v>-1</v>
      </c>
      <c r="F181" s="98">
        <f>E181^2</f>
        <v>1</v>
      </c>
      <c r="G181" s="97">
        <f>E$177-D181</f>
        <v>772</v>
      </c>
      <c r="H181" s="157">
        <f>LOG(D181)</f>
        <v>2.357934847000454</v>
      </c>
      <c r="I181" s="141">
        <f>LOG(G181)</f>
        <v>2.8876173003357359</v>
      </c>
      <c r="J181" s="142">
        <f>H181-I181</f>
        <v>-0.52968245333528197</v>
      </c>
      <c r="K181" s="142">
        <f>E181*J181</f>
        <v>0.52968245333528197</v>
      </c>
      <c r="L181" s="95"/>
      <c r="M181" s="95"/>
      <c r="N181" s="95"/>
      <c r="O181" s="95"/>
    </row>
    <row r="182" spans="1:15" ht="15" customHeight="1">
      <c r="A182" s="95"/>
      <c r="B182" s="96">
        <f>B138</f>
        <v>2012</v>
      </c>
      <c r="C182" s="96"/>
      <c r="D182" s="100">
        <f>VLOOKUP(B182,B$7:E$11,3,FALSE)</f>
        <v>241</v>
      </c>
      <c r="E182" s="140">
        <f>((COUNT(B$180:B$184)-1)/2)+(B182-$C$4)</f>
        <v>0</v>
      </c>
      <c r="F182" s="98">
        <f>E182^2</f>
        <v>0</v>
      </c>
      <c r="G182" s="97">
        <f>E$177-D182</f>
        <v>759</v>
      </c>
      <c r="H182" s="157">
        <f>LOG(D182)</f>
        <v>2.3820170425748683</v>
      </c>
      <c r="I182" s="141">
        <f>LOG(G182)</f>
        <v>2.8802417758954801</v>
      </c>
      <c r="J182" s="142">
        <f>H182-I182</f>
        <v>-0.49822473332061179</v>
      </c>
      <c r="K182" s="142">
        <f>E182*J182</f>
        <v>0</v>
      </c>
      <c r="L182" s="95"/>
      <c r="M182" s="95"/>
      <c r="N182" s="95"/>
      <c r="O182" s="95"/>
    </row>
    <row r="183" spans="1:15" ht="15" customHeight="1">
      <c r="A183" s="95"/>
      <c r="B183" s="96">
        <f>B139</f>
        <v>2013</v>
      </c>
      <c r="C183" s="96"/>
      <c r="D183" s="100">
        <f>VLOOKUP(B183,B$7:E$11,3,FALSE)</f>
        <v>252</v>
      </c>
      <c r="E183" s="140">
        <f>((COUNT(B$180:B$184)-1)/2)+(B183-$C$4)</f>
        <v>1</v>
      </c>
      <c r="F183" s="98">
        <f>E183^2</f>
        <v>1</v>
      </c>
      <c r="G183" s="97">
        <f>E$177-D183</f>
        <v>748</v>
      </c>
      <c r="H183" s="157">
        <f>LOG(D183)</f>
        <v>2.4014005407815442</v>
      </c>
      <c r="I183" s="141">
        <f>LOG(G183)</f>
        <v>2.8739015978644615</v>
      </c>
      <c r="J183" s="142">
        <f>H183-I183</f>
        <v>-0.47250105708291734</v>
      </c>
      <c r="K183" s="142">
        <f>E183*J183</f>
        <v>-0.47250105708291734</v>
      </c>
      <c r="L183" s="95"/>
      <c r="M183" s="95"/>
      <c r="N183" s="95"/>
      <c r="O183" s="95"/>
    </row>
    <row r="184" spans="1:15" ht="15" customHeight="1">
      <c r="A184" s="95"/>
      <c r="B184" s="96">
        <f>B140</f>
        <v>2014</v>
      </c>
      <c r="C184" s="96"/>
      <c r="D184" s="100">
        <f>VLOOKUP(B184,B$7:E$11,3,FALSE)</f>
        <v>292</v>
      </c>
      <c r="E184" s="140">
        <f>((COUNT(B$180:B$184)-1)/2)+(B184-$C$4)</f>
        <v>2</v>
      </c>
      <c r="F184" s="98">
        <f>E184^2</f>
        <v>4</v>
      </c>
      <c r="G184" s="97">
        <f>E$177-D184</f>
        <v>708</v>
      </c>
      <c r="H184" s="157">
        <f>LOG(D184)</f>
        <v>2.4653828514484184</v>
      </c>
      <c r="I184" s="141">
        <f>LOG(G184)</f>
        <v>2.8500332576897689</v>
      </c>
      <c r="J184" s="142">
        <f>H184-I184</f>
        <v>-0.3846504062413505</v>
      </c>
      <c r="K184" s="142">
        <f>E184*J184</f>
        <v>-0.76930081248270099</v>
      </c>
      <c r="L184" s="95"/>
      <c r="M184" s="95"/>
      <c r="N184" s="95"/>
      <c r="O184" s="95"/>
    </row>
    <row r="185" spans="1:15" ht="15" customHeight="1" thickBot="1">
      <c r="A185" s="95"/>
      <c r="B185" s="103" t="s">
        <v>218</v>
      </c>
      <c r="C185" s="104"/>
      <c r="D185" s="158">
        <f>SUM(D180:D184)</f>
        <v>1287</v>
      </c>
      <c r="E185" s="159">
        <f>SUM(E180:E184)</f>
        <v>0</v>
      </c>
      <c r="F185" s="160">
        <f>ROUND(SUM(F180:F184),0)</f>
        <v>10</v>
      </c>
      <c r="G185" s="145"/>
      <c r="H185" s="147"/>
      <c r="I185" s="148"/>
      <c r="J185" s="161">
        <f>SUM(J180:J184)</f>
        <v>-2.3082447078598674</v>
      </c>
      <c r="K185" s="161">
        <f>SUM(K180:K184)</f>
        <v>0.13425269952907515</v>
      </c>
      <c r="L185" s="95"/>
      <c r="M185" s="95"/>
      <c r="N185" s="95"/>
      <c r="O185" s="95"/>
    </row>
    <row r="186" spans="1:15" ht="15" customHeight="1">
      <c r="A186" s="95"/>
      <c r="B186" s="100" t="s">
        <v>246</v>
      </c>
      <c r="C186" s="100"/>
      <c r="D186" s="93" t="s">
        <v>247</v>
      </c>
      <c r="E186" s="136" t="s">
        <v>248</v>
      </c>
      <c r="F186" s="95"/>
      <c r="G186" s="111" t="str">
        <f>"X = x × LOG e = "&amp;E185&amp;" 이고,"</f>
        <v>X = x × LOG e = 0 이고,</v>
      </c>
      <c r="H186" s="111"/>
      <c r="I186" s="111" t="s">
        <v>249</v>
      </c>
      <c r="J186" s="111"/>
      <c r="K186" s="93"/>
      <c r="L186" s="95"/>
      <c r="M186" s="95"/>
      <c r="N186" s="95"/>
      <c r="O186" s="95"/>
    </row>
    <row r="187" spans="1:15" ht="15" customHeight="1">
      <c r="A187" s="95"/>
      <c r="B187" s="95"/>
      <c r="C187" s="95"/>
      <c r="D187" s="111" t="s">
        <v>250</v>
      </c>
      <c r="E187" s="111"/>
      <c r="F187" s="111"/>
      <c r="G187" s="111"/>
      <c r="H187" s="150">
        <f>ROUND(((E$185*K$185-F$185*J$185)/(COUNT(B$180:B$184)*F$185-E$185*E$185))/LOG(EXP(1)),5)</f>
        <v>1.0629900000000001</v>
      </c>
      <c r="I187" s="111"/>
      <c r="J187" s="111"/>
      <c r="K187" s="95"/>
      <c r="L187" s="95"/>
      <c r="M187" s="95"/>
      <c r="N187" s="95"/>
      <c r="O187" s="95"/>
    </row>
    <row r="188" spans="1:15" ht="15" customHeight="1">
      <c r="A188" s="95"/>
      <c r="B188" s="95"/>
      <c r="C188" s="95"/>
      <c r="D188" s="111" t="s">
        <v>251</v>
      </c>
      <c r="E188" s="111"/>
      <c r="F188" s="111"/>
      <c r="G188" s="162" t="s">
        <v>252</v>
      </c>
      <c r="H188" s="111"/>
      <c r="I188" s="111"/>
      <c r="J188" s="111"/>
      <c r="K188" s="163">
        <f>ROUND((COUNT(B$180:B$184)*K185-E185*J185)/(LOG(EXP(1))*(COUNT(B$180:B$184)*F185-E185*E185)),6)</f>
        <v>3.0913E-2</v>
      </c>
      <c r="L188" s="95"/>
      <c r="M188" s="95"/>
      <c r="N188" s="95"/>
      <c r="O188" s="95"/>
    </row>
    <row r="189" spans="1:15" ht="15" customHeight="1">
      <c r="A189" s="95"/>
      <c r="B189" s="95"/>
      <c r="C189" s="95"/>
      <c r="D189" s="111"/>
      <c r="E189" s="95"/>
      <c r="F189" s="93"/>
      <c r="G189" s="93"/>
      <c r="H189" s="111"/>
      <c r="I189" s="111"/>
      <c r="J189" s="152"/>
      <c r="K189" s="95"/>
      <c r="L189" s="95"/>
      <c r="M189" s="95"/>
      <c r="N189" s="95"/>
      <c r="O189" s="95"/>
    </row>
    <row r="190" spans="1:15" ht="15" customHeight="1" thickBot="1">
      <c r="A190" s="95"/>
      <c r="B190" s="95"/>
      <c r="C190" s="95"/>
      <c r="D190" s="95"/>
      <c r="E190" s="95"/>
      <c r="F190" s="100" t="s">
        <v>253</v>
      </c>
      <c r="G190" s="100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4" t="s">
        <v>254</v>
      </c>
      <c r="C191" s="94"/>
      <c r="D191" s="94" t="s">
        <v>255</v>
      </c>
      <c r="E191" s="94"/>
      <c r="F191" s="94" t="s">
        <v>256</v>
      </c>
      <c r="G191" s="94"/>
      <c r="H191" s="94" t="s">
        <v>257</v>
      </c>
      <c r="I191" s="94"/>
      <c r="J191" s="94" t="s">
        <v>258</v>
      </c>
      <c r="K191" s="94"/>
      <c r="L191" s="95"/>
      <c r="M191" s="95"/>
      <c r="N191" s="95"/>
      <c r="O191" s="95"/>
    </row>
    <row r="192" spans="1:15" ht="15" customHeight="1">
      <c r="A192" s="95"/>
      <c r="B192" s="112">
        <v>2014</v>
      </c>
      <c r="C192" s="100"/>
      <c r="D192" s="100">
        <f t="shared" ref="D192:D213" si="8">ROUNDUP(E$177/(1+EXP(1)^(H$187-K$188*(B192-B$180+0.5))),0)</f>
        <v>285</v>
      </c>
      <c r="E192" s="100"/>
      <c r="F192" s="100">
        <v>0</v>
      </c>
      <c r="G192" s="100"/>
      <c r="H192" s="100">
        <f t="shared" ref="H192:H213" si="9">ROUND(D192*(1+F192),0)</f>
        <v>285</v>
      </c>
      <c r="I192" s="100"/>
      <c r="J192" s="102">
        <v>0</v>
      </c>
      <c r="K192" s="102"/>
      <c r="L192" s="95"/>
      <c r="M192" s="95"/>
      <c r="N192" s="95"/>
      <c r="O192" s="95"/>
    </row>
    <row r="193" spans="1:15" ht="15" customHeight="1">
      <c r="A193" s="95"/>
      <c r="B193" s="115">
        <v>2015</v>
      </c>
      <c r="C193" s="116"/>
      <c r="D193" s="116">
        <f t="shared" si="8"/>
        <v>291</v>
      </c>
      <c r="E193" s="116"/>
      <c r="F193" s="116">
        <v>0</v>
      </c>
      <c r="G193" s="116"/>
      <c r="H193" s="116">
        <f t="shared" si="9"/>
        <v>291</v>
      </c>
      <c r="I193" s="116"/>
      <c r="J193" s="117">
        <v>0</v>
      </c>
      <c r="K193" s="117"/>
      <c r="L193" s="95"/>
      <c r="M193" s="95"/>
      <c r="N193" s="95"/>
      <c r="O193" s="95"/>
    </row>
    <row r="194" spans="1:15" ht="15" customHeight="1">
      <c r="A194" s="95"/>
      <c r="B194" s="112">
        <v>2016</v>
      </c>
      <c r="C194" s="113"/>
      <c r="D194" s="113">
        <f t="shared" si="8"/>
        <v>297</v>
      </c>
      <c r="E194" s="113"/>
      <c r="F194" s="113">
        <v>0</v>
      </c>
      <c r="G194" s="113"/>
      <c r="H194" s="113">
        <f t="shared" si="9"/>
        <v>297</v>
      </c>
      <c r="I194" s="113"/>
      <c r="J194" s="114">
        <v>0</v>
      </c>
      <c r="K194" s="114"/>
      <c r="L194" s="95"/>
      <c r="M194" s="95"/>
      <c r="N194" s="95"/>
      <c r="O194" s="95"/>
    </row>
    <row r="195" spans="1:15" ht="15" customHeight="1">
      <c r="A195" s="95"/>
      <c r="B195" s="112">
        <v>2017</v>
      </c>
      <c r="C195" s="113"/>
      <c r="D195" s="113">
        <f t="shared" si="8"/>
        <v>304</v>
      </c>
      <c r="E195" s="113"/>
      <c r="F195" s="113">
        <v>0</v>
      </c>
      <c r="G195" s="113"/>
      <c r="H195" s="113">
        <f t="shared" si="9"/>
        <v>304</v>
      </c>
      <c r="I195" s="113"/>
      <c r="J195" s="114">
        <v>0</v>
      </c>
      <c r="K195" s="114"/>
      <c r="L195" s="95"/>
      <c r="M195" s="95"/>
      <c r="N195" s="95"/>
      <c r="O195" s="95"/>
    </row>
    <row r="196" spans="1:15" ht="15" customHeight="1">
      <c r="A196" s="95"/>
      <c r="B196" s="112">
        <v>2018</v>
      </c>
      <c r="C196" s="113"/>
      <c r="D196" s="113">
        <f t="shared" si="8"/>
        <v>310</v>
      </c>
      <c r="E196" s="113"/>
      <c r="F196" s="113">
        <v>0</v>
      </c>
      <c r="G196" s="113"/>
      <c r="H196" s="113">
        <f t="shared" si="9"/>
        <v>310</v>
      </c>
      <c r="I196" s="113"/>
      <c r="J196" s="114">
        <v>0</v>
      </c>
      <c r="K196" s="114"/>
      <c r="L196" s="95"/>
      <c r="M196" s="95"/>
      <c r="N196" s="95"/>
      <c r="O196" s="95"/>
    </row>
    <row r="197" spans="1:15" ht="15" customHeight="1">
      <c r="A197" s="95"/>
      <c r="B197" s="112">
        <v>2019</v>
      </c>
      <c r="C197" s="113"/>
      <c r="D197" s="113">
        <f t="shared" si="8"/>
        <v>317</v>
      </c>
      <c r="E197" s="113"/>
      <c r="F197" s="113">
        <v>0</v>
      </c>
      <c r="G197" s="113"/>
      <c r="H197" s="113">
        <f t="shared" si="9"/>
        <v>317</v>
      </c>
      <c r="I197" s="113"/>
      <c r="J197" s="114">
        <v>0</v>
      </c>
      <c r="K197" s="114"/>
      <c r="L197" s="95"/>
      <c r="M197" s="95"/>
      <c r="N197" s="95"/>
      <c r="O197" s="95"/>
    </row>
    <row r="198" spans="1:15" ht="15" customHeight="1">
      <c r="A198" s="95"/>
      <c r="B198" s="115">
        <v>2020</v>
      </c>
      <c r="C198" s="116"/>
      <c r="D198" s="116">
        <f t="shared" si="8"/>
        <v>324</v>
      </c>
      <c r="E198" s="116"/>
      <c r="F198" s="116">
        <v>0</v>
      </c>
      <c r="G198" s="116"/>
      <c r="H198" s="116">
        <f t="shared" si="9"/>
        <v>324</v>
      </c>
      <c r="I198" s="116"/>
      <c r="J198" s="117">
        <v>0</v>
      </c>
      <c r="K198" s="117"/>
      <c r="L198" s="95"/>
      <c r="M198" s="95"/>
      <c r="N198" s="95"/>
      <c r="O198" s="95"/>
    </row>
    <row r="199" spans="1:15" ht="15" customHeight="1">
      <c r="A199" s="95"/>
      <c r="B199" s="112">
        <v>2021</v>
      </c>
      <c r="C199" s="113"/>
      <c r="D199" s="113">
        <f t="shared" si="8"/>
        <v>331</v>
      </c>
      <c r="E199" s="113"/>
      <c r="F199" s="113">
        <v>0</v>
      </c>
      <c r="G199" s="113"/>
      <c r="H199" s="113">
        <f t="shared" si="9"/>
        <v>331</v>
      </c>
      <c r="I199" s="113"/>
      <c r="J199" s="114">
        <v>0</v>
      </c>
      <c r="K199" s="114"/>
      <c r="L199" s="95"/>
      <c r="M199" s="95"/>
      <c r="N199" s="95"/>
      <c r="O199" s="95"/>
    </row>
    <row r="200" spans="1:15" ht="15" customHeight="1">
      <c r="A200" s="95"/>
      <c r="B200" s="112">
        <v>2022</v>
      </c>
      <c r="C200" s="113"/>
      <c r="D200" s="113">
        <f t="shared" si="8"/>
        <v>338</v>
      </c>
      <c r="E200" s="113"/>
      <c r="F200" s="113">
        <v>0</v>
      </c>
      <c r="G200" s="113"/>
      <c r="H200" s="113">
        <f t="shared" si="9"/>
        <v>338</v>
      </c>
      <c r="I200" s="113"/>
      <c r="J200" s="114">
        <v>0</v>
      </c>
      <c r="K200" s="114"/>
      <c r="L200" s="95"/>
      <c r="M200" s="95"/>
      <c r="N200" s="95"/>
      <c r="O200" s="95"/>
    </row>
    <row r="201" spans="1:15" ht="15" customHeight="1">
      <c r="A201" s="95"/>
      <c r="B201" s="112">
        <v>2023</v>
      </c>
      <c r="C201" s="113"/>
      <c r="D201" s="113">
        <f t="shared" si="8"/>
        <v>344</v>
      </c>
      <c r="E201" s="113"/>
      <c r="F201" s="113">
        <v>0</v>
      </c>
      <c r="G201" s="113"/>
      <c r="H201" s="113">
        <f t="shared" si="9"/>
        <v>344</v>
      </c>
      <c r="I201" s="113"/>
      <c r="J201" s="114">
        <v>0</v>
      </c>
      <c r="K201" s="114"/>
      <c r="L201" s="95"/>
      <c r="M201" s="95"/>
      <c r="N201" s="95"/>
      <c r="O201" s="95"/>
    </row>
    <row r="202" spans="1:15" ht="15" customHeight="1">
      <c r="A202" s="95"/>
      <c r="B202" s="112">
        <v>2024</v>
      </c>
      <c r="C202" s="113"/>
      <c r="D202" s="113">
        <f t="shared" si="8"/>
        <v>351</v>
      </c>
      <c r="E202" s="113"/>
      <c r="F202" s="113">
        <v>0</v>
      </c>
      <c r="G202" s="113"/>
      <c r="H202" s="113">
        <f t="shared" si="9"/>
        <v>351</v>
      </c>
      <c r="I202" s="113"/>
      <c r="J202" s="114">
        <v>0</v>
      </c>
      <c r="K202" s="114"/>
      <c r="L202" s="95"/>
      <c r="M202" s="95"/>
      <c r="N202" s="95"/>
      <c r="O202" s="95"/>
    </row>
    <row r="203" spans="1:15" ht="15" customHeight="1">
      <c r="A203" s="95"/>
      <c r="B203" s="115">
        <v>2025</v>
      </c>
      <c r="C203" s="116"/>
      <c r="D203" s="116">
        <f t="shared" si="8"/>
        <v>359</v>
      </c>
      <c r="E203" s="116"/>
      <c r="F203" s="116">
        <v>0</v>
      </c>
      <c r="G203" s="116"/>
      <c r="H203" s="116">
        <f t="shared" si="9"/>
        <v>359</v>
      </c>
      <c r="I203" s="116"/>
      <c r="J203" s="117">
        <v>0</v>
      </c>
      <c r="K203" s="117"/>
      <c r="L203" s="95"/>
      <c r="M203" s="95"/>
      <c r="N203" s="95"/>
      <c r="O203" s="95"/>
    </row>
    <row r="204" spans="1:15" ht="15" customHeight="1">
      <c r="A204" s="95"/>
      <c r="B204" s="112">
        <v>2026</v>
      </c>
      <c r="C204" s="113"/>
      <c r="D204" s="113">
        <f t="shared" si="8"/>
        <v>366</v>
      </c>
      <c r="E204" s="113"/>
      <c r="F204" s="113">
        <v>0</v>
      </c>
      <c r="G204" s="113"/>
      <c r="H204" s="113">
        <f t="shared" si="9"/>
        <v>366</v>
      </c>
      <c r="I204" s="113"/>
      <c r="J204" s="114">
        <v>0</v>
      </c>
      <c r="K204" s="114"/>
      <c r="L204" s="95"/>
      <c r="M204" s="95"/>
      <c r="N204" s="95"/>
      <c r="O204" s="95"/>
    </row>
    <row r="205" spans="1:15" ht="15" customHeight="1">
      <c r="A205" s="95"/>
      <c r="B205" s="112">
        <v>2027</v>
      </c>
      <c r="C205" s="113"/>
      <c r="D205" s="113">
        <f t="shared" si="8"/>
        <v>373</v>
      </c>
      <c r="E205" s="113"/>
      <c r="F205" s="113">
        <v>0</v>
      </c>
      <c r="G205" s="113"/>
      <c r="H205" s="113">
        <f t="shared" si="9"/>
        <v>373</v>
      </c>
      <c r="I205" s="113"/>
      <c r="J205" s="114">
        <v>0</v>
      </c>
      <c r="K205" s="114"/>
      <c r="L205" s="95"/>
      <c r="M205" s="95"/>
      <c r="N205" s="95"/>
      <c r="O205" s="95"/>
    </row>
    <row r="206" spans="1:15" ht="15" customHeight="1">
      <c r="A206" s="95"/>
      <c r="B206" s="112">
        <v>2028</v>
      </c>
      <c r="C206" s="113"/>
      <c r="D206" s="113">
        <f t="shared" si="8"/>
        <v>380</v>
      </c>
      <c r="E206" s="113"/>
      <c r="F206" s="113">
        <v>0</v>
      </c>
      <c r="G206" s="113"/>
      <c r="H206" s="113">
        <f t="shared" si="9"/>
        <v>380</v>
      </c>
      <c r="I206" s="113"/>
      <c r="J206" s="114">
        <v>0</v>
      </c>
      <c r="K206" s="114"/>
      <c r="L206" s="95"/>
      <c r="M206" s="95"/>
      <c r="N206" s="95"/>
      <c r="O206" s="95"/>
    </row>
    <row r="207" spans="1:15" ht="15" customHeight="1">
      <c r="A207" s="95"/>
      <c r="B207" s="112">
        <v>2029</v>
      </c>
      <c r="C207" s="113"/>
      <c r="D207" s="113">
        <f t="shared" si="8"/>
        <v>387</v>
      </c>
      <c r="E207" s="113"/>
      <c r="F207" s="113">
        <v>0</v>
      </c>
      <c r="G207" s="113"/>
      <c r="H207" s="113">
        <f t="shared" si="9"/>
        <v>387</v>
      </c>
      <c r="I207" s="113"/>
      <c r="J207" s="114">
        <v>0</v>
      </c>
      <c r="K207" s="114"/>
      <c r="L207" s="95"/>
      <c r="M207" s="95"/>
      <c r="N207" s="95"/>
      <c r="O207" s="95"/>
    </row>
    <row r="208" spans="1:15" ht="15" customHeight="1">
      <c r="A208" s="95"/>
      <c r="B208" s="115">
        <v>2030</v>
      </c>
      <c r="C208" s="116"/>
      <c r="D208" s="116">
        <f t="shared" si="8"/>
        <v>395</v>
      </c>
      <c r="E208" s="116"/>
      <c r="F208" s="116">
        <v>0</v>
      </c>
      <c r="G208" s="116"/>
      <c r="H208" s="116">
        <f t="shared" si="9"/>
        <v>395</v>
      </c>
      <c r="I208" s="116"/>
      <c r="J208" s="117">
        <v>0</v>
      </c>
      <c r="K208" s="117"/>
      <c r="L208" s="95"/>
      <c r="M208" s="95"/>
      <c r="N208" s="95"/>
      <c r="O208" s="95"/>
    </row>
    <row r="209" spans="1:15" ht="15" customHeight="1">
      <c r="A209" s="95"/>
      <c r="B209" s="112">
        <v>2031</v>
      </c>
      <c r="C209" s="113"/>
      <c r="D209" s="113">
        <f t="shared" si="8"/>
        <v>402</v>
      </c>
      <c r="E209" s="113"/>
      <c r="F209" s="113">
        <v>0</v>
      </c>
      <c r="G209" s="113"/>
      <c r="H209" s="113">
        <f t="shared" si="9"/>
        <v>402</v>
      </c>
      <c r="I209" s="113"/>
      <c r="J209" s="114">
        <v>0</v>
      </c>
      <c r="K209" s="114"/>
      <c r="L209" s="95"/>
      <c r="M209" s="95"/>
      <c r="N209" s="95"/>
      <c r="O209" s="95"/>
    </row>
    <row r="210" spans="1:15" ht="15" customHeight="1">
      <c r="A210" s="95"/>
      <c r="B210" s="112">
        <v>2032</v>
      </c>
      <c r="C210" s="113"/>
      <c r="D210" s="113">
        <f t="shared" si="8"/>
        <v>410</v>
      </c>
      <c r="E210" s="113"/>
      <c r="F210" s="113">
        <v>0</v>
      </c>
      <c r="G210" s="113"/>
      <c r="H210" s="113">
        <f t="shared" si="9"/>
        <v>410</v>
      </c>
      <c r="I210" s="113"/>
      <c r="J210" s="114">
        <v>0</v>
      </c>
      <c r="K210" s="114"/>
      <c r="L210" s="95"/>
      <c r="M210" s="95"/>
      <c r="N210" s="95"/>
      <c r="O210" s="95"/>
    </row>
    <row r="211" spans="1:15" ht="15" customHeight="1">
      <c r="A211" s="95"/>
      <c r="B211" s="112">
        <v>2033</v>
      </c>
      <c r="C211" s="113"/>
      <c r="D211" s="113">
        <f t="shared" si="8"/>
        <v>417</v>
      </c>
      <c r="E211" s="113"/>
      <c r="F211" s="113">
        <v>0</v>
      </c>
      <c r="G211" s="113"/>
      <c r="H211" s="113">
        <f t="shared" si="9"/>
        <v>417</v>
      </c>
      <c r="I211" s="113"/>
      <c r="J211" s="114">
        <v>0</v>
      </c>
      <c r="K211" s="114"/>
      <c r="L211" s="95"/>
      <c r="M211" s="95"/>
      <c r="N211" s="95"/>
      <c r="O211" s="95"/>
    </row>
    <row r="212" spans="1:15" ht="15" customHeight="1">
      <c r="A212" s="95"/>
      <c r="B212" s="112">
        <v>2034</v>
      </c>
      <c r="C212" s="113"/>
      <c r="D212" s="113">
        <f t="shared" si="8"/>
        <v>425</v>
      </c>
      <c r="E212" s="113"/>
      <c r="F212" s="113">
        <v>0</v>
      </c>
      <c r="G212" s="113"/>
      <c r="H212" s="113">
        <f t="shared" si="9"/>
        <v>425</v>
      </c>
      <c r="I212" s="113"/>
      <c r="J212" s="114">
        <v>0</v>
      </c>
      <c r="K212" s="114"/>
      <c r="L212" s="95"/>
      <c r="M212" s="95"/>
      <c r="N212" s="95"/>
      <c r="O212" s="95"/>
    </row>
    <row r="213" spans="1:15" ht="15" customHeight="1" thickBot="1">
      <c r="A213" s="95"/>
      <c r="B213" s="115">
        <v>2035</v>
      </c>
      <c r="C213" s="116"/>
      <c r="D213" s="116">
        <f t="shared" si="8"/>
        <v>432</v>
      </c>
      <c r="E213" s="116"/>
      <c r="F213" s="116">
        <v>0</v>
      </c>
      <c r="G213" s="116"/>
      <c r="H213" s="116">
        <f t="shared" si="9"/>
        <v>432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95"/>
      <c r="M214" s="95"/>
      <c r="N214" s="95"/>
      <c r="O214" s="95"/>
    </row>
    <row r="215" spans="1:15" ht="15" customHeight="1">
      <c r="A215" s="95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95"/>
      <c r="M215" s="95"/>
      <c r="N215" s="95"/>
      <c r="O215" s="95"/>
    </row>
    <row r="216" spans="1:15" ht="15" customHeight="1">
      <c r="A216" s="95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95"/>
      <c r="M216" s="95"/>
      <c r="N216" s="95"/>
      <c r="O216" s="95"/>
    </row>
    <row r="217" spans="1:15" ht="15" customHeight="1">
      <c r="A217" s="95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95"/>
      <c r="M217" s="95"/>
      <c r="N217" s="95"/>
      <c r="O217" s="95"/>
    </row>
    <row r="218" spans="1:15" ht="15" customHeight="1">
      <c r="A218" s="95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95"/>
      <c r="M218" s="95"/>
      <c r="N218" s="95"/>
      <c r="O218" s="95"/>
    </row>
    <row r="219" spans="1:15" ht="15" customHeight="1" thickBot="1">
      <c r="A219" s="95"/>
      <c r="B219" s="95"/>
      <c r="C219" s="95"/>
      <c r="D219" s="95"/>
      <c r="E219" s="95"/>
      <c r="F219" s="100" t="s">
        <v>259</v>
      </c>
      <c r="G219" s="100"/>
      <c r="H219" s="95"/>
      <c r="I219" s="95"/>
      <c r="J219" s="95"/>
      <c r="K219" s="128" t="s">
        <v>260</v>
      </c>
      <c r="L219" s="95"/>
      <c r="M219" s="95"/>
      <c r="N219" s="95"/>
      <c r="O219" s="95"/>
    </row>
    <row r="220" spans="1:15" ht="15" customHeight="1">
      <c r="A220" s="95"/>
      <c r="B220" s="94" t="s">
        <v>254</v>
      </c>
      <c r="C220" s="94"/>
      <c r="D220" s="94" t="s">
        <v>261</v>
      </c>
      <c r="E220" s="94" t="s">
        <v>262</v>
      </c>
      <c r="F220" s="94" t="s">
        <v>263</v>
      </c>
      <c r="G220" s="94" t="s">
        <v>279</v>
      </c>
      <c r="H220" s="94" t="s">
        <v>264</v>
      </c>
      <c r="I220" s="94" t="s">
        <v>265</v>
      </c>
      <c r="J220" s="94" t="s">
        <v>266</v>
      </c>
      <c r="K220" s="94"/>
      <c r="L220" s="95"/>
      <c r="M220" s="95"/>
      <c r="N220" s="95">
        <v>396</v>
      </c>
      <c r="O220" s="95">
        <v>386</v>
      </c>
    </row>
    <row r="221" spans="1:15" ht="15" customHeight="1">
      <c r="A221" s="95"/>
      <c r="B221" s="112">
        <v>2014</v>
      </c>
      <c r="C221" s="113"/>
      <c r="D221" s="153">
        <f t="array" ref="D221">IF(B21=B221,H21)</f>
        <v>292</v>
      </c>
      <c r="E221" s="153">
        <f t="array" ref="E221">IF(B55=B221,H55)</f>
        <v>292</v>
      </c>
      <c r="F221" s="153">
        <f t="array" ref="F221">IF(B105=B221,H105)</f>
        <v>269</v>
      </c>
      <c r="G221" s="153">
        <f t="array" ref="G221">IF(B147=B221,H147)</f>
        <v>280</v>
      </c>
      <c r="H221" s="153">
        <f t="array" ref="H221">IF(B192=B221,H192)</f>
        <v>285</v>
      </c>
      <c r="I221" s="153">
        <f t="shared" ref="I221:I242" si="10">IF(G221=0,AVERAGE(D221,E221,F221,H221),AVERAGE(D221:H221))</f>
        <v>283.60000000000002</v>
      </c>
      <c r="J221" s="164">
        <f t="shared" ref="J221:J242" si="11">ROUND(AVERAGE(D221,F221:G221),0)</f>
        <v>280</v>
      </c>
      <c r="K221" s="156"/>
      <c r="L221" s="95"/>
      <c r="M221" s="95"/>
      <c r="N221" s="95"/>
      <c r="O221" s="95"/>
    </row>
    <row r="222" spans="1:15" ht="15" customHeight="1">
      <c r="A222" s="95"/>
      <c r="B222" s="115">
        <v>2015</v>
      </c>
      <c r="C222" s="116"/>
      <c r="D222" s="154">
        <f t="array" ref="D222">IF(B22=B222,H22)</f>
        <v>297</v>
      </c>
      <c r="E222" s="154">
        <f t="array" ref="E222">IF(B56=B222,H56)</f>
        <v>297</v>
      </c>
      <c r="F222" s="154">
        <f t="array" ref="F222">IF(B106=B222,H106)</f>
        <v>275</v>
      </c>
      <c r="G222" s="154">
        <f t="array" ref="G222">IF(B148=B222,H148)</f>
        <v>279</v>
      </c>
      <c r="H222" s="154">
        <f t="array" ref="H222">IF(B193=B222,H193)</f>
        <v>291</v>
      </c>
      <c r="I222" s="154">
        <f t="shared" si="10"/>
        <v>287.8</v>
      </c>
      <c r="J222" s="165">
        <f t="shared" si="11"/>
        <v>284</v>
      </c>
      <c r="K222" s="155"/>
      <c r="L222" s="95"/>
      <c r="M222" s="95"/>
      <c r="N222" s="95"/>
      <c r="O222" s="95"/>
    </row>
    <row r="223" spans="1:15" ht="15" customHeight="1">
      <c r="A223" s="95"/>
      <c r="B223" s="112">
        <v>2016</v>
      </c>
      <c r="C223" s="113"/>
      <c r="D223" s="153">
        <f t="array" ref="D223">IF(B23=B223,H23)</f>
        <v>301</v>
      </c>
      <c r="E223" s="153">
        <f t="array" ref="E223">IF(B57=B223,H57)</f>
        <v>301</v>
      </c>
      <c r="F223" s="153">
        <f t="array" ref="F223">IF(B107=B223,H107)</f>
        <v>281</v>
      </c>
      <c r="G223" s="153">
        <f t="array" ref="G223">IF(B149=B223,H149)</f>
        <v>279</v>
      </c>
      <c r="H223" s="153">
        <f t="array" ref="H223">IF(B194=B223,H194)</f>
        <v>297</v>
      </c>
      <c r="I223" s="153">
        <f t="shared" si="10"/>
        <v>291.8</v>
      </c>
      <c r="J223" s="164">
        <f t="shared" si="11"/>
        <v>287</v>
      </c>
      <c r="K223" s="156"/>
      <c r="L223" s="95"/>
      <c r="M223" s="95"/>
      <c r="N223" s="95"/>
      <c r="O223" s="95"/>
    </row>
    <row r="224" spans="1:15" ht="15" customHeight="1">
      <c r="A224" s="95"/>
      <c r="B224" s="112">
        <v>2017</v>
      </c>
      <c r="C224" s="113"/>
      <c r="D224" s="153">
        <f t="array" ref="D224">IF(B24=B224,H24)</f>
        <v>306</v>
      </c>
      <c r="E224" s="153">
        <f t="array" ref="E224">IF(B58=B224,H58)</f>
        <v>306</v>
      </c>
      <c r="F224" s="153">
        <f t="array" ref="F224">IF(B108=B224,H108)</f>
        <v>287</v>
      </c>
      <c r="G224" s="153">
        <f t="array" ref="G224">IF(B150=B224,H150)</f>
        <v>278</v>
      </c>
      <c r="H224" s="153">
        <f t="array" ref="H224">IF(B195=B224,H195)</f>
        <v>304</v>
      </c>
      <c r="I224" s="153">
        <f t="shared" si="10"/>
        <v>296.2</v>
      </c>
      <c r="J224" s="164">
        <f t="shared" si="11"/>
        <v>290</v>
      </c>
      <c r="K224" s="156"/>
      <c r="L224" s="95"/>
      <c r="M224" s="95"/>
      <c r="N224" s="95"/>
      <c r="O224" s="95"/>
    </row>
    <row r="225" spans="1:15" ht="15" customHeight="1">
      <c r="A225" s="95"/>
      <c r="B225" s="112">
        <v>2018</v>
      </c>
      <c r="C225" s="113"/>
      <c r="D225" s="153">
        <f t="array" ref="D225">IF(B25=B225,H25)</f>
        <v>310</v>
      </c>
      <c r="E225" s="153">
        <f t="array" ref="E225">IF(B59=B225,H59)</f>
        <v>311</v>
      </c>
      <c r="F225" s="153">
        <f t="array" ref="F225">IF(B109=B225,H109)</f>
        <v>293</v>
      </c>
      <c r="G225" s="153">
        <f t="array" ref="G225">IF(B151=B225,H151)</f>
        <v>278</v>
      </c>
      <c r="H225" s="153">
        <f t="array" ref="H225">IF(B196=B225,H196)</f>
        <v>310</v>
      </c>
      <c r="I225" s="153">
        <f t="shared" si="10"/>
        <v>300.39999999999998</v>
      </c>
      <c r="J225" s="164">
        <f t="shared" si="11"/>
        <v>294</v>
      </c>
      <c r="K225" s="156"/>
      <c r="L225" s="95"/>
      <c r="M225" s="95"/>
      <c r="N225" s="95"/>
      <c r="O225" s="95"/>
    </row>
    <row r="226" spans="1:15" ht="15" customHeight="1">
      <c r="A226" s="95"/>
      <c r="B226" s="112">
        <v>2019</v>
      </c>
      <c r="C226" s="113"/>
      <c r="D226" s="153">
        <f t="array" ref="D226">IF(B26=B226,H26)</f>
        <v>315</v>
      </c>
      <c r="E226" s="153">
        <f t="array" ref="E226">IF(B60=B226,H60)</f>
        <v>316</v>
      </c>
      <c r="F226" s="153">
        <f t="array" ref="F226">IF(B110=B226,H110)</f>
        <v>299</v>
      </c>
      <c r="G226" s="153">
        <f t="array" ref="G226">IF(B152=B226,H152)</f>
        <v>278</v>
      </c>
      <c r="H226" s="153">
        <f t="array" ref="H226">IF(B197=B226,H197)</f>
        <v>317</v>
      </c>
      <c r="I226" s="153">
        <f t="shared" si="10"/>
        <v>305</v>
      </c>
      <c r="J226" s="164">
        <f t="shared" si="11"/>
        <v>297</v>
      </c>
      <c r="K226" s="156"/>
      <c r="L226" s="95"/>
      <c r="M226" s="95"/>
      <c r="N226" s="95"/>
      <c r="O226" s="95"/>
    </row>
    <row r="227" spans="1:15" ht="15" customHeight="1">
      <c r="A227" s="95"/>
      <c r="B227" s="115">
        <v>2020</v>
      </c>
      <c r="C227" s="116"/>
      <c r="D227" s="154">
        <f t="array" ref="D227">IF(B27=B227,H27)</f>
        <v>319</v>
      </c>
      <c r="E227" s="154">
        <f t="array" ref="E227">IF(B61=B227,H61)</f>
        <v>321</v>
      </c>
      <c r="F227" s="154">
        <f t="array" ref="F227">IF(B111=B227,H111)</f>
        <v>305</v>
      </c>
      <c r="G227" s="154">
        <f t="array" ref="G227">IF(B153=B227,H153)</f>
        <v>278</v>
      </c>
      <c r="H227" s="154">
        <f t="array" ref="H227">IF(B198=B227,H198)</f>
        <v>324</v>
      </c>
      <c r="I227" s="154">
        <f t="shared" si="10"/>
        <v>309.39999999999998</v>
      </c>
      <c r="J227" s="165">
        <f t="shared" si="11"/>
        <v>301</v>
      </c>
      <c r="K227" s="155"/>
      <c r="L227" s="95"/>
      <c r="M227" s="95"/>
      <c r="N227" s="95"/>
      <c r="O227" s="95"/>
    </row>
    <row r="228" spans="1:15" ht="15" customHeight="1">
      <c r="A228" s="95"/>
      <c r="B228" s="112">
        <v>2021</v>
      </c>
      <c r="C228" s="113"/>
      <c r="D228" s="153">
        <f t="array" ref="D228">IF(B28=B228,H28)</f>
        <v>324</v>
      </c>
      <c r="E228" s="153">
        <f t="array" ref="E228">IF(B62=B228,H62)</f>
        <v>326</v>
      </c>
      <c r="F228" s="153">
        <f t="array" ref="F228">IF(B112=B228,H112)</f>
        <v>311</v>
      </c>
      <c r="G228" s="153">
        <f t="array" ref="G228">IF(B154=B228,H154)</f>
        <v>277</v>
      </c>
      <c r="H228" s="153">
        <f t="array" ref="H228">IF(B199=B228,H199)</f>
        <v>331</v>
      </c>
      <c r="I228" s="153">
        <f t="shared" si="10"/>
        <v>313.8</v>
      </c>
      <c r="J228" s="164">
        <f t="shared" si="11"/>
        <v>304</v>
      </c>
      <c r="K228" s="156"/>
      <c r="L228" s="95"/>
      <c r="M228" s="95"/>
      <c r="N228" s="95"/>
      <c r="O228" s="95"/>
    </row>
    <row r="229" spans="1:15" ht="15" customHeight="1">
      <c r="A229" s="95"/>
      <c r="B229" s="112">
        <v>2022</v>
      </c>
      <c r="C229" s="113"/>
      <c r="D229" s="153">
        <f t="array" ref="D229">IF(B29=B229,H29)</f>
        <v>328</v>
      </c>
      <c r="E229" s="153">
        <f t="array" ref="E229">IF(B63=B229,H63)</f>
        <v>332</v>
      </c>
      <c r="F229" s="153">
        <f t="array" ref="F229">IF(B113=B229,H113)</f>
        <v>317</v>
      </c>
      <c r="G229" s="153">
        <f t="array" ref="G229">IF(B155=B229,H155)</f>
        <v>277</v>
      </c>
      <c r="H229" s="153">
        <f t="array" ref="H229">IF(B200=B229,H200)</f>
        <v>338</v>
      </c>
      <c r="I229" s="153">
        <f t="shared" si="10"/>
        <v>318.39999999999998</v>
      </c>
      <c r="J229" s="164">
        <f t="shared" si="11"/>
        <v>307</v>
      </c>
      <c r="K229" s="156"/>
      <c r="L229" s="95"/>
      <c r="M229" s="95"/>
      <c r="N229" s="95"/>
      <c r="O229" s="95"/>
    </row>
    <row r="230" spans="1:15" ht="15" customHeight="1">
      <c r="A230" s="95"/>
      <c r="B230" s="112">
        <v>2023</v>
      </c>
      <c r="C230" s="113"/>
      <c r="D230" s="153">
        <f t="array" ref="D230">IF(B30=B230,H30)</f>
        <v>333</v>
      </c>
      <c r="E230" s="153">
        <f t="array" ref="E230">IF(B64=B230,H64)</f>
        <v>337</v>
      </c>
      <c r="F230" s="153">
        <f t="array" ref="F230">IF(B114=B230,H114)</f>
        <v>323</v>
      </c>
      <c r="G230" s="153">
        <f t="array" ref="G230">IF(B156=B230,H156)</f>
        <v>277</v>
      </c>
      <c r="H230" s="153">
        <f t="array" ref="H230">IF(B201=B230,H201)</f>
        <v>344</v>
      </c>
      <c r="I230" s="153">
        <f t="shared" si="10"/>
        <v>322.8</v>
      </c>
      <c r="J230" s="164">
        <f t="shared" si="11"/>
        <v>311</v>
      </c>
      <c r="K230" s="156"/>
      <c r="L230" s="95"/>
      <c r="M230" s="95"/>
      <c r="N230" s="95"/>
      <c r="O230" s="95"/>
    </row>
    <row r="231" spans="1:15" ht="15" customHeight="1">
      <c r="A231" s="95"/>
      <c r="B231" s="112">
        <v>2024</v>
      </c>
      <c r="C231" s="113"/>
      <c r="D231" s="153">
        <f t="array" ref="D231">IF(B31=B231,H31)</f>
        <v>337</v>
      </c>
      <c r="E231" s="153">
        <f t="array" ref="E231">IF(B65=B231,H65)</f>
        <v>342</v>
      </c>
      <c r="F231" s="153">
        <f t="array" ref="F231">IF(B115=B231,H115)</f>
        <v>329</v>
      </c>
      <c r="G231" s="153">
        <f t="array" ref="G231">IF(B157=B231,H157)</f>
        <v>277</v>
      </c>
      <c r="H231" s="153">
        <f t="array" ref="H231">IF(B202=B231,H202)</f>
        <v>351</v>
      </c>
      <c r="I231" s="153">
        <f t="shared" si="10"/>
        <v>327.2</v>
      </c>
      <c r="J231" s="164">
        <f t="shared" si="11"/>
        <v>314</v>
      </c>
      <c r="K231" s="156"/>
      <c r="L231" s="95"/>
      <c r="M231" s="95"/>
      <c r="N231" s="95"/>
      <c r="O231" s="95"/>
    </row>
    <row r="232" spans="1:15" ht="15" customHeight="1">
      <c r="A232" s="95"/>
      <c r="B232" s="115">
        <v>2025</v>
      </c>
      <c r="C232" s="116"/>
      <c r="D232" s="154">
        <f t="array" ref="D232">IF(B32=B232,H32)</f>
        <v>342</v>
      </c>
      <c r="E232" s="154">
        <f t="array" ref="E232">IF(B66=B232,H66)</f>
        <v>348</v>
      </c>
      <c r="F232" s="154">
        <f t="array" ref="F232">IF(B116=B232,H116)</f>
        <v>335</v>
      </c>
      <c r="G232" s="154">
        <f t="array" ref="G232">IF(B158=B232,H158)</f>
        <v>277</v>
      </c>
      <c r="H232" s="154">
        <f t="array" ref="H232">IF(B203=B232,H203)</f>
        <v>359</v>
      </c>
      <c r="I232" s="154">
        <f t="shared" si="10"/>
        <v>332.2</v>
      </c>
      <c r="J232" s="165">
        <f t="shared" si="11"/>
        <v>318</v>
      </c>
      <c r="K232" s="155"/>
      <c r="L232" s="95"/>
      <c r="M232" s="95"/>
      <c r="N232" s="95"/>
      <c r="O232" s="95"/>
    </row>
    <row r="233" spans="1:15" ht="15" customHeight="1">
      <c r="A233" s="95"/>
      <c r="B233" s="112">
        <v>2026</v>
      </c>
      <c r="C233" s="113"/>
      <c r="D233" s="153">
        <f t="array" ref="D233">IF(B33=B233,H33)</f>
        <v>346</v>
      </c>
      <c r="E233" s="153">
        <f t="array" ref="E233">IF(B67=B233,H67)</f>
        <v>353</v>
      </c>
      <c r="F233" s="153">
        <f t="array" ref="F233">IF(B117=B233,H117)</f>
        <v>341</v>
      </c>
      <c r="G233" s="153">
        <f t="array" ref="G233">IF(B159=B233,H159)</f>
        <v>277</v>
      </c>
      <c r="H233" s="153">
        <f t="array" ref="H233">IF(B204=B233,H204)</f>
        <v>366</v>
      </c>
      <c r="I233" s="153">
        <f t="shared" si="10"/>
        <v>336.6</v>
      </c>
      <c r="J233" s="164">
        <f t="shared" si="11"/>
        <v>321</v>
      </c>
      <c r="K233" s="156"/>
      <c r="L233" s="95"/>
      <c r="M233" s="95"/>
      <c r="N233" s="95"/>
      <c r="O233" s="95"/>
    </row>
    <row r="234" spans="1:15" ht="15" customHeight="1">
      <c r="A234" s="95"/>
      <c r="B234" s="112">
        <v>2027</v>
      </c>
      <c r="C234" s="113"/>
      <c r="D234" s="153">
        <f t="array" ref="D234">IF(B34=B234,H34)</f>
        <v>351</v>
      </c>
      <c r="E234" s="153">
        <f t="array" ref="E234">IF(B68=B234,H68)</f>
        <v>359</v>
      </c>
      <c r="F234" s="153">
        <f t="array" ref="F234">IF(B118=B234,H118)</f>
        <v>347</v>
      </c>
      <c r="G234" s="153">
        <f t="array" ref="G234">IF(B160=B234,H160)</f>
        <v>277</v>
      </c>
      <c r="H234" s="153">
        <f t="array" ref="H234">IF(B205=B234,H205)</f>
        <v>373</v>
      </c>
      <c r="I234" s="153">
        <f t="shared" si="10"/>
        <v>341.4</v>
      </c>
      <c r="J234" s="164">
        <f t="shared" si="11"/>
        <v>325</v>
      </c>
      <c r="K234" s="156"/>
      <c r="L234" s="95"/>
      <c r="M234" s="95"/>
      <c r="N234" s="95"/>
      <c r="O234" s="95"/>
    </row>
    <row r="235" spans="1:15" ht="15" customHeight="1">
      <c r="A235" s="95"/>
      <c r="B235" s="112">
        <v>2028</v>
      </c>
      <c r="C235" s="113"/>
      <c r="D235" s="153">
        <f t="array" ref="D235">IF(B35=B235,H35)</f>
        <v>355</v>
      </c>
      <c r="E235" s="153">
        <f t="array" ref="E235">IF(B69=B235,H69)</f>
        <v>365</v>
      </c>
      <c r="F235" s="153">
        <f t="array" ref="F235">IF(B119=B235,H119)</f>
        <v>353</v>
      </c>
      <c r="G235" s="153">
        <f t="array" ref="G235">IF(B161=B235,H161)</f>
        <v>277</v>
      </c>
      <c r="H235" s="153">
        <f t="array" ref="H235">IF(B206=B235,H206)</f>
        <v>380</v>
      </c>
      <c r="I235" s="153">
        <f t="shared" si="10"/>
        <v>346</v>
      </c>
      <c r="J235" s="164">
        <f t="shared" si="11"/>
        <v>328</v>
      </c>
      <c r="K235" s="156"/>
      <c r="L235" s="95"/>
      <c r="M235" s="95"/>
      <c r="N235" s="95"/>
      <c r="O235" s="95"/>
    </row>
    <row r="236" spans="1:15" ht="15" customHeight="1">
      <c r="A236" s="95"/>
      <c r="B236" s="112">
        <v>2029</v>
      </c>
      <c r="C236" s="113"/>
      <c r="D236" s="153">
        <f t="array" ref="D236">IF(B36=B236,H36)</f>
        <v>360</v>
      </c>
      <c r="E236" s="153">
        <f t="array" ref="E236">IF(B70=B236,H70)</f>
        <v>371</v>
      </c>
      <c r="F236" s="153">
        <f t="array" ref="F236">IF(B120=B236,H120)</f>
        <v>359</v>
      </c>
      <c r="G236" s="153">
        <f t="array" ref="G236">IF(B162=B236,H162)</f>
        <v>276</v>
      </c>
      <c r="H236" s="153">
        <f t="array" ref="H236">IF(B207=B236,H207)</f>
        <v>387</v>
      </c>
      <c r="I236" s="153">
        <f t="shared" si="10"/>
        <v>350.6</v>
      </c>
      <c r="J236" s="164">
        <f t="shared" si="11"/>
        <v>332</v>
      </c>
      <c r="K236" s="156"/>
      <c r="L236" s="95"/>
      <c r="M236" s="95"/>
      <c r="N236" s="95"/>
      <c r="O236" s="95"/>
    </row>
    <row r="237" spans="1:15" ht="15" customHeight="1">
      <c r="A237" s="95"/>
      <c r="B237" s="115">
        <v>2030</v>
      </c>
      <c r="C237" s="116"/>
      <c r="D237" s="154">
        <f t="array" ref="D237">IF(B37=B237,H37)</f>
        <v>364</v>
      </c>
      <c r="E237" s="154">
        <f t="array" ref="E237">IF(B71=B237,H71)</f>
        <v>377</v>
      </c>
      <c r="F237" s="154">
        <f t="array" ref="F237">IF(B121=B237,H121)</f>
        <v>365</v>
      </c>
      <c r="G237" s="154">
        <f t="array" ref="G237">IF(B163=B237,H163)</f>
        <v>276</v>
      </c>
      <c r="H237" s="154">
        <f t="array" ref="H237">IF(B208=B237,H208)</f>
        <v>395</v>
      </c>
      <c r="I237" s="154">
        <f t="shared" si="10"/>
        <v>355.4</v>
      </c>
      <c r="J237" s="165">
        <f t="shared" si="11"/>
        <v>335</v>
      </c>
      <c r="K237" s="155"/>
      <c r="L237" s="95"/>
      <c r="M237" s="95"/>
      <c r="N237" s="95"/>
      <c r="O237" s="95"/>
    </row>
    <row r="238" spans="1:15" ht="15" customHeight="1">
      <c r="A238" s="95"/>
      <c r="B238" s="112">
        <v>2031</v>
      </c>
      <c r="C238" s="113"/>
      <c r="D238" s="153">
        <f t="array" ref="D238">IF(B38=B238,H38)</f>
        <v>369</v>
      </c>
      <c r="E238" s="153">
        <f t="array" ref="E238">IF(B72=B238,H72)</f>
        <v>383</v>
      </c>
      <c r="F238" s="153">
        <f t="array" ref="F238">IF(B122=B238,H122)</f>
        <v>371</v>
      </c>
      <c r="G238" s="153">
        <f t="array" ref="G238">IF(B164=B238,H164)</f>
        <v>276</v>
      </c>
      <c r="H238" s="153">
        <f t="array" ref="H238">IF(B209=B238,H209)</f>
        <v>402</v>
      </c>
      <c r="I238" s="153">
        <f t="shared" si="10"/>
        <v>360.2</v>
      </c>
      <c r="J238" s="164">
        <f t="shared" si="11"/>
        <v>339</v>
      </c>
      <c r="K238" s="156"/>
      <c r="L238" s="95"/>
      <c r="M238" s="95"/>
      <c r="N238" s="95"/>
      <c r="O238" s="95"/>
    </row>
    <row r="239" spans="1:15" ht="15" customHeight="1">
      <c r="A239" s="95"/>
      <c r="B239" s="112">
        <v>2032</v>
      </c>
      <c r="C239" s="113"/>
      <c r="D239" s="153">
        <f t="array" ref="D239">IF(B39=B239,H39)</f>
        <v>373</v>
      </c>
      <c r="E239" s="153">
        <f t="array" ref="E239">IF(B73=B239,H73)</f>
        <v>389</v>
      </c>
      <c r="F239" s="153">
        <f t="array" ref="F239">IF(B123=B239,H123)</f>
        <v>377</v>
      </c>
      <c r="G239" s="153">
        <f t="array" ref="G239">IF(B165=B239,H165)</f>
        <v>276</v>
      </c>
      <c r="H239" s="153">
        <f t="array" ref="H239">IF(B210=B239,H210)</f>
        <v>410</v>
      </c>
      <c r="I239" s="153">
        <f t="shared" si="10"/>
        <v>365</v>
      </c>
      <c r="J239" s="164">
        <f t="shared" si="11"/>
        <v>342</v>
      </c>
      <c r="K239" s="156"/>
      <c r="L239" s="95"/>
      <c r="M239" s="95"/>
      <c r="N239" s="95"/>
      <c r="O239" s="95"/>
    </row>
    <row r="240" spans="1:15" ht="15" customHeight="1">
      <c r="A240" s="95"/>
      <c r="B240" s="112">
        <v>2033</v>
      </c>
      <c r="C240" s="113"/>
      <c r="D240" s="153">
        <f t="array" ref="D240">IF(B40=B240,H40)</f>
        <v>378</v>
      </c>
      <c r="E240" s="153">
        <f t="array" ref="E240">IF(B74=B240,H74)</f>
        <v>395</v>
      </c>
      <c r="F240" s="153">
        <f t="array" ref="F240">IF(B124=B240,H124)</f>
        <v>383</v>
      </c>
      <c r="G240" s="153">
        <f t="array" ref="G240">IF(B166=B240,H166)</f>
        <v>276</v>
      </c>
      <c r="H240" s="153">
        <f t="array" ref="H240">IF(B211=B240,H211)</f>
        <v>417</v>
      </c>
      <c r="I240" s="153">
        <f t="shared" si="10"/>
        <v>369.8</v>
      </c>
      <c r="J240" s="164">
        <f t="shared" si="11"/>
        <v>346</v>
      </c>
      <c r="K240" s="156"/>
      <c r="L240" s="95"/>
      <c r="M240" s="95"/>
      <c r="N240" s="95"/>
      <c r="O240" s="95"/>
    </row>
    <row r="241" spans="1:15" ht="15" customHeight="1">
      <c r="A241" s="95"/>
      <c r="B241" s="112">
        <v>2034</v>
      </c>
      <c r="C241" s="113"/>
      <c r="D241" s="153">
        <f t="array" ref="D241">IF(B41=B241,H41)</f>
        <v>382</v>
      </c>
      <c r="E241" s="153">
        <f t="array" ref="E241">IF(B75=B241,H75)</f>
        <v>401</v>
      </c>
      <c r="F241" s="153">
        <f t="array" ref="F241">IF(B125=B241,H125)</f>
        <v>389</v>
      </c>
      <c r="G241" s="153">
        <f t="array" ref="G241">IF(B167=B241,H167)</f>
        <v>276</v>
      </c>
      <c r="H241" s="153">
        <f t="array" ref="H241">IF(B212=B241,H212)</f>
        <v>425</v>
      </c>
      <c r="I241" s="153">
        <f t="shared" si="10"/>
        <v>374.6</v>
      </c>
      <c r="J241" s="164">
        <f t="shared" si="11"/>
        <v>349</v>
      </c>
      <c r="K241" s="156"/>
      <c r="L241" s="95"/>
      <c r="M241" s="95"/>
      <c r="N241" s="95"/>
      <c r="O241" s="95"/>
    </row>
    <row r="242" spans="1:15" ht="15" customHeight="1" thickBot="1">
      <c r="A242" s="95"/>
      <c r="B242" s="115">
        <v>2035</v>
      </c>
      <c r="C242" s="116"/>
      <c r="D242" s="154">
        <f t="array" ref="D242">IF(B42=B242,H42)</f>
        <v>387</v>
      </c>
      <c r="E242" s="154">
        <f t="array" ref="E242">IF(B76=B242,H76)</f>
        <v>408</v>
      </c>
      <c r="F242" s="154">
        <f t="array" ref="F242">IF(B126=B242,H126)</f>
        <v>395</v>
      </c>
      <c r="G242" s="154">
        <f t="array" ref="G242">IF(B168=B242,H168)</f>
        <v>276</v>
      </c>
      <c r="H242" s="154">
        <f t="array" ref="H242">IF(B213=B242,H213)</f>
        <v>432</v>
      </c>
      <c r="I242" s="154">
        <f t="shared" si="10"/>
        <v>379.6</v>
      </c>
      <c r="J242" s="165">
        <f t="shared" si="11"/>
        <v>353</v>
      </c>
      <c r="K242" s="155"/>
      <c r="L242" s="95"/>
      <c r="M242" s="95"/>
      <c r="N242" s="95"/>
      <c r="O242" s="95"/>
    </row>
    <row r="243" spans="1:15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 tint="0.59999389629810485"/>
  </sheetPr>
  <dimension ref="A1:O26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88" t="s">
        <v>439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2005</v>
      </c>
      <c r="C7" s="96"/>
      <c r="D7" s="842">
        <f>'3.면별급수현황'!H24</f>
        <v>312</v>
      </c>
      <c r="E7" s="97"/>
      <c r="F7" s="98">
        <f>D7-D7</f>
        <v>0</v>
      </c>
      <c r="G7" s="98"/>
      <c r="H7" s="99">
        <f>F7</f>
        <v>0</v>
      </c>
      <c r="I7" s="100"/>
      <c r="J7" s="101" t="s">
        <v>145</v>
      </c>
      <c r="K7" s="101">
        <v>1000</v>
      </c>
      <c r="L7" s="95"/>
      <c r="M7" s="95"/>
      <c r="N7" s="95"/>
      <c r="O7" s="95"/>
    </row>
    <row r="8" spans="1:15" ht="15" customHeight="1">
      <c r="A8" s="95"/>
      <c r="B8" s="96">
        <v>2006</v>
      </c>
      <c r="C8" s="96"/>
      <c r="D8" s="842">
        <f>'3.면별급수현황'!H25</f>
        <v>317</v>
      </c>
      <c r="E8" s="97"/>
      <c r="F8" s="98">
        <f t="shared" ref="F8:F16" si="0">D8-D7</f>
        <v>5</v>
      </c>
      <c r="G8" s="98"/>
      <c r="H8" s="99">
        <f t="shared" ref="H8:H16" si="1">ROUND(F8/D7*100,2)</f>
        <v>1.6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96">
        <v>2007</v>
      </c>
      <c r="C9" s="96"/>
      <c r="D9" s="842">
        <f>'3.면별급수현황'!H26</f>
        <v>378</v>
      </c>
      <c r="E9" s="97"/>
      <c r="F9" s="98">
        <f t="shared" si="0"/>
        <v>61</v>
      </c>
      <c r="G9" s="98"/>
      <c r="H9" s="99">
        <f t="shared" si="1"/>
        <v>19.239999999999998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96">
        <v>2008</v>
      </c>
      <c r="C10" s="96"/>
      <c r="D10" s="842">
        <f>'3.면별급수현황'!H27</f>
        <v>336</v>
      </c>
      <c r="E10" s="97"/>
      <c r="F10" s="98">
        <f t="shared" si="0"/>
        <v>-42</v>
      </c>
      <c r="G10" s="98"/>
      <c r="H10" s="99">
        <f t="shared" si="1"/>
        <v>-11.11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96">
        <v>2009</v>
      </c>
      <c r="C11" s="96"/>
      <c r="D11" s="842">
        <f>'3.면별급수현황'!H28</f>
        <v>354</v>
      </c>
      <c r="E11" s="97"/>
      <c r="F11" s="98">
        <f t="shared" si="0"/>
        <v>18</v>
      </c>
      <c r="G11" s="98"/>
      <c r="H11" s="99">
        <f t="shared" si="1"/>
        <v>5.36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>
      <c r="A12" s="95"/>
      <c r="B12" s="96">
        <v>2010</v>
      </c>
      <c r="C12" s="96"/>
      <c r="D12" s="842">
        <f>'3.면별급수현황'!H29</f>
        <v>327</v>
      </c>
      <c r="E12" s="97"/>
      <c r="F12" s="98">
        <f t="shared" si="0"/>
        <v>-27</v>
      </c>
      <c r="G12" s="98"/>
      <c r="H12" s="99">
        <f t="shared" si="1"/>
        <v>-7.63</v>
      </c>
      <c r="I12" s="100"/>
      <c r="J12" s="102">
        <v>0</v>
      </c>
      <c r="K12" s="102"/>
      <c r="L12" s="95"/>
      <c r="M12" s="95"/>
      <c r="N12" s="95"/>
      <c r="O12" s="95"/>
    </row>
    <row r="13" spans="1:15" ht="15" customHeight="1">
      <c r="A13" s="95"/>
      <c r="B13" s="96">
        <v>2011</v>
      </c>
      <c r="C13" s="96"/>
      <c r="D13" s="842">
        <f>'3.면별급수현황'!H30</f>
        <v>230</v>
      </c>
      <c r="E13" s="97"/>
      <c r="F13" s="98">
        <f t="shared" si="0"/>
        <v>-97</v>
      </c>
      <c r="G13" s="98"/>
      <c r="H13" s="99">
        <f t="shared" si="1"/>
        <v>-29.66</v>
      </c>
      <c r="I13" s="100"/>
      <c r="J13" s="102">
        <v>0</v>
      </c>
      <c r="K13" s="102"/>
      <c r="L13" s="95"/>
      <c r="M13" s="95"/>
      <c r="N13" s="95"/>
      <c r="O13" s="95"/>
    </row>
    <row r="14" spans="1:15" ht="15" customHeight="1">
      <c r="A14" s="95"/>
      <c r="B14" s="96">
        <v>2012</v>
      </c>
      <c r="C14" s="96"/>
      <c r="D14" s="842">
        <f>'3.면별급수현황'!H31</f>
        <v>215</v>
      </c>
      <c r="E14" s="97"/>
      <c r="F14" s="98">
        <f t="shared" si="0"/>
        <v>-15</v>
      </c>
      <c r="G14" s="98"/>
      <c r="H14" s="99">
        <f t="shared" si="1"/>
        <v>-6.52</v>
      </c>
      <c r="I14" s="100"/>
      <c r="J14" s="102">
        <v>0</v>
      </c>
      <c r="K14" s="102"/>
      <c r="L14" s="95"/>
      <c r="M14" s="95"/>
      <c r="N14" s="95"/>
      <c r="O14" s="95"/>
    </row>
    <row r="15" spans="1:15" ht="15" customHeight="1">
      <c r="A15" s="95"/>
      <c r="B15" s="96">
        <v>2013</v>
      </c>
      <c r="C15" s="96"/>
      <c r="D15" s="842">
        <f>'3.면별급수현황'!H32</f>
        <v>226</v>
      </c>
      <c r="E15" s="97"/>
      <c r="F15" s="98">
        <f t="shared" si="0"/>
        <v>11</v>
      </c>
      <c r="G15" s="98"/>
      <c r="H15" s="99">
        <f t="shared" si="1"/>
        <v>5.12</v>
      </c>
      <c r="I15" s="100"/>
      <c r="J15" s="102">
        <v>0</v>
      </c>
      <c r="K15" s="102"/>
      <c r="L15" s="95"/>
      <c r="M15" s="95"/>
      <c r="N15" s="95"/>
      <c r="O15" s="95"/>
    </row>
    <row r="16" spans="1:15" ht="15" customHeight="1">
      <c r="A16" s="95"/>
      <c r="B16" s="96">
        <v>2014</v>
      </c>
      <c r="C16" s="96"/>
      <c r="D16" s="842">
        <f>'3.면별급수현황'!H33</f>
        <v>277</v>
      </c>
      <c r="E16" s="97"/>
      <c r="F16" s="98">
        <f t="shared" si="0"/>
        <v>51</v>
      </c>
      <c r="G16" s="98"/>
      <c r="H16" s="99">
        <f t="shared" si="1"/>
        <v>22.57</v>
      </c>
      <c r="I16" s="100"/>
      <c r="J16" s="102">
        <v>0</v>
      </c>
      <c r="K16" s="102"/>
      <c r="L16" s="95"/>
      <c r="M16" s="95"/>
      <c r="N16" s="95"/>
      <c r="O16" s="95"/>
    </row>
    <row r="17" spans="1:15" ht="15" customHeight="1" thickBot="1">
      <c r="A17" s="95"/>
      <c r="B17" s="103" t="s">
        <v>146</v>
      </c>
      <c r="C17" s="104"/>
      <c r="D17" s="105">
        <f>SUM(D7:D16)</f>
        <v>2972</v>
      </c>
      <c r="E17" s="106"/>
      <c r="F17" s="107"/>
      <c r="G17" s="107"/>
      <c r="H17" s="108">
        <f>SUM(H7:H16)</f>
        <v>-1.0299999999999976</v>
      </c>
      <c r="I17" s="108"/>
      <c r="J17" s="109">
        <f>ROUND(AVERAGE(H8:H16),1)</f>
        <v>-0.1</v>
      </c>
      <c r="K17" s="109"/>
      <c r="L17" s="95"/>
      <c r="M17" s="95"/>
      <c r="N17" s="95"/>
      <c r="O17" s="95"/>
    </row>
    <row r="18" spans="1:15" ht="1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>
      <c r="A19" s="95"/>
      <c r="B19" s="110" t="s">
        <v>147</v>
      </c>
      <c r="C19" s="111"/>
      <c r="D19" s="111"/>
      <c r="E19" s="111"/>
      <c r="F19" s="111"/>
      <c r="G19" s="95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5"/>
      <c r="C20" s="111" t="s">
        <v>148</v>
      </c>
      <c r="D20" s="111" t="s">
        <v>149</v>
      </c>
      <c r="E20" s="111"/>
      <c r="F20" s="111"/>
      <c r="G20" s="95"/>
      <c r="H20" s="95"/>
      <c r="I20" s="95"/>
      <c r="J20" s="95"/>
      <c r="K20" s="95"/>
      <c r="L20" s="95"/>
      <c r="M20" s="95"/>
      <c r="N20" s="95"/>
      <c r="O20" s="95"/>
    </row>
    <row r="21" spans="1:15" ht="15" customHeight="1">
      <c r="A21" s="95"/>
      <c r="B21" s="93"/>
      <c r="C21" s="93" t="s">
        <v>150</v>
      </c>
      <c r="D21" s="111" t="s">
        <v>151</v>
      </c>
      <c r="E21" s="93"/>
      <c r="F21" s="93"/>
      <c r="G21" s="95"/>
      <c r="H21" s="95"/>
      <c r="I21" s="95"/>
      <c r="J21" s="95"/>
      <c r="K21" s="95"/>
      <c r="L21" s="95"/>
      <c r="M21" s="95"/>
      <c r="N21" s="95"/>
      <c r="O21" s="95"/>
    </row>
    <row r="22" spans="1:15" ht="15" customHeight="1">
      <c r="A22" s="95"/>
      <c r="B22" s="111"/>
      <c r="C22" s="111"/>
      <c r="D22" s="111" t="s">
        <v>152</v>
      </c>
      <c r="E22" s="111"/>
      <c r="F22" s="111"/>
      <c r="G22" s="95"/>
      <c r="H22" s="95"/>
      <c r="I22" s="95"/>
      <c r="J22" s="95"/>
      <c r="K22" s="95"/>
      <c r="L22" s="95"/>
      <c r="M22" s="95"/>
      <c r="N22" s="95"/>
      <c r="O22" s="95"/>
    </row>
    <row r="23" spans="1:15" ht="15" customHeight="1">
      <c r="A23" s="95"/>
      <c r="B23" s="111"/>
      <c r="C23" s="111"/>
      <c r="D23" s="111" t="s">
        <v>153</v>
      </c>
      <c r="E23" s="111"/>
      <c r="F23" s="111"/>
      <c r="G23" s="95"/>
      <c r="H23" s="95"/>
      <c r="I23" s="95"/>
      <c r="J23" s="95"/>
      <c r="K23" s="95"/>
      <c r="L23" s="95"/>
      <c r="M23" s="95"/>
      <c r="N23" s="95"/>
      <c r="O23" s="95"/>
    </row>
    <row r="24" spans="1:15" ht="15" customHeight="1" thickBot="1">
      <c r="A24" s="95"/>
      <c r="B24" s="95"/>
      <c r="C24" s="95"/>
      <c r="D24" s="95"/>
      <c r="E24" s="95"/>
      <c r="F24" s="100" t="s">
        <v>154</v>
      </c>
      <c r="G24" s="100"/>
      <c r="H24" s="95"/>
      <c r="I24" s="95"/>
      <c r="J24" s="95"/>
      <c r="K24" s="95"/>
      <c r="L24" s="95"/>
      <c r="M24" s="95"/>
      <c r="N24" s="95"/>
      <c r="O24" s="95"/>
    </row>
    <row r="25" spans="1:15" ht="15" customHeight="1">
      <c r="A25" s="95"/>
      <c r="B25" s="94" t="s">
        <v>155</v>
      </c>
      <c r="C25" s="94"/>
      <c r="D25" s="94" t="s">
        <v>156</v>
      </c>
      <c r="E25" s="94"/>
      <c r="F25" s="94" t="s">
        <v>157</v>
      </c>
      <c r="G25" s="94"/>
      <c r="H25" s="94" t="s">
        <v>158</v>
      </c>
      <c r="I25" s="94"/>
      <c r="J25" s="94" t="s">
        <v>53</v>
      </c>
      <c r="K25" s="94"/>
      <c r="L25" s="95"/>
      <c r="M25" s="95"/>
      <c r="N25" s="95"/>
      <c r="O25" s="95"/>
    </row>
    <row r="26" spans="1:15" ht="15" customHeight="1">
      <c r="A26" s="95"/>
      <c r="B26" s="112">
        <v>2014</v>
      </c>
      <c r="C26" s="113"/>
      <c r="D26" s="113">
        <f t="shared" ref="D26:D47" si="2">ROUND(E$48+H$48*(B26-$C$4),0)</f>
        <v>277</v>
      </c>
      <c r="E26" s="113"/>
      <c r="F26" s="113">
        <v>0</v>
      </c>
      <c r="G26" s="113"/>
      <c r="H26" s="113">
        <f t="shared" ref="H26:H47" si="3">ROUND(D26*(1+F26),0)</f>
        <v>277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2015</v>
      </c>
      <c r="C27" s="116"/>
      <c r="D27" s="116">
        <f t="shared" si="2"/>
        <v>273</v>
      </c>
      <c r="E27" s="116"/>
      <c r="F27" s="116">
        <v>0</v>
      </c>
      <c r="G27" s="116"/>
      <c r="H27" s="116">
        <f t="shared" si="3"/>
        <v>273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2016</v>
      </c>
      <c r="C28" s="113"/>
      <c r="D28" s="113">
        <f t="shared" si="2"/>
        <v>269</v>
      </c>
      <c r="E28" s="113"/>
      <c r="F28" s="113">
        <v>0</v>
      </c>
      <c r="G28" s="113"/>
      <c r="H28" s="113">
        <f t="shared" si="3"/>
        <v>269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2017</v>
      </c>
      <c r="C29" s="113"/>
      <c r="D29" s="113">
        <f t="shared" si="2"/>
        <v>265</v>
      </c>
      <c r="E29" s="113"/>
      <c r="F29" s="113">
        <v>0</v>
      </c>
      <c r="G29" s="113"/>
      <c r="H29" s="113">
        <f t="shared" si="3"/>
        <v>265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2018</v>
      </c>
      <c r="C30" s="113"/>
      <c r="D30" s="113">
        <f t="shared" si="2"/>
        <v>261</v>
      </c>
      <c r="E30" s="113"/>
      <c r="F30" s="113">
        <v>0</v>
      </c>
      <c r="G30" s="113"/>
      <c r="H30" s="113">
        <f t="shared" si="3"/>
        <v>261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2019</v>
      </c>
      <c r="C31" s="113"/>
      <c r="D31" s="113">
        <f t="shared" si="2"/>
        <v>258</v>
      </c>
      <c r="E31" s="113"/>
      <c r="F31" s="113">
        <v>0</v>
      </c>
      <c r="G31" s="113"/>
      <c r="H31" s="113">
        <f t="shared" si="3"/>
        <v>258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2020</v>
      </c>
      <c r="C32" s="116"/>
      <c r="D32" s="116">
        <f t="shared" si="2"/>
        <v>254</v>
      </c>
      <c r="E32" s="116"/>
      <c r="F32" s="116">
        <v>0</v>
      </c>
      <c r="G32" s="116"/>
      <c r="H32" s="116">
        <f t="shared" si="3"/>
        <v>254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2021</v>
      </c>
      <c r="C33" s="113"/>
      <c r="D33" s="113">
        <f t="shared" si="2"/>
        <v>250</v>
      </c>
      <c r="E33" s="113"/>
      <c r="F33" s="113">
        <v>0</v>
      </c>
      <c r="G33" s="113"/>
      <c r="H33" s="113">
        <f t="shared" si="3"/>
        <v>250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2022</v>
      </c>
      <c r="C34" s="113"/>
      <c r="D34" s="113">
        <f t="shared" si="2"/>
        <v>246</v>
      </c>
      <c r="E34" s="113"/>
      <c r="F34" s="113">
        <v>0</v>
      </c>
      <c r="G34" s="113"/>
      <c r="H34" s="113">
        <f t="shared" si="3"/>
        <v>246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2023</v>
      </c>
      <c r="C35" s="113"/>
      <c r="D35" s="113">
        <f t="shared" si="2"/>
        <v>242</v>
      </c>
      <c r="E35" s="113"/>
      <c r="F35" s="113">
        <v>0</v>
      </c>
      <c r="G35" s="113"/>
      <c r="H35" s="113">
        <f t="shared" si="3"/>
        <v>242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2024</v>
      </c>
      <c r="C36" s="113"/>
      <c r="D36" s="113">
        <f t="shared" si="2"/>
        <v>238</v>
      </c>
      <c r="E36" s="113"/>
      <c r="F36" s="113">
        <v>0</v>
      </c>
      <c r="G36" s="113"/>
      <c r="H36" s="113">
        <f t="shared" si="3"/>
        <v>238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2025</v>
      </c>
      <c r="C37" s="116"/>
      <c r="D37" s="116">
        <f t="shared" si="2"/>
        <v>234</v>
      </c>
      <c r="E37" s="116"/>
      <c r="F37" s="116">
        <v>0</v>
      </c>
      <c r="G37" s="116"/>
      <c r="H37" s="116">
        <f t="shared" si="3"/>
        <v>234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2026</v>
      </c>
      <c r="C38" s="113"/>
      <c r="D38" s="113">
        <f t="shared" si="2"/>
        <v>230</v>
      </c>
      <c r="E38" s="113"/>
      <c r="F38" s="113">
        <v>0</v>
      </c>
      <c r="G38" s="113"/>
      <c r="H38" s="113">
        <f t="shared" si="3"/>
        <v>230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2027</v>
      </c>
      <c r="C39" s="113"/>
      <c r="D39" s="113">
        <f t="shared" si="2"/>
        <v>226</v>
      </c>
      <c r="E39" s="113"/>
      <c r="F39" s="113">
        <v>0</v>
      </c>
      <c r="G39" s="113"/>
      <c r="H39" s="113">
        <f t="shared" si="3"/>
        <v>226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2028</v>
      </c>
      <c r="C40" s="113"/>
      <c r="D40" s="113">
        <f t="shared" si="2"/>
        <v>222</v>
      </c>
      <c r="E40" s="113"/>
      <c r="F40" s="113">
        <v>0</v>
      </c>
      <c r="G40" s="113"/>
      <c r="H40" s="113">
        <f t="shared" si="3"/>
        <v>222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2029</v>
      </c>
      <c r="C41" s="113"/>
      <c r="D41" s="113">
        <f t="shared" si="2"/>
        <v>219</v>
      </c>
      <c r="E41" s="113"/>
      <c r="F41" s="113">
        <v>0</v>
      </c>
      <c r="G41" s="113"/>
      <c r="H41" s="113">
        <f t="shared" si="3"/>
        <v>219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>
      <c r="A42" s="95"/>
      <c r="B42" s="115">
        <v>2030</v>
      </c>
      <c r="C42" s="116"/>
      <c r="D42" s="116">
        <f t="shared" si="2"/>
        <v>215</v>
      </c>
      <c r="E42" s="116"/>
      <c r="F42" s="116">
        <v>0</v>
      </c>
      <c r="G42" s="116"/>
      <c r="H42" s="116">
        <f t="shared" si="3"/>
        <v>215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2">
        <v>2031</v>
      </c>
      <c r="C43" s="113"/>
      <c r="D43" s="113">
        <f t="shared" si="2"/>
        <v>211</v>
      </c>
      <c r="E43" s="113"/>
      <c r="F43" s="113">
        <v>0</v>
      </c>
      <c r="G43" s="113"/>
      <c r="H43" s="113">
        <f t="shared" si="3"/>
        <v>211</v>
      </c>
      <c r="I43" s="113"/>
      <c r="J43" s="114">
        <v>0</v>
      </c>
      <c r="K43" s="114"/>
      <c r="L43" s="95"/>
      <c r="M43" s="95"/>
      <c r="N43" s="95"/>
      <c r="O43" s="95"/>
    </row>
    <row r="44" spans="1:15" ht="15" customHeight="1">
      <c r="A44" s="95"/>
      <c r="B44" s="112">
        <v>2032</v>
      </c>
      <c r="C44" s="113"/>
      <c r="D44" s="113">
        <f t="shared" si="2"/>
        <v>207</v>
      </c>
      <c r="E44" s="113"/>
      <c r="F44" s="113">
        <v>0</v>
      </c>
      <c r="G44" s="113"/>
      <c r="H44" s="113">
        <f t="shared" si="3"/>
        <v>207</v>
      </c>
      <c r="I44" s="113"/>
      <c r="J44" s="114">
        <v>0</v>
      </c>
      <c r="K44" s="114"/>
      <c r="L44" s="95"/>
      <c r="M44" s="95"/>
      <c r="N44" s="95"/>
      <c r="O44" s="95"/>
    </row>
    <row r="45" spans="1:15" ht="15" customHeight="1">
      <c r="A45" s="95"/>
      <c r="B45" s="112">
        <v>2033</v>
      </c>
      <c r="C45" s="113"/>
      <c r="D45" s="113">
        <f t="shared" si="2"/>
        <v>203</v>
      </c>
      <c r="E45" s="113"/>
      <c r="F45" s="113">
        <v>0</v>
      </c>
      <c r="G45" s="113"/>
      <c r="H45" s="113">
        <f t="shared" si="3"/>
        <v>203</v>
      </c>
      <c r="I45" s="113"/>
      <c r="J45" s="114">
        <v>0</v>
      </c>
      <c r="K45" s="114"/>
      <c r="L45" s="95"/>
      <c r="M45" s="95"/>
      <c r="N45" s="95"/>
      <c r="O45" s="95"/>
    </row>
    <row r="46" spans="1:15" ht="15" customHeight="1">
      <c r="A46" s="95"/>
      <c r="B46" s="112">
        <v>2034</v>
      </c>
      <c r="C46" s="113"/>
      <c r="D46" s="113">
        <f t="shared" si="2"/>
        <v>199</v>
      </c>
      <c r="E46" s="113"/>
      <c r="F46" s="113">
        <v>0</v>
      </c>
      <c r="G46" s="113"/>
      <c r="H46" s="113">
        <f t="shared" si="3"/>
        <v>199</v>
      </c>
      <c r="I46" s="113"/>
      <c r="J46" s="114">
        <v>0</v>
      </c>
      <c r="K46" s="114"/>
      <c r="L46" s="95"/>
      <c r="M46" s="95"/>
      <c r="N46" s="95"/>
      <c r="O46" s="95"/>
    </row>
    <row r="47" spans="1:15" ht="15" customHeight="1" thickBot="1">
      <c r="A47" s="95"/>
      <c r="B47" s="115">
        <v>2035</v>
      </c>
      <c r="C47" s="116"/>
      <c r="D47" s="116">
        <f t="shared" si="2"/>
        <v>195</v>
      </c>
      <c r="E47" s="116"/>
      <c r="F47" s="116">
        <v>0</v>
      </c>
      <c r="G47" s="116"/>
      <c r="H47" s="116">
        <f t="shared" si="3"/>
        <v>195</v>
      </c>
      <c r="I47" s="116"/>
      <c r="J47" s="117">
        <v>0</v>
      </c>
      <c r="K47" s="117"/>
      <c r="L47" s="95"/>
      <c r="M47" s="95"/>
      <c r="N47" s="95"/>
      <c r="O47" s="95"/>
    </row>
    <row r="48" spans="1:15" ht="15" customHeight="1">
      <c r="A48" s="95"/>
      <c r="B48" s="118" t="s">
        <v>160</v>
      </c>
      <c r="C48" s="118"/>
      <c r="D48" s="119" t="s">
        <v>161</v>
      </c>
      <c r="E48" s="120">
        <f>D$16</f>
        <v>277</v>
      </c>
      <c r="F48" s="121"/>
      <c r="G48" s="119" t="s">
        <v>162</v>
      </c>
      <c r="H48" s="119">
        <f>ROUND((D$16-D$7)/(COUNT(D$7:D$16)-1),1)</f>
        <v>-3.9</v>
      </c>
      <c r="I48" s="119"/>
      <c r="J48" s="119" t="s">
        <v>163</v>
      </c>
      <c r="K48" s="122" t="s">
        <v>164</v>
      </c>
      <c r="L48" s="95"/>
      <c r="M48" s="95"/>
      <c r="N48" s="95"/>
      <c r="O48" s="95"/>
    </row>
    <row r="49" spans="1:15" ht="15" customHeight="1">
      <c r="A49" s="95"/>
      <c r="B49" s="123"/>
      <c r="C49" s="123"/>
      <c r="D49" s="124"/>
      <c r="E49" s="125"/>
      <c r="F49" s="126"/>
      <c r="G49" s="124"/>
      <c r="H49" s="124"/>
      <c r="I49" s="124"/>
      <c r="J49" s="124"/>
      <c r="K49" s="127"/>
      <c r="L49" s="95"/>
      <c r="M49" s="95"/>
      <c r="N49" s="95"/>
      <c r="O49" s="95"/>
    </row>
    <row r="50" spans="1:15" ht="1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110" t="s">
        <v>165</v>
      </c>
      <c r="C52" s="111"/>
      <c r="D52" s="111"/>
      <c r="E52" s="111"/>
      <c r="F52" s="111"/>
      <c r="G52" s="111"/>
      <c r="H52" s="95"/>
      <c r="I52" s="95"/>
      <c r="J52" s="95"/>
      <c r="K52" s="95"/>
      <c r="L52" s="95"/>
      <c r="M52" s="95"/>
      <c r="N52" s="95"/>
      <c r="O52" s="95"/>
    </row>
    <row r="53" spans="1:15" ht="15" customHeight="1">
      <c r="A53" s="95"/>
      <c r="B53" s="95"/>
      <c r="C53" s="111" t="s">
        <v>166</v>
      </c>
      <c r="D53" s="111" t="s">
        <v>167</v>
      </c>
      <c r="E53" s="111"/>
      <c r="F53" s="111"/>
      <c r="G53" s="111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3"/>
      <c r="C54" s="93" t="s">
        <v>150</v>
      </c>
      <c r="D54" s="111" t="s">
        <v>151</v>
      </c>
      <c r="E54" s="93"/>
      <c r="F54" s="93"/>
      <c r="G54" s="93"/>
      <c r="H54" s="95"/>
      <c r="I54" s="95"/>
      <c r="J54" s="95"/>
      <c r="K54" s="95"/>
      <c r="L54" s="95"/>
      <c r="M54" s="95"/>
      <c r="N54" s="95"/>
      <c r="O54" s="95"/>
    </row>
    <row r="55" spans="1:15" ht="15" customHeight="1">
      <c r="A55" s="95"/>
      <c r="B55" s="111"/>
      <c r="C55" s="111"/>
      <c r="D55" s="111" t="s">
        <v>170</v>
      </c>
      <c r="E55" s="111"/>
      <c r="F55" s="111"/>
      <c r="G55" s="111"/>
      <c r="H55" s="95"/>
      <c r="I55" s="95"/>
      <c r="J55" s="95"/>
      <c r="K55" s="95"/>
      <c r="L55" s="95"/>
      <c r="M55" s="95"/>
      <c r="N55" s="95"/>
      <c r="O55" s="95"/>
    </row>
    <row r="56" spans="1:15" ht="15" customHeight="1">
      <c r="A56" s="95"/>
      <c r="B56" s="111"/>
      <c r="C56" s="111"/>
      <c r="D56" s="111" t="s">
        <v>171</v>
      </c>
      <c r="E56" s="111"/>
      <c r="F56" s="111"/>
      <c r="G56" s="111"/>
      <c r="H56" s="95"/>
      <c r="I56" s="95"/>
      <c r="J56" s="95"/>
      <c r="K56" s="95"/>
      <c r="L56" s="95"/>
      <c r="M56" s="95"/>
      <c r="N56" s="95"/>
      <c r="O56" s="95"/>
    </row>
    <row r="57" spans="1:15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1:15" ht="15" customHeight="1" thickBot="1">
      <c r="A58" s="95"/>
      <c r="B58" s="95"/>
      <c r="C58" s="95"/>
      <c r="D58" s="95"/>
      <c r="E58" s="95"/>
      <c r="F58" s="100" t="s">
        <v>172</v>
      </c>
      <c r="G58" s="100"/>
      <c r="H58" s="95"/>
      <c r="I58" s="95"/>
      <c r="J58" s="95"/>
      <c r="K58" s="95"/>
      <c r="L58" s="95"/>
      <c r="M58" s="95"/>
      <c r="N58" s="95"/>
      <c r="O58" s="95"/>
    </row>
    <row r="59" spans="1:15" ht="15" customHeight="1">
      <c r="A59" s="95"/>
      <c r="B59" s="94" t="s">
        <v>141</v>
      </c>
      <c r="C59" s="94"/>
      <c r="D59" s="94" t="s">
        <v>174</v>
      </c>
      <c r="E59" s="94"/>
      <c r="F59" s="94" t="s">
        <v>157</v>
      </c>
      <c r="G59" s="94"/>
      <c r="H59" s="94" t="s">
        <v>176</v>
      </c>
      <c r="I59" s="94"/>
      <c r="J59" s="94" t="s">
        <v>144</v>
      </c>
      <c r="K59" s="94"/>
      <c r="L59" s="95"/>
      <c r="M59" s="95"/>
      <c r="N59" s="95"/>
      <c r="O59" s="95"/>
    </row>
    <row r="60" spans="1:15" ht="15" customHeight="1">
      <c r="A60" s="95"/>
      <c r="B60" s="112">
        <v>2014</v>
      </c>
      <c r="C60" s="113"/>
      <c r="D60" s="113">
        <f t="shared" ref="D60:D81" si="4">ROUND(E$82*H$82^(B60-$C$4),0)</f>
        <v>277</v>
      </c>
      <c r="E60" s="113"/>
      <c r="F60" s="113">
        <v>0</v>
      </c>
      <c r="G60" s="113"/>
      <c r="H60" s="113">
        <f t="shared" ref="H60:H81" si="5">ROUND(D60*(1+F60),0)</f>
        <v>277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2015</v>
      </c>
      <c r="C61" s="116"/>
      <c r="D61" s="116">
        <f t="shared" si="4"/>
        <v>273</v>
      </c>
      <c r="E61" s="116"/>
      <c r="F61" s="116">
        <v>0</v>
      </c>
      <c r="G61" s="116"/>
      <c r="H61" s="116">
        <f t="shared" si="5"/>
        <v>273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2016</v>
      </c>
      <c r="C62" s="113"/>
      <c r="D62" s="113">
        <f t="shared" si="4"/>
        <v>270</v>
      </c>
      <c r="E62" s="113"/>
      <c r="F62" s="113">
        <v>0</v>
      </c>
      <c r="G62" s="113"/>
      <c r="H62" s="113">
        <f t="shared" si="5"/>
        <v>270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2017</v>
      </c>
      <c r="C63" s="113"/>
      <c r="D63" s="113">
        <f t="shared" si="4"/>
        <v>266</v>
      </c>
      <c r="E63" s="113"/>
      <c r="F63" s="113">
        <v>0</v>
      </c>
      <c r="G63" s="113"/>
      <c r="H63" s="113">
        <f t="shared" si="5"/>
        <v>266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2018</v>
      </c>
      <c r="C64" s="113"/>
      <c r="D64" s="113">
        <f t="shared" si="4"/>
        <v>263</v>
      </c>
      <c r="E64" s="113"/>
      <c r="F64" s="113">
        <v>0</v>
      </c>
      <c r="G64" s="113"/>
      <c r="H64" s="113">
        <f t="shared" si="5"/>
        <v>263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2019</v>
      </c>
      <c r="C65" s="113"/>
      <c r="D65" s="113">
        <f t="shared" si="4"/>
        <v>259</v>
      </c>
      <c r="E65" s="113"/>
      <c r="F65" s="113">
        <v>0</v>
      </c>
      <c r="G65" s="113"/>
      <c r="H65" s="113">
        <f t="shared" si="5"/>
        <v>259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2020</v>
      </c>
      <c r="C66" s="116"/>
      <c r="D66" s="116">
        <f t="shared" si="4"/>
        <v>256</v>
      </c>
      <c r="E66" s="116"/>
      <c r="F66" s="116">
        <v>0</v>
      </c>
      <c r="G66" s="116"/>
      <c r="H66" s="116">
        <f t="shared" si="5"/>
        <v>256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2021</v>
      </c>
      <c r="C67" s="113"/>
      <c r="D67" s="113">
        <f t="shared" si="4"/>
        <v>253</v>
      </c>
      <c r="E67" s="113"/>
      <c r="F67" s="113">
        <v>0</v>
      </c>
      <c r="G67" s="113"/>
      <c r="H67" s="113">
        <f t="shared" si="5"/>
        <v>253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2022</v>
      </c>
      <c r="C68" s="113"/>
      <c r="D68" s="113">
        <f t="shared" si="4"/>
        <v>249</v>
      </c>
      <c r="E68" s="113"/>
      <c r="F68" s="113">
        <v>0</v>
      </c>
      <c r="G68" s="113"/>
      <c r="H68" s="113">
        <f t="shared" si="5"/>
        <v>249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2023</v>
      </c>
      <c r="C69" s="113"/>
      <c r="D69" s="113">
        <f t="shared" si="4"/>
        <v>246</v>
      </c>
      <c r="E69" s="113"/>
      <c r="F69" s="113">
        <v>0</v>
      </c>
      <c r="G69" s="113"/>
      <c r="H69" s="113">
        <f t="shared" si="5"/>
        <v>246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2024</v>
      </c>
      <c r="C70" s="113"/>
      <c r="D70" s="113">
        <f t="shared" si="4"/>
        <v>243</v>
      </c>
      <c r="E70" s="113"/>
      <c r="F70" s="113">
        <v>0</v>
      </c>
      <c r="G70" s="113"/>
      <c r="H70" s="113">
        <f t="shared" si="5"/>
        <v>243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2025</v>
      </c>
      <c r="C71" s="116"/>
      <c r="D71" s="116">
        <f t="shared" si="4"/>
        <v>240</v>
      </c>
      <c r="E71" s="116"/>
      <c r="F71" s="116">
        <v>0</v>
      </c>
      <c r="G71" s="116"/>
      <c r="H71" s="116">
        <f t="shared" si="5"/>
        <v>240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2026</v>
      </c>
      <c r="C72" s="113"/>
      <c r="D72" s="113">
        <f t="shared" si="4"/>
        <v>236</v>
      </c>
      <c r="E72" s="113"/>
      <c r="F72" s="113">
        <v>0</v>
      </c>
      <c r="G72" s="113"/>
      <c r="H72" s="113">
        <f t="shared" si="5"/>
        <v>236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2027</v>
      </c>
      <c r="C73" s="113"/>
      <c r="D73" s="113">
        <f t="shared" si="4"/>
        <v>233</v>
      </c>
      <c r="E73" s="113"/>
      <c r="F73" s="113">
        <v>0</v>
      </c>
      <c r="G73" s="113"/>
      <c r="H73" s="113">
        <f t="shared" si="5"/>
        <v>233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2028</v>
      </c>
      <c r="C74" s="113"/>
      <c r="D74" s="113">
        <f t="shared" si="4"/>
        <v>230</v>
      </c>
      <c r="E74" s="113"/>
      <c r="F74" s="113">
        <v>0</v>
      </c>
      <c r="G74" s="113"/>
      <c r="H74" s="113">
        <f t="shared" si="5"/>
        <v>230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2029</v>
      </c>
      <c r="C75" s="113"/>
      <c r="D75" s="113">
        <f t="shared" si="4"/>
        <v>227</v>
      </c>
      <c r="E75" s="113"/>
      <c r="F75" s="113">
        <v>0</v>
      </c>
      <c r="G75" s="113"/>
      <c r="H75" s="113">
        <f t="shared" si="5"/>
        <v>227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>
      <c r="A76" s="95"/>
      <c r="B76" s="115">
        <v>2030</v>
      </c>
      <c r="C76" s="116"/>
      <c r="D76" s="116">
        <f t="shared" si="4"/>
        <v>224</v>
      </c>
      <c r="E76" s="116"/>
      <c r="F76" s="116">
        <v>0</v>
      </c>
      <c r="G76" s="116"/>
      <c r="H76" s="116">
        <f t="shared" si="5"/>
        <v>224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2">
        <v>2031</v>
      </c>
      <c r="C77" s="113"/>
      <c r="D77" s="113">
        <f t="shared" si="4"/>
        <v>221</v>
      </c>
      <c r="E77" s="113"/>
      <c r="F77" s="113">
        <v>0</v>
      </c>
      <c r="G77" s="113"/>
      <c r="H77" s="113">
        <f t="shared" si="5"/>
        <v>221</v>
      </c>
      <c r="I77" s="113"/>
      <c r="J77" s="114">
        <v>0</v>
      </c>
      <c r="K77" s="114"/>
      <c r="L77" s="95"/>
      <c r="M77" s="95"/>
      <c r="N77" s="95"/>
      <c r="O77" s="95"/>
    </row>
    <row r="78" spans="1:15" ht="15" customHeight="1">
      <c r="A78" s="95"/>
      <c r="B78" s="112">
        <v>2032</v>
      </c>
      <c r="C78" s="113"/>
      <c r="D78" s="113">
        <f t="shared" si="4"/>
        <v>218</v>
      </c>
      <c r="E78" s="113"/>
      <c r="F78" s="113">
        <v>0</v>
      </c>
      <c r="G78" s="113"/>
      <c r="H78" s="113">
        <f t="shared" si="5"/>
        <v>218</v>
      </c>
      <c r="I78" s="113"/>
      <c r="J78" s="114">
        <v>0</v>
      </c>
      <c r="K78" s="114"/>
      <c r="L78" s="95"/>
      <c r="M78" s="95"/>
      <c r="N78" s="95"/>
      <c r="O78" s="95"/>
    </row>
    <row r="79" spans="1:15" ht="15" customHeight="1">
      <c r="A79" s="95"/>
      <c r="B79" s="112">
        <v>2033</v>
      </c>
      <c r="C79" s="113"/>
      <c r="D79" s="113">
        <f t="shared" si="4"/>
        <v>215</v>
      </c>
      <c r="E79" s="113"/>
      <c r="F79" s="113">
        <v>0</v>
      </c>
      <c r="G79" s="113"/>
      <c r="H79" s="113">
        <f t="shared" si="5"/>
        <v>215</v>
      </c>
      <c r="I79" s="113"/>
      <c r="J79" s="114">
        <v>0</v>
      </c>
      <c r="K79" s="114"/>
      <c r="L79" s="95"/>
      <c r="M79" s="95"/>
      <c r="N79" s="95"/>
      <c r="O79" s="95"/>
    </row>
    <row r="80" spans="1:15" ht="15" customHeight="1">
      <c r="A80" s="95"/>
      <c r="B80" s="112">
        <v>2034</v>
      </c>
      <c r="C80" s="113"/>
      <c r="D80" s="113">
        <f t="shared" si="4"/>
        <v>213</v>
      </c>
      <c r="E80" s="113"/>
      <c r="F80" s="113">
        <v>0</v>
      </c>
      <c r="G80" s="113"/>
      <c r="H80" s="113">
        <f t="shared" si="5"/>
        <v>213</v>
      </c>
      <c r="I80" s="113"/>
      <c r="J80" s="114">
        <v>0</v>
      </c>
      <c r="K80" s="114"/>
      <c r="L80" s="95"/>
      <c r="M80" s="95"/>
      <c r="N80" s="95"/>
      <c r="O80" s="95"/>
    </row>
    <row r="81" spans="1:15" ht="15" customHeight="1" thickBot="1">
      <c r="A81" s="95"/>
      <c r="B81" s="115">
        <v>2035</v>
      </c>
      <c r="C81" s="116"/>
      <c r="D81" s="116">
        <f t="shared" si="4"/>
        <v>210</v>
      </c>
      <c r="E81" s="116"/>
      <c r="F81" s="116">
        <v>0</v>
      </c>
      <c r="G81" s="116"/>
      <c r="H81" s="116">
        <f t="shared" si="5"/>
        <v>210</v>
      </c>
      <c r="I81" s="116"/>
      <c r="J81" s="117">
        <v>0</v>
      </c>
      <c r="K81" s="117"/>
      <c r="L81" s="95"/>
      <c r="M81" s="95"/>
      <c r="N81" s="95"/>
      <c r="O81" s="95"/>
    </row>
    <row r="82" spans="1:15" ht="15" customHeight="1">
      <c r="A82" s="95"/>
      <c r="B82" s="118" t="s">
        <v>177</v>
      </c>
      <c r="C82" s="118"/>
      <c r="D82" s="119" t="s">
        <v>161</v>
      </c>
      <c r="E82" s="120">
        <f>D$16</f>
        <v>277</v>
      </c>
      <c r="F82" s="121"/>
      <c r="G82" s="119" t="s">
        <v>179</v>
      </c>
      <c r="H82" s="119">
        <f>ROUND((E$82/D$7)^(1/(COUNT(D$7:D$16)-1)),6)</f>
        <v>0.98686600000000002</v>
      </c>
      <c r="I82" s="119"/>
      <c r="J82" s="119" t="s">
        <v>163</v>
      </c>
      <c r="K82" s="122" t="s">
        <v>164</v>
      </c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>
      <c r="A92" s="95"/>
      <c r="B92" s="110" t="s">
        <v>182</v>
      </c>
      <c r="C92" s="111"/>
      <c r="D92" s="111"/>
      <c r="E92" s="111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5"/>
      <c r="C93" s="111" t="s">
        <v>148</v>
      </c>
      <c r="D93" s="111" t="s">
        <v>184</v>
      </c>
      <c r="E93" s="111"/>
      <c r="F93" s="95"/>
      <c r="G93" s="95"/>
      <c r="H93" s="95"/>
      <c r="I93" s="95"/>
      <c r="J93" s="95"/>
      <c r="K93" s="95"/>
      <c r="L93" s="95"/>
      <c r="M93" s="95"/>
      <c r="N93" s="95"/>
      <c r="O93" s="95"/>
    </row>
    <row r="94" spans="1:15" ht="15" customHeight="1">
      <c r="A94" s="95"/>
      <c r="B94" s="111"/>
      <c r="C94" s="128" t="s">
        <v>185</v>
      </c>
      <c r="D94" s="111" t="s">
        <v>186</v>
      </c>
      <c r="E94" s="93"/>
      <c r="F94" s="95"/>
      <c r="G94" s="95"/>
      <c r="H94" s="95"/>
      <c r="I94" s="95"/>
      <c r="J94" s="95"/>
      <c r="K94" s="95"/>
      <c r="L94" s="95"/>
      <c r="M94" s="95"/>
      <c r="N94" s="95"/>
      <c r="O94" s="95"/>
    </row>
    <row r="95" spans="1:15" ht="15" customHeight="1">
      <c r="A95" s="95"/>
      <c r="B95" s="111"/>
      <c r="C95" s="111"/>
      <c r="D95" s="111" t="s">
        <v>187</v>
      </c>
      <c r="E95" s="111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1:15" ht="15" customHeight="1">
      <c r="A96" s="95"/>
      <c r="B96" s="93"/>
      <c r="C96" s="111"/>
      <c r="D96" s="111" t="s">
        <v>188</v>
      </c>
      <c r="E96" s="111"/>
      <c r="F96" s="95"/>
      <c r="G96" s="95"/>
      <c r="H96" s="95"/>
      <c r="I96" s="95"/>
      <c r="J96" s="95"/>
      <c r="K96" s="95"/>
      <c r="L96" s="95"/>
      <c r="M96" s="95"/>
      <c r="N96" s="95"/>
      <c r="O96" s="95"/>
    </row>
    <row r="97" spans="1:15" ht="15" customHeight="1" thickBot="1">
      <c r="A97" s="95"/>
      <c r="B97" s="95"/>
      <c r="C97" s="95"/>
      <c r="D97" s="95"/>
      <c r="E97" s="95"/>
      <c r="F97" s="100" t="s">
        <v>189</v>
      </c>
      <c r="G97" s="100"/>
      <c r="H97" s="95"/>
      <c r="I97" s="95"/>
      <c r="J97" s="95"/>
      <c r="K97" s="95"/>
      <c r="L97" s="95"/>
      <c r="M97" s="95"/>
      <c r="N97" s="95"/>
      <c r="O97" s="95"/>
    </row>
    <row r="98" spans="1:15" ht="15" customHeight="1">
      <c r="A98" s="95"/>
      <c r="B98" s="94" t="s">
        <v>190</v>
      </c>
      <c r="C98" s="94"/>
      <c r="D98" s="94" t="s">
        <v>191</v>
      </c>
      <c r="E98" s="94" t="s">
        <v>192</v>
      </c>
      <c r="F98" s="94" t="s">
        <v>193</v>
      </c>
      <c r="G98" s="94"/>
      <c r="H98" s="94" t="s">
        <v>194</v>
      </c>
      <c r="I98" s="94"/>
      <c r="J98" s="94" t="s">
        <v>53</v>
      </c>
      <c r="K98" s="94"/>
      <c r="L98" s="95"/>
      <c r="M98" s="95"/>
      <c r="N98" s="95"/>
      <c r="O98" s="95"/>
    </row>
    <row r="99" spans="1:15" ht="15" customHeight="1">
      <c r="A99" s="95"/>
      <c r="B99" s="96">
        <f t="shared" ref="B99:B108" si="6">B7</f>
        <v>2005</v>
      </c>
      <c r="C99" s="96"/>
      <c r="D99" s="100">
        <f t="shared" ref="D99:D108" si="7">VLOOKUP(B99,B$7:E$16,3,FALSE)</f>
        <v>312</v>
      </c>
      <c r="E99" s="129">
        <f t="shared" ref="E99:E108" si="8">((COUNT(B$99:B$108)-1)/2)+(B99-$C$4)</f>
        <v>-4.5</v>
      </c>
      <c r="F99" s="100">
        <f t="shared" ref="F99:F108" si="9">E99^2</f>
        <v>20.25</v>
      </c>
      <c r="G99" s="98"/>
      <c r="H99" s="130">
        <f t="shared" ref="H99:H108" si="10">ROUND(D99*E99,2)</f>
        <v>-1404</v>
      </c>
      <c r="I99" s="131"/>
      <c r="J99" s="102">
        <v>0</v>
      </c>
      <c r="K99" s="102"/>
      <c r="L99" s="95"/>
      <c r="M99" s="95"/>
      <c r="N99" s="95"/>
      <c r="O99" s="95"/>
    </row>
    <row r="100" spans="1:15" ht="15" customHeight="1">
      <c r="A100" s="95"/>
      <c r="B100" s="96">
        <f t="shared" si="6"/>
        <v>2006</v>
      </c>
      <c r="C100" s="96"/>
      <c r="D100" s="100">
        <f t="shared" si="7"/>
        <v>317</v>
      </c>
      <c r="E100" s="129">
        <f t="shared" si="8"/>
        <v>-3.5</v>
      </c>
      <c r="F100" s="100">
        <f t="shared" si="9"/>
        <v>12.25</v>
      </c>
      <c r="G100" s="98"/>
      <c r="H100" s="130">
        <f t="shared" si="10"/>
        <v>-1109.5</v>
      </c>
      <c r="I100" s="131"/>
      <c r="J100" s="102">
        <v>0</v>
      </c>
      <c r="K100" s="102"/>
      <c r="L100" s="95"/>
      <c r="M100" s="95"/>
      <c r="N100" s="95"/>
      <c r="O100" s="95"/>
    </row>
    <row r="101" spans="1:15" ht="15" customHeight="1">
      <c r="A101" s="95"/>
      <c r="B101" s="96">
        <f t="shared" si="6"/>
        <v>2007</v>
      </c>
      <c r="C101" s="96"/>
      <c r="D101" s="100">
        <f t="shared" si="7"/>
        <v>378</v>
      </c>
      <c r="E101" s="129">
        <f t="shared" si="8"/>
        <v>-2.5</v>
      </c>
      <c r="F101" s="100">
        <f>E101^2</f>
        <v>6.25</v>
      </c>
      <c r="G101" s="98"/>
      <c r="H101" s="130">
        <f t="shared" si="10"/>
        <v>-945</v>
      </c>
      <c r="I101" s="131"/>
      <c r="J101" s="102">
        <v>0</v>
      </c>
      <c r="K101" s="102"/>
      <c r="L101" s="95"/>
      <c r="M101" s="95"/>
      <c r="N101" s="95"/>
      <c r="O101" s="95"/>
    </row>
    <row r="102" spans="1:15" ht="15" customHeight="1">
      <c r="A102" s="95"/>
      <c r="B102" s="96">
        <f t="shared" si="6"/>
        <v>2008</v>
      </c>
      <c r="C102" s="96"/>
      <c r="D102" s="100">
        <f t="shared" si="7"/>
        <v>336</v>
      </c>
      <c r="E102" s="129">
        <f t="shared" si="8"/>
        <v>-1.5</v>
      </c>
      <c r="F102" s="100">
        <f t="shared" si="9"/>
        <v>2.25</v>
      </c>
      <c r="G102" s="98"/>
      <c r="H102" s="130">
        <f t="shared" si="10"/>
        <v>-504</v>
      </c>
      <c r="I102" s="131"/>
      <c r="J102" s="102">
        <v>0</v>
      </c>
      <c r="K102" s="102"/>
      <c r="L102" s="95"/>
      <c r="M102" s="95"/>
      <c r="N102" s="95"/>
      <c r="O102" s="95"/>
    </row>
    <row r="103" spans="1:15" ht="15" customHeight="1">
      <c r="A103" s="95"/>
      <c r="B103" s="96">
        <f t="shared" si="6"/>
        <v>2009</v>
      </c>
      <c r="C103" s="96"/>
      <c r="D103" s="100">
        <f t="shared" si="7"/>
        <v>354</v>
      </c>
      <c r="E103" s="129">
        <f t="shared" si="8"/>
        <v>-0.5</v>
      </c>
      <c r="F103" s="100">
        <f t="shared" si="9"/>
        <v>0.25</v>
      </c>
      <c r="G103" s="98"/>
      <c r="H103" s="130">
        <f t="shared" si="10"/>
        <v>-177</v>
      </c>
      <c r="I103" s="131"/>
      <c r="J103" s="102">
        <v>0</v>
      </c>
      <c r="K103" s="102"/>
      <c r="L103" s="95"/>
      <c r="M103" s="95"/>
      <c r="N103" s="95"/>
      <c r="O103" s="95"/>
    </row>
    <row r="104" spans="1:15" ht="15" customHeight="1">
      <c r="A104" s="95"/>
      <c r="B104" s="96">
        <f t="shared" si="6"/>
        <v>2010</v>
      </c>
      <c r="C104" s="96"/>
      <c r="D104" s="100">
        <f t="shared" si="7"/>
        <v>327</v>
      </c>
      <c r="E104" s="129">
        <f t="shared" si="8"/>
        <v>0.5</v>
      </c>
      <c r="F104" s="100">
        <f t="shared" si="9"/>
        <v>0.25</v>
      </c>
      <c r="G104" s="98"/>
      <c r="H104" s="130">
        <f t="shared" si="10"/>
        <v>163.5</v>
      </c>
      <c r="I104" s="131"/>
      <c r="J104" s="102">
        <v>0</v>
      </c>
      <c r="K104" s="102"/>
      <c r="L104" s="95"/>
      <c r="M104" s="95"/>
      <c r="N104" s="95"/>
      <c r="O104" s="95"/>
    </row>
    <row r="105" spans="1:15" ht="15" customHeight="1">
      <c r="A105" s="95"/>
      <c r="B105" s="96">
        <f t="shared" si="6"/>
        <v>2011</v>
      </c>
      <c r="C105" s="96"/>
      <c r="D105" s="100">
        <f t="shared" si="7"/>
        <v>230</v>
      </c>
      <c r="E105" s="129">
        <f t="shared" si="8"/>
        <v>1.5</v>
      </c>
      <c r="F105" s="100">
        <f t="shared" si="9"/>
        <v>2.25</v>
      </c>
      <c r="G105" s="98"/>
      <c r="H105" s="130">
        <f t="shared" si="10"/>
        <v>345</v>
      </c>
      <c r="I105" s="131"/>
      <c r="J105" s="102">
        <v>0</v>
      </c>
      <c r="K105" s="102"/>
      <c r="L105" s="95"/>
      <c r="M105" s="95"/>
      <c r="N105" s="95"/>
      <c r="O105" s="95"/>
    </row>
    <row r="106" spans="1:15" ht="15" customHeight="1">
      <c r="A106" s="95"/>
      <c r="B106" s="96">
        <f t="shared" si="6"/>
        <v>2012</v>
      </c>
      <c r="C106" s="96"/>
      <c r="D106" s="100">
        <f t="shared" si="7"/>
        <v>215</v>
      </c>
      <c r="E106" s="129">
        <f t="shared" si="8"/>
        <v>2.5</v>
      </c>
      <c r="F106" s="100">
        <f t="shared" si="9"/>
        <v>6.25</v>
      </c>
      <c r="G106" s="98"/>
      <c r="H106" s="130">
        <f t="shared" si="10"/>
        <v>537.5</v>
      </c>
      <c r="I106" s="131"/>
      <c r="J106" s="102">
        <v>0</v>
      </c>
      <c r="K106" s="102"/>
      <c r="L106" s="95"/>
      <c r="M106" s="95"/>
      <c r="N106" s="95"/>
      <c r="O106" s="95"/>
    </row>
    <row r="107" spans="1:15" ht="15" customHeight="1">
      <c r="A107" s="95"/>
      <c r="B107" s="96">
        <f t="shared" si="6"/>
        <v>2013</v>
      </c>
      <c r="C107" s="96"/>
      <c r="D107" s="100">
        <f t="shared" si="7"/>
        <v>226</v>
      </c>
      <c r="E107" s="129">
        <f t="shared" si="8"/>
        <v>3.5</v>
      </c>
      <c r="F107" s="100">
        <f t="shared" si="9"/>
        <v>12.25</v>
      </c>
      <c r="G107" s="98"/>
      <c r="H107" s="130">
        <f t="shared" si="10"/>
        <v>791</v>
      </c>
      <c r="I107" s="131"/>
      <c r="J107" s="102">
        <v>0</v>
      </c>
      <c r="K107" s="102"/>
      <c r="L107" s="95"/>
      <c r="M107" s="95"/>
      <c r="N107" s="95"/>
      <c r="O107" s="95"/>
    </row>
    <row r="108" spans="1:15" ht="15" customHeight="1">
      <c r="A108" s="95"/>
      <c r="B108" s="96">
        <f t="shared" si="6"/>
        <v>2014</v>
      </c>
      <c r="C108" s="96"/>
      <c r="D108" s="100">
        <f t="shared" si="7"/>
        <v>277</v>
      </c>
      <c r="E108" s="129">
        <f t="shared" si="8"/>
        <v>4.5</v>
      </c>
      <c r="F108" s="100">
        <f t="shared" si="9"/>
        <v>20.25</v>
      </c>
      <c r="G108" s="98"/>
      <c r="H108" s="130">
        <f t="shared" si="10"/>
        <v>1246.5</v>
      </c>
      <c r="I108" s="131"/>
      <c r="J108" s="102">
        <v>0</v>
      </c>
      <c r="K108" s="102"/>
      <c r="L108" s="95"/>
      <c r="M108" s="95"/>
      <c r="N108" s="95"/>
      <c r="O108" s="95"/>
    </row>
    <row r="109" spans="1:15" ht="15" customHeight="1" thickBot="1">
      <c r="A109" s="95"/>
      <c r="B109" s="103" t="s">
        <v>146</v>
      </c>
      <c r="C109" s="104"/>
      <c r="D109" s="132">
        <f>SUM(D99:D108)</f>
        <v>2972</v>
      </c>
      <c r="E109" s="107"/>
      <c r="F109" s="133">
        <f>ROUND(SUM(F99:F108),0)</f>
        <v>83</v>
      </c>
      <c r="G109" s="104"/>
      <c r="H109" s="134">
        <f>SUM(H99:H108)</f>
        <v>-1056</v>
      </c>
      <c r="I109" s="108"/>
      <c r="J109" s="135"/>
      <c r="K109" s="135"/>
      <c r="L109" s="95"/>
      <c r="M109" s="95"/>
      <c r="N109" s="95"/>
      <c r="O109" s="95"/>
    </row>
    <row r="110" spans="1:15" ht="15" customHeight="1">
      <c r="A110" s="95"/>
      <c r="B110" s="100" t="s">
        <v>197</v>
      </c>
      <c r="C110" s="100"/>
      <c r="D110" s="136" t="s">
        <v>198</v>
      </c>
      <c r="E110" s="95"/>
      <c r="F110" s="95"/>
      <c r="G110" s="93">
        <f>((COUNT(B$99:B$108))*H$109-D$109*E$109)/((COUNT(B$99:B$108))*F$109-E$109*E$109)</f>
        <v>-12.72289156626506</v>
      </c>
      <c r="H110" s="136" t="s">
        <v>199</v>
      </c>
      <c r="I110" s="93"/>
      <c r="J110" s="93"/>
      <c r="K110" s="93">
        <f>ROUND((F109*D109-H109*E109)/(COUNT(B$99:B$108)*F109-E109*E109),0)</f>
        <v>297</v>
      </c>
      <c r="L110" s="95"/>
      <c r="M110" s="95"/>
      <c r="N110" s="95"/>
      <c r="O110" s="95"/>
    </row>
    <row r="111" spans="1:15" ht="15" customHeight="1">
      <c r="A111" s="95"/>
      <c r="B111" s="123"/>
      <c r="C111" s="123"/>
      <c r="D111" s="137"/>
      <c r="E111" s="93"/>
      <c r="F111" s="126"/>
      <c r="G111" s="124"/>
      <c r="H111" s="95"/>
      <c r="I111" s="124"/>
      <c r="J111" s="124"/>
      <c r="K111" s="127"/>
      <c r="L111" s="95"/>
      <c r="M111" s="95"/>
      <c r="N111" s="95"/>
      <c r="O111" s="95"/>
    </row>
    <row r="112" spans="1:15" ht="15" customHeight="1">
      <c r="A112" s="95"/>
      <c r="B112" s="95"/>
      <c r="C112" s="95"/>
      <c r="D112" s="95"/>
      <c r="E112" s="111"/>
      <c r="F112" s="95"/>
      <c r="G112" s="95"/>
      <c r="H112" s="95"/>
      <c r="I112" s="95"/>
      <c r="J112" s="95"/>
      <c r="K112" s="95"/>
      <c r="L112" s="95"/>
      <c r="M112" s="95"/>
      <c r="N112" s="95"/>
      <c r="O112" s="95"/>
    </row>
    <row r="113" spans="1:15" ht="15" customHeight="1" thickBot="1">
      <c r="A113" s="95"/>
      <c r="B113" s="95"/>
      <c r="C113" s="95"/>
      <c r="D113" s="95"/>
      <c r="E113" s="95"/>
      <c r="F113" s="100" t="s">
        <v>200</v>
      </c>
      <c r="G113" s="100"/>
      <c r="H113" s="95"/>
      <c r="I113" s="95"/>
      <c r="J113" s="95"/>
      <c r="K113" s="95"/>
      <c r="L113" s="95"/>
      <c r="M113" s="95"/>
      <c r="N113" s="95"/>
      <c r="O113" s="95"/>
    </row>
    <row r="114" spans="1:15" ht="15" customHeight="1">
      <c r="A114" s="95"/>
      <c r="B114" s="94" t="s">
        <v>141</v>
      </c>
      <c r="C114" s="94"/>
      <c r="D114" s="94" t="s">
        <v>174</v>
      </c>
      <c r="E114" s="94"/>
      <c r="F114" s="94" t="s">
        <v>157</v>
      </c>
      <c r="G114" s="94"/>
      <c r="H114" s="94" t="s">
        <v>158</v>
      </c>
      <c r="I114" s="94"/>
      <c r="J114" s="94" t="s">
        <v>53</v>
      </c>
      <c r="K114" s="94"/>
      <c r="L114" s="95"/>
      <c r="M114" s="95"/>
      <c r="N114" s="95"/>
      <c r="O114" s="95"/>
    </row>
    <row r="115" spans="1:15" ht="15" customHeight="1">
      <c r="A115" s="95"/>
      <c r="B115" s="112">
        <v>2014</v>
      </c>
      <c r="C115" s="113"/>
      <c r="D115" s="113">
        <f t="shared" ref="D115:D136" si="11">ROUNDUP(G$110*(B115-B$108+E$108)+K$110,0)</f>
        <v>240</v>
      </c>
      <c r="E115" s="113"/>
      <c r="F115" s="113">
        <v>0</v>
      </c>
      <c r="G115" s="113"/>
      <c r="H115" s="113">
        <f t="shared" ref="H115:H136" si="12">ROUND(D115*(1+F115),0)</f>
        <v>240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2015</v>
      </c>
      <c r="C116" s="116"/>
      <c r="D116" s="116">
        <f t="shared" si="11"/>
        <v>228</v>
      </c>
      <c r="E116" s="116"/>
      <c r="F116" s="116">
        <v>0</v>
      </c>
      <c r="G116" s="116"/>
      <c r="H116" s="116">
        <f t="shared" si="12"/>
        <v>228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2016</v>
      </c>
      <c r="C117" s="113"/>
      <c r="D117" s="113">
        <f t="shared" si="11"/>
        <v>215</v>
      </c>
      <c r="E117" s="113"/>
      <c r="F117" s="113">
        <v>0</v>
      </c>
      <c r="G117" s="113"/>
      <c r="H117" s="113">
        <f t="shared" si="12"/>
        <v>215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2017</v>
      </c>
      <c r="C118" s="113"/>
      <c r="D118" s="113">
        <f t="shared" si="11"/>
        <v>202</v>
      </c>
      <c r="E118" s="113"/>
      <c r="F118" s="113">
        <v>0</v>
      </c>
      <c r="G118" s="113"/>
      <c r="H118" s="113">
        <f t="shared" si="12"/>
        <v>202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2018</v>
      </c>
      <c r="C119" s="113"/>
      <c r="D119" s="113">
        <f t="shared" si="11"/>
        <v>189</v>
      </c>
      <c r="E119" s="113"/>
      <c r="F119" s="113">
        <v>0</v>
      </c>
      <c r="G119" s="113"/>
      <c r="H119" s="113">
        <f t="shared" si="12"/>
        <v>189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2019</v>
      </c>
      <c r="C120" s="113"/>
      <c r="D120" s="113">
        <f t="shared" si="11"/>
        <v>177</v>
      </c>
      <c r="E120" s="113"/>
      <c r="F120" s="113">
        <v>0</v>
      </c>
      <c r="G120" s="113"/>
      <c r="H120" s="113">
        <f t="shared" si="12"/>
        <v>177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2020</v>
      </c>
      <c r="C121" s="116"/>
      <c r="D121" s="116">
        <f t="shared" si="11"/>
        <v>164</v>
      </c>
      <c r="E121" s="116"/>
      <c r="F121" s="116">
        <v>0</v>
      </c>
      <c r="G121" s="116"/>
      <c r="H121" s="116">
        <f t="shared" si="12"/>
        <v>164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2021</v>
      </c>
      <c r="C122" s="113"/>
      <c r="D122" s="113">
        <f t="shared" si="11"/>
        <v>151</v>
      </c>
      <c r="E122" s="113"/>
      <c r="F122" s="113">
        <v>0</v>
      </c>
      <c r="G122" s="113"/>
      <c r="H122" s="113">
        <f t="shared" si="12"/>
        <v>151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2022</v>
      </c>
      <c r="C123" s="113"/>
      <c r="D123" s="113">
        <f t="shared" si="11"/>
        <v>138</v>
      </c>
      <c r="E123" s="113"/>
      <c r="F123" s="113">
        <v>0</v>
      </c>
      <c r="G123" s="113"/>
      <c r="H123" s="113">
        <f t="shared" si="12"/>
        <v>138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2023</v>
      </c>
      <c r="C124" s="113"/>
      <c r="D124" s="113">
        <f t="shared" si="11"/>
        <v>126</v>
      </c>
      <c r="E124" s="113"/>
      <c r="F124" s="113">
        <v>0</v>
      </c>
      <c r="G124" s="113"/>
      <c r="H124" s="113">
        <f t="shared" si="12"/>
        <v>126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2024</v>
      </c>
      <c r="C125" s="113"/>
      <c r="D125" s="113">
        <f t="shared" si="11"/>
        <v>113</v>
      </c>
      <c r="E125" s="113"/>
      <c r="F125" s="113">
        <v>0</v>
      </c>
      <c r="G125" s="113"/>
      <c r="H125" s="113">
        <f t="shared" si="12"/>
        <v>113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>
      <c r="A126" s="95"/>
      <c r="B126" s="115">
        <v>2025</v>
      </c>
      <c r="C126" s="116"/>
      <c r="D126" s="116">
        <f t="shared" si="11"/>
        <v>100</v>
      </c>
      <c r="E126" s="116"/>
      <c r="F126" s="116">
        <v>0</v>
      </c>
      <c r="G126" s="116"/>
      <c r="H126" s="116">
        <f t="shared" si="12"/>
        <v>100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12">
        <v>2026</v>
      </c>
      <c r="C127" s="113"/>
      <c r="D127" s="113">
        <f t="shared" si="11"/>
        <v>88</v>
      </c>
      <c r="E127" s="113"/>
      <c r="F127" s="113">
        <v>0</v>
      </c>
      <c r="G127" s="113"/>
      <c r="H127" s="113">
        <f t="shared" si="12"/>
        <v>88</v>
      </c>
      <c r="I127" s="113"/>
      <c r="J127" s="114">
        <v>0</v>
      </c>
      <c r="K127" s="114"/>
      <c r="L127" s="95"/>
      <c r="M127" s="95"/>
      <c r="N127" s="95"/>
      <c r="O127" s="95"/>
    </row>
    <row r="128" spans="1:15" ht="15" customHeight="1">
      <c r="A128" s="95"/>
      <c r="B128" s="112">
        <v>2027</v>
      </c>
      <c r="C128" s="113"/>
      <c r="D128" s="113">
        <f t="shared" si="11"/>
        <v>75</v>
      </c>
      <c r="E128" s="113"/>
      <c r="F128" s="113">
        <v>0</v>
      </c>
      <c r="G128" s="113"/>
      <c r="H128" s="113">
        <f t="shared" si="12"/>
        <v>75</v>
      </c>
      <c r="I128" s="113"/>
      <c r="J128" s="114">
        <v>0</v>
      </c>
      <c r="K128" s="114"/>
      <c r="L128" s="95"/>
      <c r="M128" s="95"/>
      <c r="N128" s="95"/>
      <c r="O128" s="95"/>
    </row>
    <row r="129" spans="1:15" ht="15" customHeight="1">
      <c r="A129" s="95"/>
      <c r="B129" s="112">
        <v>2028</v>
      </c>
      <c r="C129" s="113"/>
      <c r="D129" s="113">
        <f t="shared" si="11"/>
        <v>62</v>
      </c>
      <c r="E129" s="113"/>
      <c r="F129" s="113">
        <v>0</v>
      </c>
      <c r="G129" s="113"/>
      <c r="H129" s="113">
        <f t="shared" si="12"/>
        <v>62</v>
      </c>
      <c r="I129" s="113"/>
      <c r="J129" s="114">
        <v>0</v>
      </c>
      <c r="K129" s="114"/>
      <c r="L129" s="95"/>
      <c r="M129" s="95"/>
      <c r="N129" s="95"/>
      <c r="O129" s="95"/>
    </row>
    <row r="130" spans="1:15" ht="15" customHeight="1">
      <c r="A130" s="95"/>
      <c r="B130" s="112">
        <v>2029</v>
      </c>
      <c r="C130" s="113"/>
      <c r="D130" s="113">
        <f t="shared" si="11"/>
        <v>49</v>
      </c>
      <c r="E130" s="113"/>
      <c r="F130" s="113">
        <v>0</v>
      </c>
      <c r="G130" s="113"/>
      <c r="H130" s="113">
        <f t="shared" si="12"/>
        <v>49</v>
      </c>
      <c r="I130" s="113"/>
      <c r="J130" s="114">
        <v>0</v>
      </c>
      <c r="K130" s="114"/>
      <c r="L130" s="95"/>
      <c r="M130" s="95"/>
      <c r="N130" s="95"/>
      <c r="O130" s="95"/>
    </row>
    <row r="131" spans="1:15" ht="15" customHeight="1">
      <c r="A131" s="95"/>
      <c r="B131" s="115">
        <v>2030</v>
      </c>
      <c r="C131" s="116"/>
      <c r="D131" s="116">
        <f t="shared" si="11"/>
        <v>37</v>
      </c>
      <c r="E131" s="116"/>
      <c r="F131" s="116">
        <v>0</v>
      </c>
      <c r="G131" s="116"/>
      <c r="H131" s="116">
        <f t="shared" si="12"/>
        <v>37</v>
      </c>
      <c r="I131" s="116"/>
      <c r="J131" s="117">
        <v>0</v>
      </c>
      <c r="K131" s="117"/>
      <c r="L131" s="95"/>
      <c r="M131" s="95"/>
      <c r="N131" s="95"/>
      <c r="O131" s="95"/>
    </row>
    <row r="132" spans="1:15" ht="15" customHeight="1">
      <c r="A132" s="95"/>
      <c r="B132" s="112">
        <v>2031</v>
      </c>
      <c r="C132" s="113"/>
      <c r="D132" s="113">
        <f t="shared" si="11"/>
        <v>24</v>
      </c>
      <c r="E132" s="113"/>
      <c r="F132" s="113">
        <v>0</v>
      </c>
      <c r="G132" s="113"/>
      <c r="H132" s="113">
        <f t="shared" si="12"/>
        <v>24</v>
      </c>
      <c r="I132" s="113"/>
      <c r="J132" s="114">
        <v>0</v>
      </c>
      <c r="K132" s="114"/>
      <c r="L132" s="95"/>
      <c r="M132" s="95"/>
      <c r="N132" s="95"/>
      <c r="O132" s="95"/>
    </row>
    <row r="133" spans="1:15" ht="15" customHeight="1">
      <c r="A133" s="95"/>
      <c r="B133" s="112">
        <v>2032</v>
      </c>
      <c r="C133" s="113"/>
      <c r="D133" s="113">
        <f t="shared" si="11"/>
        <v>11</v>
      </c>
      <c r="E133" s="113"/>
      <c r="F133" s="113">
        <v>0</v>
      </c>
      <c r="G133" s="113"/>
      <c r="H133" s="113">
        <f t="shared" si="12"/>
        <v>11</v>
      </c>
      <c r="I133" s="113"/>
      <c r="J133" s="114">
        <v>0</v>
      </c>
      <c r="K133" s="114"/>
      <c r="L133" s="95"/>
      <c r="M133" s="95"/>
      <c r="N133" s="95"/>
      <c r="O133" s="95"/>
    </row>
    <row r="134" spans="1:15" ht="15" customHeight="1">
      <c r="A134" s="95"/>
      <c r="B134" s="112">
        <v>2033</v>
      </c>
      <c r="C134" s="113"/>
      <c r="D134" s="113">
        <f t="shared" si="11"/>
        <v>-2</v>
      </c>
      <c r="E134" s="113"/>
      <c r="F134" s="113">
        <v>0</v>
      </c>
      <c r="G134" s="113"/>
      <c r="H134" s="113">
        <f t="shared" si="12"/>
        <v>-2</v>
      </c>
      <c r="I134" s="113"/>
      <c r="J134" s="114">
        <v>0</v>
      </c>
      <c r="K134" s="114"/>
      <c r="L134" s="95"/>
      <c r="M134" s="95"/>
      <c r="N134" s="95"/>
      <c r="O134" s="95"/>
    </row>
    <row r="135" spans="1:15" ht="15" customHeight="1">
      <c r="A135" s="95"/>
      <c r="B135" s="112">
        <v>2034</v>
      </c>
      <c r="C135" s="113"/>
      <c r="D135" s="113">
        <f t="shared" si="11"/>
        <v>-15</v>
      </c>
      <c r="E135" s="113"/>
      <c r="F135" s="113">
        <v>0</v>
      </c>
      <c r="G135" s="113"/>
      <c r="H135" s="113">
        <f t="shared" si="12"/>
        <v>-15</v>
      </c>
      <c r="I135" s="113"/>
      <c r="J135" s="114">
        <v>0</v>
      </c>
      <c r="K135" s="114"/>
      <c r="L135" s="95"/>
      <c r="M135" s="95"/>
      <c r="N135" s="95"/>
      <c r="O135" s="95"/>
    </row>
    <row r="136" spans="1:15" ht="15" customHeight="1" thickBot="1">
      <c r="A136" s="95"/>
      <c r="B136" s="115">
        <v>2035</v>
      </c>
      <c r="C136" s="116"/>
      <c r="D136" s="116">
        <f t="shared" si="11"/>
        <v>-28</v>
      </c>
      <c r="E136" s="116"/>
      <c r="F136" s="116">
        <v>0</v>
      </c>
      <c r="G136" s="116"/>
      <c r="H136" s="116">
        <f t="shared" si="12"/>
        <v>-28</v>
      </c>
      <c r="I136" s="116"/>
      <c r="J136" s="117">
        <v>0</v>
      </c>
      <c r="K136" s="117"/>
      <c r="L136" s="95"/>
      <c r="M136" s="95"/>
      <c r="N136" s="95"/>
      <c r="O136" s="95"/>
    </row>
    <row r="137" spans="1:15" ht="15" customHeight="1">
      <c r="A137" s="95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95"/>
      <c r="M137" s="95"/>
      <c r="N137" s="95"/>
      <c r="O137" s="95"/>
    </row>
    <row r="138" spans="1:15" ht="15" customHeight="1">
      <c r="A138" s="95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95"/>
      <c r="M138" s="95"/>
      <c r="N138" s="95"/>
      <c r="O138" s="95"/>
    </row>
    <row r="139" spans="1:15" ht="15" customHeight="1">
      <c r="A139" s="95"/>
      <c r="B139" s="110" t="s">
        <v>203</v>
      </c>
      <c r="C139" s="111"/>
      <c r="D139" s="111"/>
      <c r="E139" s="111"/>
      <c r="F139" s="111"/>
      <c r="G139" s="95"/>
      <c r="H139" s="95"/>
      <c r="I139" s="95"/>
      <c r="J139" s="95"/>
      <c r="K139" s="95"/>
      <c r="L139" s="95"/>
      <c r="M139" s="95"/>
      <c r="N139" s="95"/>
      <c r="O139" s="95"/>
    </row>
    <row r="140" spans="1:15" ht="15" customHeight="1">
      <c r="A140" s="95"/>
      <c r="B140" s="95"/>
      <c r="C140" s="111" t="s">
        <v>204</v>
      </c>
      <c r="D140" s="111" t="s">
        <v>205</v>
      </c>
      <c r="E140" s="111"/>
      <c r="F140" s="111"/>
      <c r="G140" s="138" t="b">
        <v>1</v>
      </c>
      <c r="H140" s="95"/>
      <c r="I140" s="95"/>
      <c r="J140" s="95"/>
      <c r="K140" s="95"/>
      <c r="L140" s="95"/>
      <c r="M140" s="95"/>
      <c r="N140" s="95"/>
      <c r="O140" s="95"/>
    </row>
    <row r="141" spans="1:15" ht="15" customHeight="1">
      <c r="A141" s="95"/>
      <c r="B141" s="93"/>
      <c r="C141" s="128" t="s">
        <v>206</v>
      </c>
      <c r="D141" s="111" t="s">
        <v>207</v>
      </c>
      <c r="E141" s="111"/>
      <c r="F141" s="93"/>
      <c r="G141" s="139" t="b">
        <v>0</v>
      </c>
      <c r="H141" s="95"/>
      <c r="I141" s="95"/>
      <c r="J141" s="95"/>
      <c r="K141" s="95"/>
      <c r="L141" s="95"/>
      <c r="M141" s="95"/>
      <c r="N141" s="95"/>
      <c r="O141" s="95"/>
    </row>
    <row r="142" spans="1:15" ht="15" customHeight="1">
      <c r="A142" s="95"/>
      <c r="B142" s="93"/>
      <c r="C142" s="128"/>
      <c r="D142" s="111" t="s">
        <v>208</v>
      </c>
      <c r="E142" s="111"/>
      <c r="F142" s="93"/>
      <c r="G142" s="95"/>
      <c r="H142" s="95"/>
      <c r="I142" s="95"/>
      <c r="J142" s="95"/>
      <c r="K142" s="95"/>
      <c r="L142" s="95"/>
      <c r="M142" s="95"/>
      <c r="N142" s="95"/>
      <c r="O142" s="95"/>
    </row>
    <row r="143" spans="1:15" ht="15" customHeight="1">
      <c r="A143" s="95"/>
      <c r="B143" s="111"/>
      <c r="C143" s="111"/>
      <c r="D143" s="111" t="s">
        <v>209</v>
      </c>
      <c r="E143" s="111"/>
      <c r="F143" s="111"/>
      <c r="G143" s="95"/>
      <c r="H143" s="95"/>
      <c r="I143" s="95"/>
      <c r="J143" s="95"/>
      <c r="K143" s="95"/>
      <c r="L143" s="95"/>
      <c r="M143" s="95"/>
      <c r="N143" s="95"/>
      <c r="O143" s="95"/>
    </row>
    <row r="144" spans="1:15" ht="15" customHeight="1" thickBot="1">
      <c r="A144" s="95"/>
      <c r="B144" s="95"/>
      <c r="C144" s="95"/>
      <c r="D144" s="95"/>
      <c r="E144" s="95"/>
      <c r="F144" s="100" t="s">
        <v>210</v>
      </c>
      <c r="G144" s="100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>
      <c r="A145" s="95"/>
      <c r="B145" s="94" t="s">
        <v>141</v>
      </c>
      <c r="C145" s="94"/>
      <c r="D145" s="94" t="s">
        <v>212</v>
      </c>
      <c r="E145" s="94" t="s">
        <v>192</v>
      </c>
      <c r="F145" s="94" t="s">
        <v>192</v>
      </c>
      <c r="G145" s="94" t="s">
        <v>193</v>
      </c>
      <c r="H145" s="94" t="s">
        <v>215</v>
      </c>
      <c r="I145" s="94"/>
      <c r="J145" s="94" t="s">
        <v>216</v>
      </c>
      <c r="K145" s="94" t="s">
        <v>217</v>
      </c>
      <c r="L145" s="95"/>
      <c r="M145" s="95"/>
      <c r="N145" s="95"/>
      <c r="O145" s="95"/>
    </row>
    <row r="146" spans="1:15" ht="15" customHeight="1">
      <c r="A146" s="95"/>
      <c r="B146" s="96">
        <f t="shared" ref="B146:B155" si="13">B99</f>
        <v>2005</v>
      </c>
      <c r="C146" s="96"/>
      <c r="D146" s="100">
        <f t="shared" ref="D146:D155" si="14">VLOOKUP(B146,B$7:E$16,3,FALSE)</f>
        <v>312</v>
      </c>
      <c r="E146" s="140">
        <f t="shared" ref="E146:E155" si="15">IF(G$140=FALSE,"",((COUNT(B$99:B$108)-1))+(B146-$C$4))</f>
        <v>0</v>
      </c>
      <c r="F146" s="141">
        <f>IF(E146=0,0,"")</f>
        <v>0</v>
      </c>
      <c r="G146" s="142">
        <f t="shared" ref="G146:G155" si="16">IF(F146="","",F146^2)</f>
        <v>0</v>
      </c>
      <c r="H146" s="131">
        <f t="shared" ref="H146:H155" si="17">IF(G146="","",ABS(D146-D$146))</f>
        <v>0</v>
      </c>
      <c r="I146" s="131"/>
      <c r="J146" s="141">
        <f>IF(H146=0,0,"")</f>
        <v>0</v>
      </c>
      <c r="K146" s="143">
        <f t="shared" ref="K146:K155" si="18">IF(J146="","",J146*F146)</f>
        <v>0</v>
      </c>
      <c r="L146" s="95"/>
      <c r="M146" s="95"/>
      <c r="N146" s="95"/>
      <c r="O146" s="95"/>
    </row>
    <row r="147" spans="1:15" ht="15" customHeight="1">
      <c r="A147" s="95"/>
      <c r="B147" s="96">
        <f t="shared" si="13"/>
        <v>2006</v>
      </c>
      <c r="C147" s="96"/>
      <c r="D147" s="100">
        <f t="shared" si="14"/>
        <v>317</v>
      </c>
      <c r="E147" s="140">
        <f t="shared" si="15"/>
        <v>1</v>
      </c>
      <c r="F147" s="141">
        <f t="shared" ref="F147:F155" si="19">IF(E147="","",LOG(E147))</f>
        <v>0</v>
      </c>
      <c r="G147" s="142">
        <f t="shared" si="16"/>
        <v>0</v>
      </c>
      <c r="H147" s="131">
        <f t="shared" si="17"/>
        <v>5</v>
      </c>
      <c r="I147" s="131"/>
      <c r="J147" s="143">
        <f t="shared" ref="J147:J155" si="20">IF(H147="","",LOG(H147))</f>
        <v>0.69897000433601886</v>
      </c>
      <c r="K147" s="143">
        <f t="shared" si="18"/>
        <v>0</v>
      </c>
      <c r="L147" s="95"/>
      <c r="M147" s="95"/>
      <c r="N147" s="95"/>
      <c r="O147" s="95"/>
    </row>
    <row r="148" spans="1:15" ht="15" customHeight="1">
      <c r="A148" s="95"/>
      <c r="B148" s="96">
        <f t="shared" si="13"/>
        <v>2007</v>
      </c>
      <c r="C148" s="96"/>
      <c r="D148" s="100">
        <f t="shared" si="14"/>
        <v>378</v>
      </c>
      <c r="E148" s="140">
        <f t="shared" si="15"/>
        <v>2</v>
      </c>
      <c r="F148" s="141">
        <f t="shared" si="19"/>
        <v>0.3010299956639812</v>
      </c>
      <c r="G148" s="142">
        <f t="shared" si="16"/>
        <v>9.0619058289456544E-2</v>
      </c>
      <c r="H148" s="131">
        <f t="shared" si="17"/>
        <v>66</v>
      </c>
      <c r="I148" s="131"/>
      <c r="J148" s="143">
        <f t="shared" si="20"/>
        <v>1.8195439355418688</v>
      </c>
      <c r="K148" s="143">
        <f t="shared" si="18"/>
        <v>0.54773730302659207</v>
      </c>
      <c r="L148" s="95"/>
      <c r="M148" s="95"/>
      <c r="N148" s="95"/>
      <c r="O148" s="95"/>
    </row>
    <row r="149" spans="1:15" ht="15" customHeight="1">
      <c r="A149" s="95"/>
      <c r="B149" s="96">
        <f t="shared" si="13"/>
        <v>2008</v>
      </c>
      <c r="C149" s="96"/>
      <c r="D149" s="100">
        <f t="shared" si="14"/>
        <v>336</v>
      </c>
      <c r="E149" s="140">
        <f t="shared" si="15"/>
        <v>3</v>
      </c>
      <c r="F149" s="141">
        <f t="shared" si="19"/>
        <v>0.47712125471966244</v>
      </c>
      <c r="G149" s="142">
        <f t="shared" si="16"/>
        <v>0.227644691705265</v>
      </c>
      <c r="H149" s="131">
        <f t="shared" si="17"/>
        <v>24</v>
      </c>
      <c r="I149" s="131"/>
      <c r="J149" s="143">
        <f t="shared" si="20"/>
        <v>1.3802112417116059</v>
      </c>
      <c r="K149" s="143">
        <f t="shared" si="18"/>
        <v>0.65852811942362466</v>
      </c>
      <c r="L149" s="95"/>
      <c r="M149" s="95"/>
      <c r="N149" s="95"/>
      <c r="O149" s="95"/>
    </row>
    <row r="150" spans="1:15" ht="15" customHeight="1">
      <c r="A150" s="95"/>
      <c r="B150" s="96">
        <f t="shared" si="13"/>
        <v>2009</v>
      </c>
      <c r="C150" s="96"/>
      <c r="D150" s="100">
        <f t="shared" si="14"/>
        <v>354</v>
      </c>
      <c r="E150" s="140">
        <f t="shared" si="15"/>
        <v>4</v>
      </c>
      <c r="F150" s="141">
        <f t="shared" si="19"/>
        <v>0.6020599913279624</v>
      </c>
      <c r="G150" s="142">
        <f t="shared" si="16"/>
        <v>0.36247623315782618</v>
      </c>
      <c r="H150" s="131">
        <f t="shared" si="17"/>
        <v>42</v>
      </c>
      <c r="I150" s="131"/>
      <c r="J150" s="143">
        <f t="shared" si="20"/>
        <v>1.6232492903979006</v>
      </c>
      <c r="K150" s="143">
        <f t="shared" si="18"/>
        <v>0.97729345370008114</v>
      </c>
      <c r="L150" s="95"/>
      <c r="M150" s="95"/>
      <c r="N150" s="95"/>
      <c r="O150" s="95"/>
    </row>
    <row r="151" spans="1:15" ht="15" customHeight="1">
      <c r="A151" s="95"/>
      <c r="B151" s="96">
        <f t="shared" si="13"/>
        <v>2010</v>
      </c>
      <c r="C151" s="96"/>
      <c r="D151" s="100">
        <f t="shared" si="14"/>
        <v>327</v>
      </c>
      <c r="E151" s="140">
        <f t="shared" si="15"/>
        <v>5</v>
      </c>
      <c r="F151" s="141">
        <f t="shared" si="19"/>
        <v>0.69897000433601886</v>
      </c>
      <c r="G151" s="142">
        <f t="shared" si="16"/>
        <v>0.4885590669614942</v>
      </c>
      <c r="H151" s="131">
        <f t="shared" si="17"/>
        <v>15</v>
      </c>
      <c r="I151" s="131"/>
      <c r="J151" s="143">
        <f t="shared" si="20"/>
        <v>1.1760912590556813</v>
      </c>
      <c r="K151" s="143">
        <f t="shared" si="18"/>
        <v>0.82205251244170352</v>
      </c>
      <c r="L151" s="95"/>
      <c r="M151" s="95"/>
      <c r="N151" s="95"/>
      <c r="O151" s="95"/>
    </row>
    <row r="152" spans="1:15" ht="15" customHeight="1">
      <c r="A152" s="95"/>
      <c r="B152" s="96">
        <f t="shared" si="13"/>
        <v>2011</v>
      </c>
      <c r="C152" s="96"/>
      <c r="D152" s="100">
        <f t="shared" si="14"/>
        <v>230</v>
      </c>
      <c r="E152" s="140">
        <f t="shared" si="15"/>
        <v>6</v>
      </c>
      <c r="F152" s="141">
        <f t="shared" si="19"/>
        <v>0.77815125038364363</v>
      </c>
      <c r="G152" s="142">
        <f t="shared" si="16"/>
        <v>0.60551936847362808</v>
      </c>
      <c r="H152" s="131">
        <f t="shared" si="17"/>
        <v>82</v>
      </c>
      <c r="I152" s="131"/>
      <c r="J152" s="143">
        <f t="shared" si="20"/>
        <v>1.9138138523837167</v>
      </c>
      <c r="K152" s="143">
        <f t="shared" si="18"/>
        <v>1.4892366422339272</v>
      </c>
      <c r="L152" s="95"/>
      <c r="M152" s="95"/>
      <c r="N152" s="95"/>
      <c r="O152" s="95"/>
    </row>
    <row r="153" spans="1:15" ht="15" customHeight="1">
      <c r="A153" s="95"/>
      <c r="B153" s="96">
        <f t="shared" si="13"/>
        <v>2012</v>
      </c>
      <c r="C153" s="96"/>
      <c r="D153" s="100">
        <f t="shared" si="14"/>
        <v>215</v>
      </c>
      <c r="E153" s="140">
        <f t="shared" si="15"/>
        <v>7</v>
      </c>
      <c r="F153" s="141">
        <f t="shared" si="19"/>
        <v>0.84509804001425681</v>
      </c>
      <c r="G153" s="142">
        <f t="shared" si="16"/>
        <v>0.71419069723593842</v>
      </c>
      <c r="H153" s="131">
        <f t="shared" si="17"/>
        <v>97</v>
      </c>
      <c r="I153" s="131"/>
      <c r="J153" s="143">
        <f t="shared" si="20"/>
        <v>1.9867717342662448</v>
      </c>
      <c r="K153" s="143">
        <f t="shared" si="18"/>
        <v>1.6790168985841294</v>
      </c>
      <c r="L153" s="95"/>
      <c r="M153" s="95"/>
      <c r="N153" s="95"/>
      <c r="O153" s="95"/>
    </row>
    <row r="154" spans="1:15" ht="15" customHeight="1">
      <c r="A154" s="95"/>
      <c r="B154" s="96">
        <f t="shared" si="13"/>
        <v>2013</v>
      </c>
      <c r="C154" s="96"/>
      <c r="D154" s="100">
        <f t="shared" si="14"/>
        <v>226</v>
      </c>
      <c r="E154" s="140">
        <f t="shared" si="15"/>
        <v>8</v>
      </c>
      <c r="F154" s="141">
        <f t="shared" si="19"/>
        <v>0.90308998699194354</v>
      </c>
      <c r="G154" s="142">
        <f t="shared" si="16"/>
        <v>0.81557152460510873</v>
      </c>
      <c r="H154" s="131">
        <f t="shared" si="17"/>
        <v>86</v>
      </c>
      <c r="I154" s="131"/>
      <c r="J154" s="143">
        <f t="shared" si="20"/>
        <v>1.9344984512435677</v>
      </c>
      <c r="K154" s="143">
        <f t="shared" si="18"/>
        <v>1.7470261811694885</v>
      </c>
      <c r="L154" s="95"/>
      <c r="M154" s="95"/>
      <c r="N154" s="95"/>
      <c r="O154" s="95"/>
    </row>
    <row r="155" spans="1:15" ht="15" customHeight="1">
      <c r="A155" s="95"/>
      <c r="B155" s="96">
        <f t="shared" si="13"/>
        <v>2014</v>
      </c>
      <c r="C155" s="96"/>
      <c r="D155" s="100">
        <f t="shared" si="14"/>
        <v>277</v>
      </c>
      <c r="E155" s="140">
        <f t="shared" si="15"/>
        <v>9</v>
      </c>
      <c r="F155" s="141">
        <f t="shared" si="19"/>
        <v>0.95424250943932487</v>
      </c>
      <c r="G155" s="142">
        <f t="shared" si="16"/>
        <v>0.91057876682105998</v>
      </c>
      <c r="H155" s="131">
        <f t="shared" si="17"/>
        <v>35</v>
      </c>
      <c r="I155" s="131"/>
      <c r="J155" s="143">
        <f t="shared" si="20"/>
        <v>1.5440680443502757</v>
      </c>
      <c r="K155" s="143">
        <f t="shared" si="18"/>
        <v>1.4734153653858779</v>
      </c>
      <c r="L155" s="95"/>
      <c r="M155" s="95"/>
      <c r="N155" s="95"/>
      <c r="O155" s="95"/>
    </row>
    <row r="156" spans="1:15" ht="15" customHeight="1" thickBot="1">
      <c r="A156" s="95"/>
      <c r="B156" s="103" t="s">
        <v>146</v>
      </c>
      <c r="C156" s="104"/>
      <c r="D156" s="144"/>
      <c r="E156" s="145"/>
      <c r="F156" s="146">
        <f>IF(F155="","",ROUND(SUM(F146:F155),6))</f>
        <v>5.5597630000000002</v>
      </c>
      <c r="G156" s="146">
        <f>IF(G155="","",ROUND(SUM(G146:G155),6))</f>
        <v>4.2151589999999999</v>
      </c>
      <c r="H156" s="147"/>
      <c r="I156" s="148"/>
      <c r="J156" s="149">
        <f>IF(J155="","",SUM(J146:J155))</f>
        <v>14.077217813286881</v>
      </c>
      <c r="K156" s="149">
        <f>IF(K155="","",SUM(K146:K155))</f>
        <v>9.3943064759654238</v>
      </c>
      <c r="L156" s="95"/>
      <c r="M156" s="95"/>
      <c r="N156" s="95"/>
      <c r="O156" s="95"/>
    </row>
    <row r="157" spans="1:15" ht="15" customHeight="1">
      <c r="A157" s="95"/>
      <c r="B157" s="100" t="s">
        <v>219</v>
      </c>
      <c r="C157" s="100"/>
      <c r="D157" s="93" t="s">
        <v>162</v>
      </c>
      <c r="E157" s="93">
        <f>IF(G156="",0,10^ROUND((G156*J156-F156*K156)/((COUNT(B$146:B$155)-1)*G156-F156*F156),5))</f>
        <v>10.272827605066407</v>
      </c>
      <c r="F157" s="137" t="s">
        <v>220</v>
      </c>
      <c r="G157" s="95"/>
      <c r="H157" s="100"/>
      <c r="I157" s="95"/>
      <c r="J157" s="150">
        <f>IF(G156="",0,ROUND(((COUNT(B$146:B$155)-1)*K156-J156*F156)/((COUNT(B$146:B$155)-1)*G156-F156*F156),5))</f>
        <v>0.89427999999999996</v>
      </c>
      <c r="K157" s="151"/>
      <c r="L157" s="95"/>
      <c r="M157" s="95"/>
      <c r="N157" s="95"/>
      <c r="O157" s="95"/>
    </row>
    <row r="158" spans="1:15" ht="15" customHeight="1">
      <c r="A158" s="95"/>
      <c r="B158" s="95"/>
      <c r="C158" s="95"/>
      <c r="D158" s="137" t="s">
        <v>221</v>
      </c>
      <c r="E158" s="111"/>
      <c r="F158" s="111"/>
      <c r="G158" s="152"/>
      <c r="H158" s="93" t="s">
        <v>222</v>
      </c>
      <c r="I158" s="111" t="s">
        <v>223</v>
      </c>
      <c r="J158" s="93" t="str">
        <f>"A = 10^("&amp;RIGHT(H158,1)&amp;") "</f>
        <v xml:space="preserve">A = 10^(b) </v>
      </c>
      <c r="K158" s="95"/>
      <c r="L158" s="95"/>
      <c r="M158" s="95"/>
      <c r="N158" s="95"/>
      <c r="O158" s="95"/>
    </row>
    <row r="159" spans="1:15" ht="1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</row>
    <row r="160" spans="1:15" ht="15" customHeight="1" thickBot="1">
      <c r="A160" s="95"/>
      <c r="B160" s="95"/>
      <c r="C160" s="95"/>
      <c r="D160" s="95"/>
      <c r="E160" s="95"/>
      <c r="F160" s="100" t="s">
        <v>200</v>
      </c>
      <c r="G160" s="100"/>
      <c r="H160" s="95"/>
      <c r="I160" s="95"/>
      <c r="J160" s="95"/>
      <c r="K160" s="95"/>
      <c r="L160" s="95"/>
      <c r="M160" s="95"/>
      <c r="N160" s="95"/>
      <c r="O160" s="95"/>
    </row>
    <row r="161" spans="1:15" ht="15" customHeight="1">
      <c r="A161" s="95"/>
      <c r="B161" s="94" t="s">
        <v>155</v>
      </c>
      <c r="C161" s="94"/>
      <c r="D161" s="94" t="s">
        <v>174</v>
      </c>
      <c r="E161" s="94"/>
      <c r="F161" s="94" t="s">
        <v>157</v>
      </c>
      <c r="G161" s="94"/>
      <c r="H161" s="94" t="s">
        <v>158</v>
      </c>
      <c r="I161" s="94"/>
      <c r="J161" s="94" t="s">
        <v>53</v>
      </c>
      <c r="K161" s="94"/>
      <c r="L161" s="95"/>
      <c r="M161" s="95"/>
      <c r="N161" s="95"/>
      <c r="O161" s="95"/>
    </row>
    <row r="162" spans="1:15" ht="15" customHeight="1">
      <c r="A162" s="95"/>
      <c r="B162" s="112">
        <v>2014</v>
      </c>
      <c r="C162" s="100"/>
      <c r="D162" s="153">
        <f t="shared" ref="D162:D183" si="21">IF(J$157=0,0,ROUNDUP(D$146+E$157*(B162-B$146)^J$157,0))</f>
        <v>386</v>
      </c>
      <c r="E162" s="153"/>
      <c r="F162" s="97">
        <v>0</v>
      </c>
      <c r="G162" s="97"/>
      <c r="H162" s="97">
        <f t="shared" ref="H162:H183" si="22">ROUND(D162*(1+F162),0)</f>
        <v>386</v>
      </c>
      <c r="I162" s="97"/>
      <c r="J162" s="102">
        <v>0</v>
      </c>
      <c r="K162" s="102"/>
      <c r="L162" s="95"/>
      <c r="M162" s="95"/>
      <c r="N162" s="95"/>
      <c r="O162" s="95"/>
    </row>
    <row r="163" spans="1:15" ht="15" customHeight="1">
      <c r="A163" s="95"/>
      <c r="B163" s="115">
        <v>2015</v>
      </c>
      <c r="C163" s="116"/>
      <c r="D163" s="154">
        <f t="shared" si="21"/>
        <v>393</v>
      </c>
      <c r="E163" s="154"/>
      <c r="F163" s="155">
        <v>0</v>
      </c>
      <c r="G163" s="155"/>
      <c r="H163" s="155">
        <f t="shared" si="22"/>
        <v>393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2016</v>
      </c>
      <c r="C164" s="113"/>
      <c r="D164" s="153">
        <f t="shared" si="21"/>
        <v>400</v>
      </c>
      <c r="E164" s="153"/>
      <c r="F164" s="156">
        <v>0</v>
      </c>
      <c r="G164" s="156"/>
      <c r="H164" s="156">
        <f t="shared" si="22"/>
        <v>400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2017</v>
      </c>
      <c r="C165" s="113"/>
      <c r="D165" s="153">
        <f t="shared" si="21"/>
        <v>407</v>
      </c>
      <c r="E165" s="153"/>
      <c r="F165" s="156">
        <v>0</v>
      </c>
      <c r="G165" s="156"/>
      <c r="H165" s="156">
        <f t="shared" si="22"/>
        <v>407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2018</v>
      </c>
      <c r="C166" s="113"/>
      <c r="D166" s="153">
        <f t="shared" si="21"/>
        <v>414</v>
      </c>
      <c r="E166" s="153"/>
      <c r="F166" s="156">
        <v>0</v>
      </c>
      <c r="G166" s="156"/>
      <c r="H166" s="156">
        <f t="shared" si="22"/>
        <v>414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2019</v>
      </c>
      <c r="C167" s="113"/>
      <c r="D167" s="153">
        <f t="shared" si="21"/>
        <v>421</v>
      </c>
      <c r="E167" s="153"/>
      <c r="F167" s="156">
        <v>0</v>
      </c>
      <c r="G167" s="156"/>
      <c r="H167" s="156">
        <f t="shared" si="22"/>
        <v>421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>
      <c r="A168" s="95"/>
      <c r="B168" s="115">
        <v>2020</v>
      </c>
      <c r="C168" s="116"/>
      <c r="D168" s="154">
        <f t="shared" si="21"/>
        <v>428</v>
      </c>
      <c r="E168" s="154"/>
      <c r="F168" s="155">
        <v>0</v>
      </c>
      <c r="G168" s="155"/>
      <c r="H168" s="155">
        <f t="shared" si="22"/>
        <v>428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12">
        <v>2021</v>
      </c>
      <c r="C169" s="113"/>
      <c r="D169" s="153">
        <f t="shared" si="21"/>
        <v>435</v>
      </c>
      <c r="E169" s="153"/>
      <c r="F169" s="156">
        <v>0</v>
      </c>
      <c r="G169" s="156"/>
      <c r="H169" s="156">
        <f t="shared" si="22"/>
        <v>435</v>
      </c>
      <c r="I169" s="156"/>
      <c r="J169" s="114">
        <v>0</v>
      </c>
      <c r="K169" s="114"/>
      <c r="L169" s="95"/>
      <c r="M169" s="95"/>
      <c r="N169" s="95"/>
      <c r="O169" s="95"/>
    </row>
    <row r="170" spans="1:15" ht="15" customHeight="1">
      <c r="A170" s="95"/>
      <c r="B170" s="112">
        <v>2022</v>
      </c>
      <c r="C170" s="113"/>
      <c r="D170" s="153">
        <f t="shared" si="21"/>
        <v>442</v>
      </c>
      <c r="E170" s="153"/>
      <c r="F170" s="156">
        <v>0</v>
      </c>
      <c r="G170" s="156"/>
      <c r="H170" s="156">
        <f t="shared" si="22"/>
        <v>442</v>
      </c>
      <c r="I170" s="156"/>
      <c r="J170" s="114">
        <v>0</v>
      </c>
      <c r="K170" s="114"/>
      <c r="L170" s="95"/>
      <c r="M170" s="95"/>
      <c r="N170" s="95"/>
      <c r="O170" s="95"/>
    </row>
    <row r="171" spans="1:15" ht="15" customHeight="1">
      <c r="A171" s="95"/>
      <c r="B171" s="112">
        <v>2023</v>
      </c>
      <c r="C171" s="113"/>
      <c r="D171" s="153">
        <f t="shared" si="21"/>
        <v>449</v>
      </c>
      <c r="E171" s="153"/>
      <c r="F171" s="156">
        <v>0</v>
      </c>
      <c r="G171" s="156"/>
      <c r="H171" s="156">
        <f t="shared" si="22"/>
        <v>449</v>
      </c>
      <c r="I171" s="156"/>
      <c r="J171" s="114">
        <v>0</v>
      </c>
      <c r="K171" s="114"/>
      <c r="L171" s="95"/>
      <c r="M171" s="95"/>
      <c r="N171" s="95"/>
      <c r="O171" s="95"/>
    </row>
    <row r="172" spans="1:15" ht="15" customHeight="1">
      <c r="A172" s="95"/>
      <c r="B172" s="112">
        <v>2024</v>
      </c>
      <c r="C172" s="113"/>
      <c r="D172" s="153">
        <f t="shared" si="21"/>
        <v>455</v>
      </c>
      <c r="E172" s="153"/>
      <c r="F172" s="156">
        <v>0</v>
      </c>
      <c r="G172" s="156"/>
      <c r="H172" s="156">
        <f t="shared" si="22"/>
        <v>455</v>
      </c>
      <c r="I172" s="156"/>
      <c r="J172" s="114">
        <v>0</v>
      </c>
      <c r="K172" s="114"/>
      <c r="L172" s="95"/>
      <c r="M172" s="95"/>
      <c r="N172" s="95"/>
      <c r="O172" s="95"/>
    </row>
    <row r="173" spans="1:15" ht="15" customHeight="1">
      <c r="A173" s="95"/>
      <c r="B173" s="115">
        <v>2025</v>
      </c>
      <c r="C173" s="116"/>
      <c r="D173" s="154">
        <f t="shared" si="21"/>
        <v>462</v>
      </c>
      <c r="E173" s="154"/>
      <c r="F173" s="155">
        <v>0</v>
      </c>
      <c r="G173" s="155"/>
      <c r="H173" s="155">
        <f t="shared" si="22"/>
        <v>462</v>
      </c>
      <c r="I173" s="155"/>
      <c r="J173" s="117">
        <v>0</v>
      </c>
      <c r="K173" s="117"/>
      <c r="L173" s="95"/>
      <c r="M173" s="95"/>
      <c r="N173" s="95"/>
      <c r="O173" s="95"/>
    </row>
    <row r="174" spans="1:15" ht="15" customHeight="1">
      <c r="A174" s="95"/>
      <c r="B174" s="112">
        <v>2026</v>
      </c>
      <c r="C174" s="113"/>
      <c r="D174" s="153">
        <f t="shared" si="21"/>
        <v>469</v>
      </c>
      <c r="E174" s="153"/>
      <c r="F174" s="156">
        <v>0</v>
      </c>
      <c r="G174" s="156"/>
      <c r="H174" s="156">
        <f t="shared" si="22"/>
        <v>469</v>
      </c>
      <c r="I174" s="156"/>
      <c r="J174" s="114">
        <v>0</v>
      </c>
      <c r="K174" s="114"/>
      <c r="L174" s="95"/>
      <c r="M174" s="95"/>
      <c r="N174" s="95"/>
      <c r="O174" s="95"/>
    </row>
    <row r="175" spans="1:15" ht="15" customHeight="1">
      <c r="A175" s="95"/>
      <c r="B175" s="112">
        <v>2027</v>
      </c>
      <c r="C175" s="113"/>
      <c r="D175" s="153">
        <f t="shared" si="21"/>
        <v>476</v>
      </c>
      <c r="E175" s="153"/>
      <c r="F175" s="156">
        <v>0</v>
      </c>
      <c r="G175" s="156"/>
      <c r="H175" s="156">
        <f t="shared" si="22"/>
        <v>476</v>
      </c>
      <c r="I175" s="156"/>
      <c r="J175" s="114">
        <v>0</v>
      </c>
      <c r="K175" s="114"/>
      <c r="L175" s="95"/>
      <c r="M175" s="95"/>
      <c r="N175" s="95"/>
      <c r="O175" s="95"/>
    </row>
    <row r="176" spans="1:15" ht="15" customHeight="1">
      <c r="A176" s="95"/>
      <c r="B176" s="112">
        <v>2028</v>
      </c>
      <c r="C176" s="113"/>
      <c r="D176" s="153">
        <f t="shared" si="21"/>
        <v>482</v>
      </c>
      <c r="E176" s="153"/>
      <c r="F176" s="156">
        <v>0</v>
      </c>
      <c r="G176" s="156"/>
      <c r="H176" s="156">
        <f t="shared" si="22"/>
        <v>482</v>
      </c>
      <c r="I176" s="156"/>
      <c r="J176" s="114">
        <v>0</v>
      </c>
      <c r="K176" s="114"/>
      <c r="L176" s="95"/>
      <c r="M176" s="95"/>
      <c r="N176" s="95"/>
      <c r="O176" s="95"/>
    </row>
    <row r="177" spans="1:15" ht="15" customHeight="1">
      <c r="A177" s="95"/>
      <c r="B177" s="112">
        <v>2029</v>
      </c>
      <c r="C177" s="113"/>
      <c r="D177" s="153">
        <f t="shared" si="21"/>
        <v>489</v>
      </c>
      <c r="E177" s="153"/>
      <c r="F177" s="156">
        <v>0</v>
      </c>
      <c r="G177" s="156"/>
      <c r="H177" s="156">
        <f t="shared" si="22"/>
        <v>489</v>
      </c>
      <c r="I177" s="156"/>
      <c r="J177" s="114">
        <v>0</v>
      </c>
      <c r="K177" s="114"/>
      <c r="L177" s="95"/>
      <c r="M177" s="95"/>
      <c r="N177" s="95"/>
      <c r="O177" s="95"/>
    </row>
    <row r="178" spans="1:15" ht="15" customHeight="1">
      <c r="A178" s="95"/>
      <c r="B178" s="115">
        <v>2030</v>
      </c>
      <c r="C178" s="116"/>
      <c r="D178" s="154">
        <f t="shared" si="21"/>
        <v>495</v>
      </c>
      <c r="E178" s="154"/>
      <c r="F178" s="155">
        <v>0</v>
      </c>
      <c r="G178" s="155"/>
      <c r="H178" s="155">
        <f t="shared" si="22"/>
        <v>495</v>
      </c>
      <c r="I178" s="155"/>
      <c r="J178" s="117">
        <v>0</v>
      </c>
      <c r="K178" s="117"/>
      <c r="L178" s="95"/>
      <c r="M178" s="95"/>
      <c r="N178" s="95"/>
      <c r="O178" s="95"/>
    </row>
    <row r="179" spans="1:15" ht="15" customHeight="1">
      <c r="A179" s="95"/>
      <c r="B179" s="112">
        <v>2031</v>
      </c>
      <c r="C179" s="113"/>
      <c r="D179" s="153">
        <f t="shared" si="21"/>
        <v>502</v>
      </c>
      <c r="E179" s="153"/>
      <c r="F179" s="156">
        <v>0</v>
      </c>
      <c r="G179" s="156"/>
      <c r="H179" s="156">
        <f t="shared" si="22"/>
        <v>502</v>
      </c>
      <c r="I179" s="156"/>
      <c r="J179" s="114">
        <v>0</v>
      </c>
      <c r="K179" s="114"/>
      <c r="L179" s="95"/>
      <c r="M179" s="95"/>
      <c r="N179" s="95"/>
      <c r="O179" s="95"/>
    </row>
    <row r="180" spans="1:15" ht="15" customHeight="1">
      <c r="A180" s="95"/>
      <c r="B180" s="112">
        <v>2032</v>
      </c>
      <c r="C180" s="113"/>
      <c r="D180" s="153">
        <f t="shared" si="21"/>
        <v>508</v>
      </c>
      <c r="E180" s="153"/>
      <c r="F180" s="156">
        <v>0</v>
      </c>
      <c r="G180" s="156"/>
      <c r="H180" s="156">
        <f t="shared" si="22"/>
        <v>508</v>
      </c>
      <c r="I180" s="156"/>
      <c r="J180" s="114">
        <v>0</v>
      </c>
      <c r="K180" s="114"/>
      <c r="L180" s="95"/>
      <c r="M180" s="95"/>
      <c r="N180" s="95"/>
      <c r="O180" s="95"/>
    </row>
    <row r="181" spans="1:15" ht="15" customHeight="1">
      <c r="A181" s="95"/>
      <c r="B181" s="112">
        <v>2033</v>
      </c>
      <c r="C181" s="113"/>
      <c r="D181" s="153">
        <f t="shared" si="21"/>
        <v>515</v>
      </c>
      <c r="E181" s="153"/>
      <c r="F181" s="156">
        <v>0</v>
      </c>
      <c r="G181" s="156"/>
      <c r="H181" s="156">
        <f t="shared" si="22"/>
        <v>515</v>
      </c>
      <c r="I181" s="156"/>
      <c r="J181" s="114">
        <v>0</v>
      </c>
      <c r="K181" s="114"/>
      <c r="L181" s="95"/>
      <c r="M181" s="95"/>
      <c r="N181" s="95"/>
      <c r="O181" s="95"/>
    </row>
    <row r="182" spans="1:15" ht="15" customHeight="1">
      <c r="A182" s="95"/>
      <c r="B182" s="112">
        <v>2034</v>
      </c>
      <c r="C182" s="113"/>
      <c r="D182" s="153">
        <f t="shared" si="21"/>
        <v>521</v>
      </c>
      <c r="E182" s="153"/>
      <c r="F182" s="156">
        <v>0</v>
      </c>
      <c r="G182" s="156"/>
      <c r="H182" s="156">
        <f t="shared" si="22"/>
        <v>521</v>
      </c>
      <c r="I182" s="156"/>
      <c r="J182" s="114">
        <v>0</v>
      </c>
      <c r="K182" s="114"/>
      <c r="L182" s="95"/>
      <c r="M182" s="95"/>
      <c r="N182" s="95"/>
      <c r="O182" s="95"/>
    </row>
    <row r="183" spans="1:15" ht="15" customHeight="1" thickBot="1">
      <c r="A183" s="95"/>
      <c r="B183" s="115">
        <v>2035</v>
      </c>
      <c r="C183" s="116"/>
      <c r="D183" s="154">
        <f t="shared" si="21"/>
        <v>528</v>
      </c>
      <c r="E183" s="154"/>
      <c r="F183" s="155">
        <v>0</v>
      </c>
      <c r="G183" s="155"/>
      <c r="H183" s="155">
        <f t="shared" si="22"/>
        <v>528</v>
      </c>
      <c r="I183" s="155"/>
      <c r="J183" s="117">
        <v>0</v>
      </c>
      <c r="K183" s="117"/>
      <c r="L183" s="95"/>
      <c r="M183" s="95"/>
      <c r="N183" s="95"/>
      <c r="O183" s="95"/>
    </row>
    <row r="184" spans="1:15" ht="15" customHeight="1">
      <c r="A184" s="95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95"/>
      <c r="M184" s="95"/>
      <c r="N184" s="95"/>
      <c r="O184" s="95"/>
    </row>
    <row r="185" spans="1:15" ht="15" customHeight="1">
      <c r="A185" s="95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95"/>
      <c r="M185" s="95"/>
      <c r="N185" s="95"/>
      <c r="O185" s="95"/>
    </row>
    <row r="186" spans="1:15" ht="15" customHeight="1">
      <c r="A186" s="95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95"/>
      <c r="M186" s="95"/>
      <c r="N186" s="95"/>
      <c r="O186" s="95"/>
    </row>
    <row r="187" spans="1:15" ht="15" customHeight="1">
      <c r="A187" s="95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95"/>
      <c r="M187" s="95"/>
      <c r="N187" s="95"/>
      <c r="O187" s="95"/>
    </row>
    <row r="188" spans="1:15" ht="15" customHeight="1">
      <c r="A188" s="95"/>
      <c r="B188" s="126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</row>
    <row r="189" spans="1:15" ht="15" customHeight="1">
      <c r="A189" s="95"/>
      <c r="B189" s="110" t="s">
        <v>229</v>
      </c>
      <c r="C189" s="111"/>
      <c r="D189" s="111"/>
      <c r="E189" s="111"/>
      <c r="F189" s="111"/>
      <c r="G189" s="111"/>
      <c r="H189" s="95"/>
      <c r="I189" s="95"/>
      <c r="J189" s="95"/>
      <c r="K189" s="95"/>
      <c r="L189" s="95"/>
      <c r="M189" s="95"/>
      <c r="N189" s="95"/>
      <c r="O189" s="95"/>
    </row>
    <row r="190" spans="1:15" ht="15" customHeight="1">
      <c r="A190" s="95"/>
      <c r="B190" s="95"/>
      <c r="C190" s="111" t="s">
        <v>166</v>
      </c>
      <c r="D190" s="111" t="s">
        <v>231</v>
      </c>
      <c r="E190" s="111"/>
      <c r="F190" s="111"/>
      <c r="G190" s="111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3"/>
      <c r="C191" s="128" t="s">
        <v>185</v>
      </c>
      <c r="D191" s="111" t="s">
        <v>207</v>
      </c>
      <c r="E191" s="111"/>
      <c r="F191" s="93"/>
      <c r="G191" s="95"/>
      <c r="H191" s="95"/>
      <c r="I191" s="95"/>
      <c r="J191" s="95"/>
      <c r="K191" s="95"/>
      <c r="L191" s="95"/>
      <c r="M191" s="95"/>
      <c r="N191" s="95"/>
      <c r="O191" s="95"/>
    </row>
    <row r="192" spans="1:15" ht="15" customHeight="1">
      <c r="A192" s="95"/>
      <c r="B192" s="93"/>
      <c r="C192" s="128"/>
      <c r="D192" s="111" t="s">
        <v>234</v>
      </c>
      <c r="E192" s="2250">
        <f>K7</f>
        <v>1000</v>
      </c>
      <c r="F192" s="2250"/>
      <c r="G192" s="111" t="s">
        <v>235</v>
      </c>
      <c r="H192" s="111"/>
      <c r="I192" s="95"/>
      <c r="J192" s="95"/>
      <c r="K192" s="95"/>
      <c r="L192" s="95"/>
      <c r="M192" s="95"/>
      <c r="N192" s="95"/>
      <c r="O192" s="95"/>
    </row>
    <row r="193" spans="1:15" ht="15" customHeight="1" thickBot="1">
      <c r="A193" s="95"/>
      <c r="B193" s="95"/>
      <c r="C193" s="95"/>
      <c r="D193" s="95"/>
      <c r="E193" s="95"/>
      <c r="F193" s="100" t="s">
        <v>236</v>
      </c>
      <c r="G193" s="100"/>
      <c r="H193" s="95"/>
      <c r="I193" s="95"/>
      <c r="J193" s="95"/>
      <c r="K193" s="95"/>
      <c r="L193" s="95"/>
      <c r="M193" s="95"/>
      <c r="N193" s="95"/>
      <c r="O193" s="95"/>
    </row>
    <row r="194" spans="1:15" ht="15" customHeight="1">
      <c r="A194" s="95"/>
      <c r="B194" s="94" t="s">
        <v>141</v>
      </c>
      <c r="C194" s="94"/>
      <c r="D194" s="94" t="s">
        <v>191</v>
      </c>
      <c r="E194" s="94" t="s">
        <v>192</v>
      </c>
      <c r="F194" s="94" t="s">
        <v>193</v>
      </c>
      <c r="G194" s="94" t="s">
        <v>241</v>
      </c>
      <c r="H194" s="94" t="s">
        <v>242</v>
      </c>
      <c r="I194" s="94" t="s">
        <v>243</v>
      </c>
      <c r="J194" s="94" t="s">
        <v>216</v>
      </c>
      <c r="K194" s="94" t="s">
        <v>245</v>
      </c>
      <c r="L194" s="95"/>
      <c r="M194" s="95"/>
      <c r="N194" s="95"/>
      <c r="O194" s="95"/>
    </row>
    <row r="195" spans="1:15" ht="15" customHeight="1">
      <c r="A195" s="95"/>
      <c r="B195" s="96">
        <f t="shared" ref="B195:B204" si="23">B146</f>
        <v>2005</v>
      </c>
      <c r="C195" s="96"/>
      <c r="D195" s="100">
        <f t="shared" ref="D195:D204" si="24">VLOOKUP(B195,B$7:E$16,3,FALSE)</f>
        <v>312</v>
      </c>
      <c r="E195" s="140">
        <f t="shared" ref="E195:E204" si="25">((COUNT(B$195:B$204)-1)/2)+(B195-$C$4)</f>
        <v>-4.5</v>
      </c>
      <c r="F195" s="98">
        <f t="shared" ref="F195:F204" si="26">E195^2</f>
        <v>20.25</v>
      </c>
      <c r="G195" s="97">
        <f t="shared" ref="G195:G204" si="27">E$192-D195</f>
        <v>688</v>
      </c>
      <c r="H195" s="157">
        <f t="shared" ref="H195:H204" si="28">LOG(D195)</f>
        <v>2.4941545940184429</v>
      </c>
      <c r="I195" s="141">
        <f t="shared" ref="I195:I204" si="29">LOG(G195)</f>
        <v>2.8375884382355112</v>
      </c>
      <c r="J195" s="142">
        <f>ROUND(H195-I195,6)</f>
        <v>-0.34343400000000002</v>
      </c>
      <c r="K195" s="142">
        <f t="shared" ref="K195:K204" si="30">E195*J195</f>
        <v>1.5454530000000002</v>
      </c>
      <c r="L195" s="95"/>
      <c r="M195" s="95"/>
      <c r="N195" s="95"/>
      <c r="O195" s="95"/>
    </row>
    <row r="196" spans="1:15" ht="15" customHeight="1">
      <c r="A196" s="95"/>
      <c r="B196" s="96">
        <f t="shared" si="23"/>
        <v>2006</v>
      </c>
      <c r="C196" s="96"/>
      <c r="D196" s="100">
        <f t="shared" si="24"/>
        <v>317</v>
      </c>
      <c r="E196" s="140">
        <f t="shared" si="25"/>
        <v>-3.5</v>
      </c>
      <c r="F196" s="98">
        <f t="shared" si="26"/>
        <v>12.25</v>
      </c>
      <c r="G196" s="97">
        <f t="shared" si="27"/>
        <v>683</v>
      </c>
      <c r="H196" s="157">
        <f t="shared" si="28"/>
        <v>2.5010592622177517</v>
      </c>
      <c r="I196" s="141">
        <f t="shared" si="29"/>
        <v>2.8344207036815328</v>
      </c>
      <c r="J196" s="142">
        <f t="shared" ref="J196:J204" si="31">H196-I196</f>
        <v>-0.33336144146378111</v>
      </c>
      <c r="K196" s="142">
        <f t="shared" si="30"/>
        <v>1.1667650451232339</v>
      </c>
      <c r="L196" s="95"/>
      <c r="M196" s="95"/>
      <c r="N196" s="95"/>
      <c r="O196" s="95"/>
    </row>
    <row r="197" spans="1:15" ht="15" customHeight="1">
      <c r="A197" s="95"/>
      <c r="B197" s="96">
        <f t="shared" si="23"/>
        <v>2007</v>
      </c>
      <c r="C197" s="96"/>
      <c r="D197" s="100">
        <f t="shared" si="24"/>
        <v>378</v>
      </c>
      <c r="E197" s="140">
        <f t="shared" si="25"/>
        <v>-2.5</v>
      </c>
      <c r="F197" s="98">
        <f t="shared" si="26"/>
        <v>6.25</v>
      </c>
      <c r="G197" s="97">
        <f t="shared" si="27"/>
        <v>622</v>
      </c>
      <c r="H197" s="157">
        <f t="shared" si="28"/>
        <v>2.5774917998372255</v>
      </c>
      <c r="I197" s="141">
        <f t="shared" si="29"/>
        <v>2.7937903846908188</v>
      </c>
      <c r="J197" s="142">
        <f t="shared" si="31"/>
        <v>-0.21629858485359321</v>
      </c>
      <c r="K197" s="142">
        <f t="shared" si="30"/>
        <v>0.54074646213398303</v>
      </c>
      <c r="L197" s="95"/>
      <c r="M197" s="95"/>
      <c r="N197" s="95"/>
      <c r="O197" s="95"/>
    </row>
    <row r="198" spans="1:15" ht="15" customHeight="1">
      <c r="A198" s="95"/>
      <c r="B198" s="96">
        <f t="shared" si="23"/>
        <v>2008</v>
      </c>
      <c r="C198" s="96"/>
      <c r="D198" s="100">
        <f t="shared" si="24"/>
        <v>336</v>
      </c>
      <c r="E198" s="140">
        <f t="shared" si="25"/>
        <v>-1.5</v>
      </c>
      <c r="F198" s="98">
        <f t="shared" si="26"/>
        <v>2.25</v>
      </c>
      <c r="G198" s="97">
        <f t="shared" si="27"/>
        <v>664</v>
      </c>
      <c r="H198" s="157">
        <f t="shared" si="28"/>
        <v>2.5263392773898441</v>
      </c>
      <c r="I198" s="141">
        <f t="shared" si="29"/>
        <v>2.8221680793680175</v>
      </c>
      <c r="J198" s="142">
        <f t="shared" si="31"/>
        <v>-0.29582880197817341</v>
      </c>
      <c r="K198" s="142">
        <f t="shared" si="30"/>
        <v>0.44374320296726011</v>
      </c>
      <c r="L198" s="95"/>
      <c r="M198" s="95"/>
      <c r="N198" s="95"/>
      <c r="O198" s="95"/>
    </row>
    <row r="199" spans="1:15" ht="15" customHeight="1">
      <c r="A199" s="95"/>
      <c r="B199" s="96">
        <f t="shared" si="23"/>
        <v>2009</v>
      </c>
      <c r="C199" s="96"/>
      <c r="D199" s="100">
        <f t="shared" si="24"/>
        <v>354</v>
      </c>
      <c r="E199" s="140">
        <f t="shared" si="25"/>
        <v>-0.5</v>
      </c>
      <c r="F199" s="98">
        <f t="shared" si="26"/>
        <v>0.25</v>
      </c>
      <c r="G199" s="97">
        <f t="shared" si="27"/>
        <v>646</v>
      </c>
      <c r="H199" s="157">
        <f t="shared" si="28"/>
        <v>2.5490032620257876</v>
      </c>
      <c r="I199" s="141">
        <f t="shared" si="29"/>
        <v>2.8102325179950842</v>
      </c>
      <c r="J199" s="142">
        <f t="shared" si="31"/>
        <v>-0.26122925596929658</v>
      </c>
      <c r="K199" s="142">
        <f t="shared" si="30"/>
        <v>0.13061462798464829</v>
      </c>
      <c r="L199" s="95"/>
      <c r="M199" s="95"/>
      <c r="N199" s="95"/>
      <c r="O199" s="95"/>
    </row>
    <row r="200" spans="1:15" ht="15" customHeight="1">
      <c r="A200" s="95"/>
      <c r="B200" s="96">
        <f t="shared" si="23"/>
        <v>2010</v>
      </c>
      <c r="C200" s="96"/>
      <c r="D200" s="100">
        <f t="shared" si="24"/>
        <v>327</v>
      </c>
      <c r="E200" s="140">
        <f t="shared" si="25"/>
        <v>0.5</v>
      </c>
      <c r="F200" s="98">
        <f t="shared" si="26"/>
        <v>0.25</v>
      </c>
      <c r="G200" s="97">
        <f t="shared" si="27"/>
        <v>673</v>
      </c>
      <c r="H200" s="157">
        <f t="shared" si="28"/>
        <v>2.514547752660286</v>
      </c>
      <c r="I200" s="141">
        <f t="shared" si="29"/>
        <v>2.828015064223977</v>
      </c>
      <c r="J200" s="142">
        <f t="shared" si="31"/>
        <v>-0.31346731156369101</v>
      </c>
      <c r="K200" s="142">
        <f t="shared" si="30"/>
        <v>-0.1567336557818455</v>
      </c>
      <c r="L200" s="95"/>
      <c r="M200" s="95"/>
      <c r="N200" s="95"/>
      <c r="O200" s="95"/>
    </row>
    <row r="201" spans="1:15" ht="15" customHeight="1">
      <c r="A201" s="95"/>
      <c r="B201" s="96">
        <f t="shared" si="23"/>
        <v>2011</v>
      </c>
      <c r="C201" s="96"/>
      <c r="D201" s="100">
        <f t="shared" si="24"/>
        <v>230</v>
      </c>
      <c r="E201" s="140">
        <f t="shared" si="25"/>
        <v>1.5</v>
      </c>
      <c r="F201" s="98">
        <f t="shared" si="26"/>
        <v>2.25</v>
      </c>
      <c r="G201" s="97">
        <f t="shared" si="27"/>
        <v>770</v>
      </c>
      <c r="H201" s="157">
        <f t="shared" si="28"/>
        <v>2.3617278360175931</v>
      </c>
      <c r="I201" s="141">
        <f t="shared" si="29"/>
        <v>2.8864907251724818</v>
      </c>
      <c r="J201" s="142">
        <f t="shared" si="31"/>
        <v>-0.52476288915488878</v>
      </c>
      <c r="K201" s="142">
        <f t="shared" si="30"/>
        <v>-0.78714433373233317</v>
      </c>
      <c r="L201" s="95"/>
      <c r="M201" s="95"/>
      <c r="N201" s="95"/>
      <c r="O201" s="95"/>
    </row>
    <row r="202" spans="1:15" ht="15" customHeight="1">
      <c r="A202" s="95"/>
      <c r="B202" s="96">
        <f t="shared" si="23"/>
        <v>2012</v>
      </c>
      <c r="C202" s="96"/>
      <c r="D202" s="100">
        <f t="shared" si="24"/>
        <v>215</v>
      </c>
      <c r="E202" s="140">
        <f t="shared" si="25"/>
        <v>2.5</v>
      </c>
      <c r="F202" s="98">
        <f t="shared" si="26"/>
        <v>6.25</v>
      </c>
      <c r="G202" s="97">
        <f t="shared" si="27"/>
        <v>785</v>
      </c>
      <c r="H202" s="157">
        <f t="shared" si="28"/>
        <v>2.3324384599156054</v>
      </c>
      <c r="I202" s="141">
        <f t="shared" si="29"/>
        <v>2.8948696567452528</v>
      </c>
      <c r="J202" s="142">
        <f t="shared" si="31"/>
        <v>-0.56243119682964737</v>
      </c>
      <c r="K202" s="142">
        <f t="shared" si="30"/>
        <v>-1.4060779920741184</v>
      </c>
      <c r="L202" s="95"/>
      <c r="M202" s="95"/>
      <c r="N202" s="95"/>
      <c r="O202" s="95"/>
    </row>
    <row r="203" spans="1:15" ht="15" customHeight="1">
      <c r="A203" s="95"/>
      <c r="B203" s="96">
        <f t="shared" si="23"/>
        <v>2013</v>
      </c>
      <c r="C203" s="96"/>
      <c r="D203" s="100">
        <f t="shared" si="24"/>
        <v>226</v>
      </c>
      <c r="E203" s="140">
        <f t="shared" si="25"/>
        <v>3.5</v>
      </c>
      <c r="F203" s="98">
        <f t="shared" si="26"/>
        <v>12.25</v>
      </c>
      <c r="G203" s="97">
        <f t="shared" si="27"/>
        <v>774</v>
      </c>
      <c r="H203" s="157">
        <f t="shared" si="28"/>
        <v>2.3541084391474008</v>
      </c>
      <c r="I203" s="141">
        <f t="shared" si="29"/>
        <v>2.8887409606828927</v>
      </c>
      <c r="J203" s="142">
        <f t="shared" si="31"/>
        <v>-0.5346325215354919</v>
      </c>
      <c r="K203" s="142">
        <f t="shared" si="30"/>
        <v>-1.8712138253742217</v>
      </c>
      <c r="L203" s="95"/>
      <c r="M203" s="95"/>
      <c r="N203" s="95"/>
      <c r="O203" s="95"/>
    </row>
    <row r="204" spans="1:15" ht="15" customHeight="1">
      <c r="A204" s="95"/>
      <c r="B204" s="96">
        <f t="shared" si="23"/>
        <v>2014</v>
      </c>
      <c r="C204" s="96"/>
      <c r="D204" s="100">
        <f t="shared" si="24"/>
        <v>277</v>
      </c>
      <c r="E204" s="140">
        <f t="shared" si="25"/>
        <v>4.5</v>
      </c>
      <c r="F204" s="98">
        <f t="shared" si="26"/>
        <v>20.25</v>
      </c>
      <c r="G204" s="97">
        <f t="shared" si="27"/>
        <v>723</v>
      </c>
      <c r="H204" s="157">
        <f t="shared" si="28"/>
        <v>2.4424797690644486</v>
      </c>
      <c r="I204" s="141">
        <f t="shared" si="29"/>
        <v>2.859138297294531</v>
      </c>
      <c r="J204" s="142">
        <f t="shared" si="31"/>
        <v>-0.41665852823008231</v>
      </c>
      <c r="K204" s="142">
        <f t="shared" si="30"/>
        <v>-1.8749633770353704</v>
      </c>
      <c r="L204" s="95"/>
      <c r="M204" s="95"/>
      <c r="N204" s="95"/>
      <c r="O204" s="95"/>
    </row>
    <row r="205" spans="1:15" ht="15" customHeight="1" thickBot="1">
      <c r="A205" s="95"/>
      <c r="B205" s="103" t="s">
        <v>146</v>
      </c>
      <c r="C205" s="104"/>
      <c r="D205" s="158">
        <f>SUM(D195:D204)</f>
        <v>2972</v>
      </c>
      <c r="E205" s="159">
        <f>SUM(E195:E204)</f>
        <v>0</v>
      </c>
      <c r="F205" s="160">
        <f>ROUND(SUM(F195:F204),0)</f>
        <v>83</v>
      </c>
      <c r="G205" s="145"/>
      <c r="H205" s="147"/>
      <c r="I205" s="148"/>
      <c r="J205" s="161">
        <f>SUM(J195:J204)</f>
        <v>-3.8021045315786455</v>
      </c>
      <c r="K205" s="161">
        <f>SUM(K195:K204)</f>
        <v>-2.2688108457887628</v>
      </c>
      <c r="L205" s="95"/>
      <c r="M205" s="95"/>
      <c r="N205" s="95"/>
      <c r="O205" s="95"/>
    </row>
    <row r="206" spans="1:15" ht="15" customHeight="1">
      <c r="A206" s="95"/>
      <c r="B206" s="100" t="s">
        <v>246</v>
      </c>
      <c r="C206" s="100"/>
      <c r="D206" s="93" t="s">
        <v>247</v>
      </c>
      <c r="E206" s="136" t="s">
        <v>248</v>
      </c>
      <c r="F206" s="95"/>
      <c r="G206" s="111" t="str">
        <f>"X = x × LOG e = "&amp;E205&amp;" 이고,"</f>
        <v>X = x × LOG e = 0 이고,</v>
      </c>
      <c r="H206" s="111"/>
      <c r="I206" s="111" t="s">
        <v>249</v>
      </c>
      <c r="J206" s="111"/>
      <c r="K206" s="93"/>
      <c r="L206" s="95"/>
      <c r="M206" s="95"/>
      <c r="N206" s="95"/>
      <c r="O206" s="95"/>
    </row>
    <row r="207" spans="1:15" ht="15" customHeight="1">
      <c r="A207" s="95"/>
      <c r="B207" s="95"/>
      <c r="C207" s="95"/>
      <c r="D207" s="111" t="s">
        <v>250</v>
      </c>
      <c r="E207" s="111"/>
      <c r="F207" s="111"/>
      <c r="G207" s="111"/>
      <c r="H207" s="150">
        <f>ROUND(((E$205*K$205-F$205*J$205)/(COUNT(B$195:B$204)*F$205-E$205*E$205))/LOG(EXP(1)),5)</f>
        <v>0.87546999999999997</v>
      </c>
      <c r="I207" s="111"/>
      <c r="J207" s="111"/>
      <c r="K207" s="95"/>
      <c r="L207" s="95"/>
      <c r="M207" s="95"/>
      <c r="N207" s="95"/>
      <c r="O207" s="95"/>
    </row>
    <row r="208" spans="1:15" ht="15" customHeight="1">
      <c r="A208" s="95"/>
      <c r="B208" s="95"/>
      <c r="C208" s="95"/>
      <c r="D208" s="111" t="s">
        <v>251</v>
      </c>
      <c r="E208" s="111"/>
      <c r="F208" s="111"/>
      <c r="G208" s="162" t="s">
        <v>252</v>
      </c>
      <c r="H208" s="111"/>
      <c r="I208" s="111"/>
      <c r="J208" s="111"/>
      <c r="K208" s="163">
        <f>ROUND((COUNT(B$195:B$204)*K205-E205*J205)/(LOG(EXP(1))*(COUNT(B$195:B$204)*F205-E205*E205)),6)</f>
        <v>-6.2940999999999997E-2</v>
      </c>
      <c r="L208" s="95"/>
      <c r="M208" s="95"/>
      <c r="N208" s="95"/>
      <c r="O208" s="95"/>
    </row>
    <row r="209" spans="1:15" ht="15" customHeight="1">
      <c r="A209" s="95"/>
      <c r="B209" s="95"/>
      <c r="C209" s="95"/>
      <c r="D209" s="111"/>
      <c r="E209" s="95"/>
      <c r="F209" s="93"/>
      <c r="G209" s="93"/>
      <c r="H209" s="111"/>
      <c r="I209" s="111"/>
      <c r="J209" s="152"/>
      <c r="K209" s="95"/>
      <c r="L209" s="95"/>
      <c r="M209" s="95"/>
      <c r="N209" s="95"/>
      <c r="O209" s="95"/>
    </row>
    <row r="210" spans="1:15" ht="15" customHeight="1" thickBot="1">
      <c r="A210" s="95"/>
      <c r="B210" s="95"/>
      <c r="C210" s="95"/>
      <c r="D210" s="95"/>
      <c r="E210" s="95"/>
      <c r="F210" s="100" t="s">
        <v>200</v>
      </c>
      <c r="G210" s="100"/>
      <c r="H210" s="95"/>
      <c r="I210" s="95"/>
      <c r="J210" s="95"/>
      <c r="K210" s="95"/>
      <c r="L210" s="95"/>
      <c r="M210" s="95"/>
      <c r="N210" s="95"/>
      <c r="O210" s="95"/>
    </row>
    <row r="211" spans="1:15" ht="15" customHeight="1">
      <c r="A211" s="95"/>
      <c r="B211" s="94" t="s">
        <v>141</v>
      </c>
      <c r="C211" s="94"/>
      <c r="D211" s="94" t="s">
        <v>174</v>
      </c>
      <c r="E211" s="94"/>
      <c r="F211" s="94" t="s">
        <v>256</v>
      </c>
      <c r="G211" s="94"/>
      <c r="H211" s="94" t="s">
        <v>257</v>
      </c>
      <c r="I211" s="94"/>
      <c r="J211" s="94" t="s">
        <v>53</v>
      </c>
      <c r="K211" s="94"/>
      <c r="L211" s="95"/>
      <c r="M211" s="95"/>
      <c r="N211" s="95"/>
      <c r="O211" s="95"/>
    </row>
    <row r="212" spans="1:15" ht="15" customHeight="1">
      <c r="A212" s="95"/>
      <c r="B212" s="112">
        <v>2014</v>
      </c>
      <c r="C212" s="100"/>
      <c r="D212" s="100">
        <f t="shared" ref="D212:D233" si="32">ROUNDUP(E$192/(1+EXP(1)^(H$207-K$208*(B212-B$200+0.5))),0)</f>
        <v>239</v>
      </c>
      <c r="E212" s="100"/>
      <c r="F212" s="100">
        <v>0</v>
      </c>
      <c r="G212" s="100"/>
      <c r="H212" s="100">
        <f t="shared" ref="H212:H233" si="33">ROUND(D212*(1+F212),0)</f>
        <v>239</v>
      </c>
      <c r="I212" s="100"/>
      <c r="J212" s="102">
        <v>0</v>
      </c>
      <c r="K212" s="102"/>
      <c r="L212" s="95"/>
      <c r="M212" s="95"/>
      <c r="N212" s="95"/>
      <c r="O212" s="95"/>
    </row>
    <row r="213" spans="1:15" ht="15" customHeight="1">
      <c r="A213" s="95"/>
      <c r="B213" s="115">
        <v>2015</v>
      </c>
      <c r="C213" s="116"/>
      <c r="D213" s="116">
        <f t="shared" si="32"/>
        <v>228</v>
      </c>
      <c r="E213" s="116"/>
      <c r="F213" s="116">
        <v>0</v>
      </c>
      <c r="G213" s="116"/>
      <c r="H213" s="116">
        <f t="shared" si="33"/>
        <v>228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12">
        <v>2016</v>
      </c>
      <c r="C214" s="113"/>
      <c r="D214" s="113">
        <f t="shared" si="32"/>
        <v>217</v>
      </c>
      <c r="E214" s="113"/>
      <c r="F214" s="113">
        <v>0</v>
      </c>
      <c r="G214" s="113"/>
      <c r="H214" s="113">
        <f t="shared" si="33"/>
        <v>217</v>
      </c>
      <c r="I214" s="113"/>
      <c r="J214" s="114">
        <v>0</v>
      </c>
      <c r="K214" s="114"/>
      <c r="L214" s="95"/>
      <c r="M214" s="95"/>
      <c r="N214" s="95"/>
      <c r="O214" s="95"/>
    </row>
    <row r="215" spans="1:15" ht="15" customHeight="1">
      <c r="A215" s="95"/>
      <c r="B215" s="112">
        <v>2017</v>
      </c>
      <c r="C215" s="113"/>
      <c r="D215" s="113">
        <f t="shared" si="32"/>
        <v>207</v>
      </c>
      <c r="E215" s="113"/>
      <c r="F215" s="113">
        <v>0</v>
      </c>
      <c r="G215" s="113"/>
      <c r="H215" s="113">
        <f t="shared" si="33"/>
        <v>207</v>
      </c>
      <c r="I215" s="113"/>
      <c r="J215" s="114">
        <v>0</v>
      </c>
      <c r="K215" s="114"/>
      <c r="L215" s="95"/>
      <c r="M215" s="95"/>
      <c r="N215" s="95"/>
      <c r="O215" s="95"/>
    </row>
    <row r="216" spans="1:15" ht="15" customHeight="1">
      <c r="A216" s="95"/>
      <c r="B216" s="112">
        <v>2018</v>
      </c>
      <c r="C216" s="113"/>
      <c r="D216" s="113">
        <f t="shared" si="32"/>
        <v>197</v>
      </c>
      <c r="E216" s="113"/>
      <c r="F216" s="113">
        <v>0</v>
      </c>
      <c r="G216" s="113"/>
      <c r="H216" s="113">
        <f t="shared" si="33"/>
        <v>197</v>
      </c>
      <c r="I216" s="113"/>
      <c r="J216" s="114">
        <v>0</v>
      </c>
      <c r="K216" s="114"/>
      <c r="L216" s="95"/>
      <c r="M216" s="95"/>
      <c r="N216" s="95"/>
      <c r="O216" s="95"/>
    </row>
    <row r="217" spans="1:15" ht="15" customHeight="1">
      <c r="A217" s="95"/>
      <c r="B217" s="112">
        <v>2019</v>
      </c>
      <c r="C217" s="113"/>
      <c r="D217" s="113">
        <f t="shared" si="32"/>
        <v>187</v>
      </c>
      <c r="E217" s="113"/>
      <c r="F217" s="113">
        <v>0</v>
      </c>
      <c r="G217" s="113"/>
      <c r="H217" s="113">
        <f t="shared" si="33"/>
        <v>187</v>
      </c>
      <c r="I217" s="113"/>
      <c r="J217" s="114">
        <v>0</v>
      </c>
      <c r="K217" s="114"/>
      <c r="L217" s="95"/>
      <c r="M217" s="95"/>
      <c r="N217" s="95"/>
      <c r="O217" s="95"/>
    </row>
    <row r="218" spans="1:15" ht="15" customHeight="1">
      <c r="A218" s="95"/>
      <c r="B218" s="115">
        <v>2020</v>
      </c>
      <c r="C218" s="116"/>
      <c r="D218" s="116">
        <f t="shared" si="32"/>
        <v>178</v>
      </c>
      <c r="E218" s="116"/>
      <c r="F218" s="116">
        <v>0</v>
      </c>
      <c r="G218" s="116"/>
      <c r="H218" s="116">
        <f t="shared" si="33"/>
        <v>178</v>
      </c>
      <c r="I218" s="116"/>
      <c r="J218" s="117">
        <v>0</v>
      </c>
      <c r="K218" s="117"/>
      <c r="L218" s="95"/>
      <c r="M218" s="95"/>
      <c r="N218" s="95"/>
      <c r="O218" s="95"/>
    </row>
    <row r="219" spans="1:15" ht="15" customHeight="1">
      <c r="A219" s="95"/>
      <c r="B219" s="112">
        <v>2021</v>
      </c>
      <c r="C219" s="113"/>
      <c r="D219" s="113">
        <f t="shared" si="32"/>
        <v>169</v>
      </c>
      <c r="E219" s="113"/>
      <c r="F219" s="113">
        <v>0</v>
      </c>
      <c r="G219" s="113"/>
      <c r="H219" s="113">
        <f t="shared" si="33"/>
        <v>169</v>
      </c>
      <c r="I219" s="113"/>
      <c r="J219" s="114">
        <v>0</v>
      </c>
      <c r="K219" s="114"/>
      <c r="L219" s="95"/>
      <c r="M219" s="95"/>
      <c r="N219" s="95"/>
      <c r="O219" s="95"/>
    </row>
    <row r="220" spans="1:15" ht="15" customHeight="1">
      <c r="A220" s="95"/>
      <c r="B220" s="112">
        <v>2022</v>
      </c>
      <c r="C220" s="113"/>
      <c r="D220" s="113">
        <f t="shared" si="32"/>
        <v>160</v>
      </c>
      <c r="E220" s="113"/>
      <c r="F220" s="113">
        <v>0</v>
      </c>
      <c r="G220" s="113"/>
      <c r="H220" s="113">
        <f t="shared" si="33"/>
        <v>160</v>
      </c>
      <c r="I220" s="113"/>
      <c r="J220" s="114">
        <v>0</v>
      </c>
      <c r="K220" s="114"/>
      <c r="L220" s="95"/>
      <c r="M220" s="95"/>
      <c r="N220" s="95"/>
      <c r="O220" s="95"/>
    </row>
    <row r="221" spans="1:15" ht="15" customHeight="1">
      <c r="A221" s="95"/>
      <c r="B221" s="112">
        <v>2023</v>
      </c>
      <c r="C221" s="113"/>
      <c r="D221" s="113">
        <f t="shared" si="32"/>
        <v>152</v>
      </c>
      <c r="E221" s="113"/>
      <c r="F221" s="113">
        <v>0</v>
      </c>
      <c r="G221" s="113"/>
      <c r="H221" s="113">
        <f t="shared" si="33"/>
        <v>152</v>
      </c>
      <c r="I221" s="113"/>
      <c r="J221" s="114">
        <v>0</v>
      </c>
      <c r="K221" s="114"/>
      <c r="L221" s="95"/>
      <c r="M221" s="95"/>
      <c r="N221" s="95"/>
      <c r="O221" s="95"/>
    </row>
    <row r="222" spans="1:15" ht="15" customHeight="1">
      <c r="A222" s="95"/>
      <c r="B222" s="112">
        <v>2024</v>
      </c>
      <c r="C222" s="113"/>
      <c r="D222" s="113">
        <f t="shared" si="32"/>
        <v>144</v>
      </c>
      <c r="E222" s="113"/>
      <c r="F222" s="113">
        <v>0</v>
      </c>
      <c r="G222" s="113"/>
      <c r="H222" s="113">
        <f t="shared" si="33"/>
        <v>144</v>
      </c>
      <c r="I222" s="113"/>
      <c r="J222" s="114">
        <v>0</v>
      </c>
      <c r="K222" s="114"/>
      <c r="L222" s="95"/>
      <c r="M222" s="95"/>
      <c r="N222" s="95"/>
      <c r="O222" s="95"/>
    </row>
    <row r="223" spans="1:15" ht="15" customHeight="1">
      <c r="A223" s="95"/>
      <c r="B223" s="115">
        <v>2025</v>
      </c>
      <c r="C223" s="116"/>
      <c r="D223" s="116">
        <f t="shared" si="32"/>
        <v>136</v>
      </c>
      <c r="E223" s="116"/>
      <c r="F223" s="116">
        <v>0</v>
      </c>
      <c r="G223" s="116"/>
      <c r="H223" s="116">
        <f t="shared" si="33"/>
        <v>136</v>
      </c>
      <c r="I223" s="116"/>
      <c r="J223" s="117">
        <v>0</v>
      </c>
      <c r="K223" s="117"/>
      <c r="L223" s="95"/>
      <c r="M223" s="95"/>
      <c r="N223" s="95"/>
      <c r="O223" s="95"/>
    </row>
    <row r="224" spans="1:15" ht="15" customHeight="1">
      <c r="A224" s="95"/>
      <c r="B224" s="112">
        <v>2026</v>
      </c>
      <c r="C224" s="113"/>
      <c r="D224" s="113">
        <f t="shared" si="32"/>
        <v>129</v>
      </c>
      <c r="E224" s="113"/>
      <c r="F224" s="113">
        <v>0</v>
      </c>
      <c r="G224" s="113"/>
      <c r="H224" s="113">
        <f t="shared" si="33"/>
        <v>129</v>
      </c>
      <c r="I224" s="113"/>
      <c r="J224" s="114">
        <v>0</v>
      </c>
      <c r="K224" s="114"/>
      <c r="L224" s="95"/>
      <c r="M224" s="95"/>
      <c r="N224" s="95"/>
      <c r="O224" s="95"/>
    </row>
    <row r="225" spans="1:15" ht="15" customHeight="1">
      <c r="A225" s="95"/>
      <c r="B225" s="112">
        <v>2027</v>
      </c>
      <c r="C225" s="113"/>
      <c r="D225" s="113">
        <f t="shared" si="32"/>
        <v>122</v>
      </c>
      <c r="E225" s="113"/>
      <c r="F225" s="113">
        <v>0</v>
      </c>
      <c r="G225" s="113"/>
      <c r="H225" s="113">
        <f t="shared" si="33"/>
        <v>122</v>
      </c>
      <c r="I225" s="113"/>
      <c r="J225" s="114">
        <v>0</v>
      </c>
      <c r="K225" s="114"/>
      <c r="L225" s="95"/>
      <c r="M225" s="95"/>
      <c r="N225" s="95"/>
      <c r="O225" s="95"/>
    </row>
    <row r="226" spans="1:15" ht="15" customHeight="1">
      <c r="A226" s="95"/>
      <c r="B226" s="112">
        <v>2028</v>
      </c>
      <c r="C226" s="113"/>
      <c r="D226" s="113">
        <f t="shared" si="32"/>
        <v>116</v>
      </c>
      <c r="E226" s="113"/>
      <c r="F226" s="113">
        <v>0</v>
      </c>
      <c r="G226" s="113"/>
      <c r="H226" s="113">
        <f t="shared" si="33"/>
        <v>116</v>
      </c>
      <c r="I226" s="113"/>
      <c r="J226" s="114">
        <v>0</v>
      </c>
      <c r="K226" s="114"/>
      <c r="L226" s="95"/>
      <c r="M226" s="95"/>
      <c r="N226" s="95"/>
      <c r="O226" s="95"/>
    </row>
    <row r="227" spans="1:15" ht="15" customHeight="1">
      <c r="A227" s="95"/>
      <c r="B227" s="112">
        <v>2029</v>
      </c>
      <c r="C227" s="113"/>
      <c r="D227" s="113">
        <f t="shared" si="32"/>
        <v>109</v>
      </c>
      <c r="E227" s="113"/>
      <c r="F227" s="113">
        <v>0</v>
      </c>
      <c r="G227" s="113"/>
      <c r="H227" s="113">
        <f t="shared" si="33"/>
        <v>109</v>
      </c>
      <c r="I227" s="113"/>
      <c r="J227" s="114">
        <v>0</v>
      </c>
      <c r="K227" s="114"/>
      <c r="L227" s="95"/>
      <c r="M227" s="95"/>
      <c r="N227" s="95"/>
      <c r="O227" s="95"/>
    </row>
    <row r="228" spans="1:15" ht="15" customHeight="1">
      <c r="A228" s="95"/>
      <c r="B228" s="115">
        <v>2030</v>
      </c>
      <c r="C228" s="116"/>
      <c r="D228" s="116">
        <f t="shared" si="32"/>
        <v>103</v>
      </c>
      <c r="E228" s="116"/>
      <c r="F228" s="116">
        <v>0</v>
      </c>
      <c r="G228" s="116"/>
      <c r="H228" s="116">
        <f t="shared" si="33"/>
        <v>103</v>
      </c>
      <c r="I228" s="116"/>
      <c r="J228" s="117">
        <v>0</v>
      </c>
      <c r="K228" s="117"/>
      <c r="L228" s="95"/>
      <c r="M228" s="95"/>
      <c r="N228" s="95"/>
      <c r="O228" s="95"/>
    </row>
    <row r="229" spans="1:15" ht="15" customHeight="1">
      <c r="A229" s="95"/>
      <c r="B229" s="112">
        <v>2031</v>
      </c>
      <c r="C229" s="113"/>
      <c r="D229" s="113">
        <f t="shared" si="32"/>
        <v>98</v>
      </c>
      <c r="E229" s="113"/>
      <c r="F229" s="113">
        <v>0</v>
      </c>
      <c r="G229" s="113"/>
      <c r="H229" s="113">
        <f t="shared" si="33"/>
        <v>98</v>
      </c>
      <c r="I229" s="113"/>
      <c r="J229" s="114">
        <v>0</v>
      </c>
      <c r="K229" s="114"/>
      <c r="L229" s="95"/>
      <c r="M229" s="95"/>
      <c r="N229" s="95"/>
      <c r="O229" s="95"/>
    </row>
    <row r="230" spans="1:15" ht="15" customHeight="1">
      <c r="A230" s="95"/>
      <c r="B230" s="112">
        <v>2032</v>
      </c>
      <c r="C230" s="113"/>
      <c r="D230" s="113">
        <f t="shared" si="32"/>
        <v>92</v>
      </c>
      <c r="E230" s="113"/>
      <c r="F230" s="113">
        <v>0</v>
      </c>
      <c r="G230" s="113"/>
      <c r="H230" s="113">
        <f t="shared" si="33"/>
        <v>92</v>
      </c>
      <c r="I230" s="113"/>
      <c r="J230" s="114">
        <v>0</v>
      </c>
      <c r="K230" s="114"/>
      <c r="L230" s="95"/>
      <c r="M230" s="95"/>
      <c r="N230" s="95"/>
      <c r="O230" s="95"/>
    </row>
    <row r="231" spans="1:15" ht="15" customHeight="1">
      <c r="A231" s="95"/>
      <c r="B231" s="112">
        <v>2033</v>
      </c>
      <c r="C231" s="113"/>
      <c r="D231" s="113">
        <f t="shared" si="32"/>
        <v>87</v>
      </c>
      <c r="E231" s="113"/>
      <c r="F231" s="113">
        <v>0</v>
      </c>
      <c r="G231" s="113"/>
      <c r="H231" s="113">
        <f t="shared" si="33"/>
        <v>87</v>
      </c>
      <c r="I231" s="113"/>
      <c r="J231" s="114">
        <v>0</v>
      </c>
      <c r="K231" s="114"/>
      <c r="L231" s="95"/>
      <c r="M231" s="95"/>
      <c r="N231" s="95"/>
      <c r="O231" s="95"/>
    </row>
    <row r="232" spans="1:15" ht="15" customHeight="1">
      <c r="A232" s="95"/>
      <c r="B232" s="112">
        <v>2034</v>
      </c>
      <c r="C232" s="113"/>
      <c r="D232" s="113">
        <f t="shared" si="32"/>
        <v>82</v>
      </c>
      <c r="E232" s="113"/>
      <c r="F232" s="113">
        <v>0</v>
      </c>
      <c r="G232" s="113"/>
      <c r="H232" s="113">
        <f t="shared" si="33"/>
        <v>82</v>
      </c>
      <c r="I232" s="113"/>
      <c r="J232" s="114">
        <v>0</v>
      </c>
      <c r="K232" s="114"/>
      <c r="L232" s="95"/>
      <c r="M232" s="95"/>
      <c r="N232" s="95"/>
      <c r="O232" s="95"/>
    </row>
    <row r="233" spans="1:15" ht="15" customHeight="1" thickBot="1">
      <c r="A233" s="95"/>
      <c r="B233" s="115">
        <v>2035</v>
      </c>
      <c r="C233" s="116"/>
      <c r="D233" s="116">
        <f t="shared" si="32"/>
        <v>78</v>
      </c>
      <c r="E233" s="116"/>
      <c r="F233" s="116">
        <v>0</v>
      </c>
      <c r="G233" s="116"/>
      <c r="H233" s="116">
        <f t="shared" si="33"/>
        <v>78</v>
      </c>
      <c r="I233" s="116"/>
      <c r="J233" s="117">
        <v>0</v>
      </c>
      <c r="K233" s="117"/>
      <c r="L233" s="95"/>
      <c r="M233" s="95"/>
      <c r="N233" s="95"/>
      <c r="O233" s="95"/>
    </row>
    <row r="234" spans="1:15" ht="15" customHeight="1">
      <c r="A234" s="95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95"/>
      <c r="M234" s="95"/>
      <c r="N234" s="95"/>
      <c r="O234" s="95"/>
    </row>
    <row r="235" spans="1:15" ht="15" customHeight="1">
      <c r="A235" s="95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95"/>
      <c r="M235" s="95"/>
      <c r="N235" s="95"/>
      <c r="O235" s="95"/>
    </row>
    <row r="236" spans="1:15" ht="15" customHeight="1">
      <c r="A236" s="95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95"/>
      <c r="M236" s="95"/>
      <c r="N236" s="95"/>
      <c r="O236" s="95"/>
    </row>
    <row r="237" spans="1:15" ht="15" customHeight="1">
      <c r="A237" s="95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95"/>
      <c r="M237" s="95"/>
      <c r="N237" s="95"/>
      <c r="O237" s="95"/>
    </row>
    <row r="238" spans="1:15" ht="15" customHeight="1">
      <c r="A238" s="95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95"/>
      <c r="M238" s="95"/>
      <c r="N238" s="95"/>
      <c r="O238" s="95"/>
    </row>
    <row r="239" spans="1:15" ht="15" customHeight="1" thickBot="1">
      <c r="A239" s="95"/>
      <c r="B239" s="95"/>
      <c r="C239" s="95"/>
      <c r="D239" s="95"/>
      <c r="E239" s="95"/>
      <c r="F239" s="100" t="s">
        <v>259</v>
      </c>
      <c r="G239" s="100"/>
      <c r="H239" s="95"/>
      <c r="I239" s="95"/>
      <c r="J239" s="95"/>
      <c r="K239" s="128" t="s">
        <v>260</v>
      </c>
      <c r="L239" s="95"/>
      <c r="M239" s="95"/>
      <c r="N239" s="95"/>
      <c r="O239" s="95"/>
    </row>
    <row r="240" spans="1:15" ht="15" customHeight="1">
      <c r="A240" s="95"/>
      <c r="B240" s="94" t="s">
        <v>141</v>
      </c>
      <c r="C240" s="94"/>
      <c r="D240" s="94" t="s">
        <v>261</v>
      </c>
      <c r="E240" s="94" t="s">
        <v>262</v>
      </c>
      <c r="F240" s="94" t="s">
        <v>263</v>
      </c>
      <c r="G240" s="94" t="s">
        <v>279</v>
      </c>
      <c r="H240" s="94" t="s">
        <v>264</v>
      </c>
      <c r="I240" s="94" t="s">
        <v>54</v>
      </c>
      <c r="J240" s="94" t="s">
        <v>266</v>
      </c>
      <c r="K240" s="94"/>
      <c r="L240" s="95"/>
      <c r="M240" s="95"/>
      <c r="N240" s="95">
        <v>396</v>
      </c>
      <c r="O240" s="95">
        <v>386</v>
      </c>
    </row>
    <row r="241" spans="1:15" ht="15" customHeight="1">
      <c r="A241" s="95"/>
      <c r="B241" s="112">
        <v>2014</v>
      </c>
      <c r="C241" s="113"/>
      <c r="D241" s="153">
        <f t="array" ref="D241">IF(B26=B241,H26)</f>
        <v>277</v>
      </c>
      <c r="E241" s="153">
        <f t="array" ref="E241">IF(B60=B241,H60)</f>
        <v>277</v>
      </c>
      <c r="F241" s="153">
        <f t="array" ref="F241">IF(B115=B241,H115)</f>
        <v>240</v>
      </c>
      <c r="G241" s="153">
        <f t="array" ref="G241">IF(B162=B241,H162)</f>
        <v>386</v>
      </c>
      <c r="H241" s="153">
        <f t="array" ref="H241">IF(B212=B241,H212)</f>
        <v>239</v>
      </c>
      <c r="I241" s="153">
        <f t="shared" ref="I241:I262" si="34">IF(G241=0,AVERAGE(D241,E241,F241,H241),AVERAGE(D241:H241))</f>
        <v>283.8</v>
      </c>
      <c r="J241" s="164">
        <f t="shared" ref="J241:J262" si="35">ROUND(AVERAGE(D241,F241:G241),0)</f>
        <v>301</v>
      </c>
      <c r="K241" s="156"/>
      <c r="L241" s="95"/>
      <c r="M241" s="95"/>
      <c r="N241" s="95"/>
      <c r="O241" s="95"/>
    </row>
    <row r="242" spans="1:15" ht="15" customHeight="1">
      <c r="A242" s="95"/>
      <c r="B242" s="115">
        <v>2015</v>
      </c>
      <c r="C242" s="116"/>
      <c r="D242" s="154">
        <f t="array" ref="D242">IF(B27=B242,H27)</f>
        <v>273</v>
      </c>
      <c r="E242" s="154">
        <f t="array" ref="E242">IF(B61=B242,H61)</f>
        <v>273</v>
      </c>
      <c r="F242" s="154">
        <f t="array" ref="F242">IF(B116=B242,H116)</f>
        <v>228</v>
      </c>
      <c r="G242" s="154">
        <f t="array" ref="G242">IF(B163=B242,H163)</f>
        <v>393</v>
      </c>
      <c r="H242" s="154">
        <f t="array" ref="H242">IF(B213=B242,H213)</f>
        <v>228</v>
      </c>
      <c r="I242" s="154">
        <f t="shared" si="34"/>
        <v>279</v>
      </c>
      <c r="J242" s="165">
        <f t="shared" si="35"/>
        <v>298</v>
      </c>
      <c r="K242" s="155"/>
      <c r="L242" s="95"/>
      <c r="M242" s="95"/>
      <c r="N242" s="95"/>
      <c r="O242" s="95"/>
    </row>
    <row r="243" spans="1:15" ht="15" customHeight="1">
      <c r="A243" s="95"/>
      <c r="B243" s="112">
        <v>2016</v>
      </c>
      <c r="C243" s="113"/>
      <c r="D243" s="153">
        <f t="array" ref="D243">IF(B28=B243,H28)</f>
        <v>269</v>
      </c>
      <c r="E243" s="153">
        <f t="array" ref="E243">IF(B62=B243,H62)</f>
        <v>270</v>
      </c>
      <c r="F243" s="153">
        <f t="array" ref="F243">IF(B117=B243,H117)</f>
        <v>215</v>
      </c>
      <c r="G243" s="153">
        <f t="array" ref="G243">IF(B164=B243,H164)</f>
        <v>400</v>
      </c>
      <c r="H243" s="153">
        <f t="array" ref="H243">IF(B214=B243,H214)</f>
        <v>217</v>
      </c>
      <c r="I243" s="153">
        <f t="shared" si="34"/>
        <v>274.2</v>
      </c>
      <c r="J243" s="164">
        <f t="shared" si="35"/>
        <v>295</v>
      </c>
      <c r="K243" s="156"/>
      <c r="L243" s="95"/>
      <c r="M243" s="95"/>
      <c r="N243" s="95"/>
      <c r="O243" s="95"/>
    </row>
    <row r="244" spans="1:15" ht="15" customHeight="1">
      <c r="A244" s="95"/>
      <c r="B244" s="112">
        <v>2017</v>
      </c>
      <c r="C244" s="113"/>
      <c r="D244" s="153">
        <f t="array" ref="D244">IF(B29=B244,H29)</f>
        <v>265</v>
      </c>
      <c r="E244" s="153">
        <f t="array" ref="E244">IF(B63=B244,H63)</f>
        <v>266</v>
      </c>
      <c r="F244" s="153">
        <f t="array" ref="F244">IF(B118=B244,H118)</f>
        <v>202</v>
      </c>
      <c r="G244" s="153">
        <f t="array" ref="G244">IF(B165=B244,H165)</f>
        <v>407</v>
      </c>
      <c r="H244" s="153">
        <f t="array" ref="H244">IF(B215=B244,H215)</f>
        <v>207</v>
      </c>
      <c r="I244" s="153">
        <f t="shared" si="34"/>
        <v>269.39999999999998</v>
      </c>
      <c r="J244" s="164">
        <f t="shared" si="35"/>
        <v>291</v>
      </c>
      <c r="K244" s="156"/>
      <c r="L244" s="95"/>
      <c r="M244" s="95"/>
      <c r="N244" s="95"/>
      <c r="O244" s="95"/>
    </row>
    <row r="245" spans="1:15" ht="15" customHeight="1">
      <c r="A245" s="95"/>
      <c r="B245" s="112">
        <v>2018</v>
      </c>
      <c r="C245" s="113"/>
      <c r="D245" s="153">
        <f t="array" ref="D245">IF(B30=B245,H30)</f>
        <v>261</v>
      </c>
      <c r="E245" s="153">
        <f t="array" ref="E245">IF(B64=B245,H64)</f>
        <v>263</v>
      </c>
      <c r="F245" s="153">
        <f t="array" ref="F245">IF(B119=B245,H119)</f>
        <v>189</v>
      </c>
      <c r="G245" s="153">
        <f t="array" ref="G245">IF(B166=B245,H166)</f>
        <v>414</v>
      </c>
      <c r="H245" s="153">
        <f t="array" ref="H245">IF(B216=B245,H216)</f>
        <v>197</v>
      </c>
      <c r="I245" s="153">
        <f t="shared" si="34"/>
        <v>264.8</v>
      </c>
      <c r="J245" s="164">
        <f t="shared" si="35"/>
        <v>288</v>
      </c>
      <c r="K245" s="156"/>
      <c r="L245" s="95"/>
      <c r="M245" s="95"/>
      <c r="N245" s="95"/>
      <c r="O245" s="95"/>
    </row>
    <row r="246" spans="1:15" ht="15" customHeight="1">
      <c r="A246" s="95"/>
      <c r="B246" s="112">
        <v>2019</v>
      </c>
      <c r="C246" s="113"/>
      <c r="D246" s="153">
        <f t="array" ref="D246">IF(B31=B246,H31)</f>
        <v>258</v>
      </c>
      <c r="E246" s="153">
        <f t="array" ref="E246">IF(B65=B246,H65)</f>
        <v>259</v>
      </c>
      <c r="F246" s="153">
        <f t="array" ref="F246">IF(B120=B246,H120)</f>
        <v>177</v>
      </c>
      <c r="G246" s="153">
        <f t="array" ref="G246">IF(B167=B246,H167)</f>
        <v>421</v>
      </c>
      <c r="H246" s="153">
        <f t="array" ref="H246">IF(B217=B246,H217)</f>
        <v>187</v>
      </c>
      <c r="I246" s="153">
        <f t="shared" si="34"/>
        <v>260.39999999999998</v>
      </c>
      <c r="J246" s="164">
        <f t="shared" si="35"/>
        <v>285</v>
      </c>
      <c r="K246" s="156"/>
      <c r="L246" s="95"/>
      <c r="M246" s="95"/>
      <c r="N246" s="95"/>
      <c r="O246" s="95"/>
    </row>
    <row r="247" spans="1:15" ht="15" customHeight="1">
      <c r="A247" s="95"/>
      <c r="B247" s="115">
        <v>2020</v>
      </c>
      <c r="C247" s="116"/>
      <c r="D247" s="154">
        <f t="array" ref="D247">IF(B32=B247,H32)</f>
        <v>254</v>
      </c>
      <c r="E247" s="154">
        <f t="array" ref="E247">IF(B66=B247,H66)</f>
        <v>256</v>
      </c>
      <c r="F247" s="154">
        <f t="array" ref="F247">IF(B121=B247,H121)</f>
        <v>164</v>
      </c>
      <c r="G247" s="154">
        <f t="array" ref="G247">IF(B168=B247,H168)</f>
        <v>428</v>
      </c>
      <c r="H247" s="154">
        <f t="array" ref="H247">IF(B218=B247,H218)</f>
        <v>178</v>
      </c>
      <c r="I247" s="154">
        <f t="shared" si="34"/>
        <v>256</v>
      </c>
      <c r="J247" s="165">
        <f t="shared" si="35"/>
        <v>282</v>
      </c>
      <c r="K247" s="155"/>
      <c r="L247" s="95"/>
      <c r="M247" s="95"/>
      <c r="N247" s="95"/>
      <c r="O247" s="95"/>
    </row>
    <row r="248" spans="1:15" ht="15" customHeight="1">
      <c r="A248" s="95"/>
      <c r="B248" s="112">
        <v>2021</v>
      </c>
      <c r="C248" s="113"/>
      <c r="D248" s="153">
        <f t="array" ref="D248">IF(B33=B248,H33)</f>
        <v>250</v>
      </c>
      <c r="E248" s="153">
        <f t="array" ref="E248">IF(B67=B248,H67)</f>
        <v>253</v>
      </c>
      <c r="F248" s="153">
        <f t="array" ref="F248">IF(B122=B248,H122)</f>
        <v>151</v>
      </c>
      <c r="G248" s="153">
        <f t="array" ref="G248">IF(B169=B248,H169)</f>
        <v>435</v>
      </c>
      <c r="H248" s="153">
        <f t="array" ref="H248">IF(B219=B248,H219)</f>
        <v>169</v>
      </c>
      <c r="I248" s="153">
        <f t="shared" si="34"/>
        <v>251.6</v>
      </c>
      <c r="J248" s="164">
        <f t="shared" si="35"/>
        <v>279</v>
      </c>
      <c r="K248" s="156"/>
      <c r="L248" s="95"/>
      <c r="M248" s="95"/>
      <c r="N248" s="95"/>
      <c r="O248" s="95"/>
    </row>
    <row r="249" spans="1:15" ht="15" customHeight="1">
      <c r="A249" s="95"/>
      <c r="B249" s="112">
        <v>2022</v>
      </c>
      <c r="C249" s="113"/>
      <c r="D249" s="153">
        <f t="array" ref="D249">IF(B34=B249,H34)</f>
        <v>246</v>
      </c>
      <c r="E249" s="153">
        <f t="array" ref="E249">IF(B68=B249,H68)</f>
        <v>249</v>
      </c>
      <c r="F249" s="153">
        <f t="array" ref="F249">IF(B123=B249,H123)</f>
        <v>138</v>
      </c>
      <c r="G249" s="153">
        <f t="array" ref="G249">IF(B170=B249,H170)</f>
        <v>442</v>
      </c>
      <c r="H249" s="153">
        <f t="array" ref="H249">IF(B220=B249,H220)</f>
        <v>160</v>
      </c>
      <c r="I249" s="153">
        <f t="shared" si="34"/>
        <v>247</v>
      </c>
      <c r="J249" s="164">
        <f t="shared" si="35"/>
        <v>275</v>
      </c>
      <c r="K249" s="156"/>
      <c r="L249" s="95"/>
      <c r="M249" s="95"/>
      <c r="N249" s="95"/>
      <c r="O249" s="95"/>
    </row>
    <row r="250" spans="1:15" ht="15" customHeight="1">
      <c r="A250" s="95"/>
      <c r="B250" s="112">
        <v>2023</v>
      </c>
      <c r="C250" s="113"/>
      <c r="D250" s="153">
        <f t="array" ref="D250">IF(B35=B250,H35)</f>
        <v>242</v>
      </c>
      <c r="E250" s="153">
        <f t="array" ref="E250">IF(B69=B250,H69)</f>
        <v>246</v>
      </c>
      <c r="F250" s="153">
        <f t="array" ref="F250">IF(B124=B250,H124)</f>
        <v>126</v>
      </c>
      <c r="G250" s="153">
        <f t="array" ref="G250">IF(B171=B250,H171)</f>
        <v>449</v>
      </c>
      <c r="H250" s="153">
        <f t="array" ref="H250">IF(B221=B250,H221)</f>
        <v>152</v>
      </c>
      <c r="I250" s="153">
        <f t="shared" si="34"/>
        <v>243</v>
      </c>
      <c r="J250" s="164">
        <f t="shared" si="35"/>
        <v>272</v>
      </c>
      <c r="K250" s="156"/>
      <c r="L250" s="95"/>
      <c r="M250" s="95"/>
      <c r="N250" s="95"/>
      <c r="O250" s="95"/>
    </row>
    <row r="251" spans="1:15" ht="15" customHeight="1">
      <c r="A251" s="95"/>
      <c r="B251" s="112">
        <v>2024</v>
      </c>
      <c r="C251" s="113"/>
      <c r="D251" s="153">
        <f t="array" ref="D251">IF(B36=B251,H36)</f>
        <v>238</v>
      </c>
      <c r="E251" s="153">
        <f t="array" ref="E251">IF(B70=B251,H70)</f>
        <v>243</v>
      </c>
      <c r="F251" s="153">
        <f t="array" ref="F251">IF(B125=B251,H125)</f>
        <v>113</v>
      </c>
      <c r="G251" s="153">
        <f t="array" ref="G251">IF(B172=B251,H172)</f>
        <v>455</v>
      </c>
      <c r="H251" s="153">
        <f t="array" ref="H251">IF(B222=B251,H222)</f>
        <v>144</v>
      </c>
      <c r="I251" s="153">
        <f t="shared" si="34"/>
        <v>238.6</v>
      </c>
      <c r="J251" s="164">
        <f t="shared" si="35"/>
        <v>269</v>
      </c>
      <c r="K251" s="156"/>
      <c r="L251" s="95"/>
      <c r="M251" s="95"/>
      <c r="N251" s="95"/>
      <c r="O251" s="95"/>
    </row>
    <row r="252" spans="1:15" ht="15" customHeight="1">
      <c r="A252" s="95"/>
      <c r="B252" s="115">
        <v>2025</v>
      </c>
      <c r="C252" s="116"/>
      <c r="D252" s="154">
        <f t="array" ref="D252">IF(B37=B252,H37)</f>
        <v>234</v>
      </c>
      <c r="E252" s="154">
        <f t="array" ref="E252">IF(B71=B252,H71)</f>
        <v>240</v>
      </c>
      <c r="F252" s="154">
        <f t="array" ref="F252">IF(B126=B252,H126)</f>
        <v>100</v>
      </c>
      <c r="G252" s="154">
        <f t="array" ref="G252">IF(B173=B252,H173)</f>
        <v>462</v>
      </c>
      <c r="H252" s="154">
        <f t="array" ref="H252">IF(B223=B252,H223)</f>
        <v>136</v>
      </c>
      <c r="I252" s="154">
        <f t="shared" si="34"/>
        <v>234.4</v>
      </c>
      <c r="J252" s="165">
        <f t="shared" si="35"/>
        <v>265</v>
      </c>
      <c r="K252" s="155"/>
      <c r="L252" s="95"/>
      <c r="M252" s="95"/>
      <c r="N252" s="95"/>
      <c r="O252" s="95"/>
    </row>
    <row r="253" spans="1:15" ht="15" customHeight="1">
      <c r="A253" s="95"/>
      <c r="B253" s="112">
        <v>2026</v>
      </c>
      <c r="C253" s="113"/>
      <c r="D253" s="153">
        <f t="array" ref="D253">IF(B38=B253,H38)</f>
        <v>230</v>
      </c>
      <c r="E253" s="153">
        <f t="array" ref="E253">IF(B72=B253,H72)</f>
        <v>236</v>
      </c>
      <c r="F253" s="153">
        <f t="array" ref="F253">IF(B127=B253,H127)</f>
        <v>88</v>
      </c>
      <c r="G253" s="153">
        <f t="array" ref="G253">IF(B174=B253,H174)</f>
        <v>469</v>
      </c>
      <c r="H253" s="153">
        <f t="array" ref="H253">IF(B224=B253,H224)</f>
        <v>129</v>
      </c>
      <c r="I253" s="153">
        <f t="shared" si="34"/>
        <v>230.4</v>
      </c>
      <c r="J253" s="164">
        <f t="shared" si="35"/>
        <v>262</v>
      </c>
      <c r="K253" s="156"/>
      <c r="L253" s="95"/>
      <c r="M253" s="95"/>
      <c r="N253" s="95"/>
      <c r="O253" s="95"/>
    </row>
    <row r="254" spans="1:15" ht="15" customHeight="1">
      <c r="A254" s="95"/>
      <c r="B254" s="112">
        <v>2027</v>
      </c>
      <c r="C254" s="113"/>
      <c r="D254" s="153">
        <f t="array" ref="D254">IF(B39=B254,H39)</f>
        <v>226</v>
      </c>
      <c r="E254" s="153">
        <f t="array" ref="E254">IF(B73=B254,H73)</f>
        <v>233</v>
      </c>
      <c r="F254" s="153">
        <f t="array" ref="F254">IF(B128=B254,H128)</f>
        <v>75</v>
      </c>
      <c r="G254" s="153">
        <f t="array" ref="G254">IF(B175=B254,H175)</f>
        <v>476</v>
      </c>
      <c r="H254" s="153">
        <f t="array" ref="H254">IF(B225=B254,H225)</f>
        <v>122</v>
      </c>
      <c r="I254" s="153">
        <f t="shared" si="34"/>
        <v>226.4</v>
      </c>
      <c r="J254" s="164">
        <f t="shared" si="35"/>
        <v>259</v>
      </c>
      <c r="K254" s="156"/>
      <c r="L254" s="95"/>
      <c r="M254" s="95"/>
      <c r="N254" s="95"/>
      <c r="O254" s="95"/>
    </row>
    <row r="255" spans="1:15" ht="15" customHeight="1">
      <c r="A255" s="95"/>
      <c r="B255" s="112">
        <v>2028</v>
      </c>
      <c r="C255" s="113"/>
      <c r="D255" s="153">
        <f t="array" ref="D255">IF(B40=B255,H40)</f>
        <v>222</v>
      </c>
      <c r="E255" s="153">
        <f t="array" ref="E255">IF(B74=B255,H74)</f>
        <v>230</v>
      </c>
      <c r="F255" s="153">
        <f t="array" ref="F255">IF(B129=B255,H129)</f>
        <v>62</v>
      </c>
      <c r="G255" s="153">
        <f t="array" ref="G255">IF(B176=B255,H176)</f>
        <v>482</v>
      </c>
      <c r="H255" s="153">
        <f t="array" ref="H255">IF(B226=B255,H226)</f>
        <v>116</v>
      </c>
      <c r="I255" s="153">
        <f t="shared" si="34"/>
        <v>222.4</v>
      </c>
      <c r="J255" s="164">
        <f t="shared" si="35"/>
        <v>255</v>
      </c>
      <c r="K255" s="156"/>
      <c r="L255" s="95"/>
      <c r="M255" s="95"/>
      <c r="N255" s="95"/>
      <c r="O255" s="95"/>
    </row>
    <row r="256" spans="1:15" ht="15" customHeight="1">
      <c r="A256" s="95"/>
      <c r="B256" s="112">
        <v>2029</v>
      </c>
      <c r="C256" s="113"/>
      <c r="D256" s="153">
        <f t="array" ref="D256">IF(B41=B256,H41)</f>
        <v>219</v>
      </c>
      <c r="E256" s="153">
        <f t="array" ref="E256">IF(B75=B256,H75)</f>
        <v>227</v>
      </c>
      <c r="F256" s="153">
        <f t="array" ref="F256">IF(B130=B256,H130)</f>
        <v>49</v>
      </c>
      <c r="G256" s="153">
        <f t="array" ref="G256">IF(B177=B256,H177)</f>
        <v>489</v>
      </c>
      <c r="H256" s="153">
        <f t="array" ref="H256">IF(B227=B256,H227)</f>
        <v>109</v>
      </c>
      <c r="I256" s="153">
        <f t="shared" si="34"/>
        <v>218.6</v>
      </c>
      <c r="J256" s="164">
        <f t="shared" si="35"/>
        <v>252</v>
      </c>
      <c r="K256" s="156"/>
      <c r="L256" s="95"/>
      <c r="M256" s="95"/>
      <c r="N256" s="95"/>
      <c r="O256" s="95"/>
    </row>
    <row r="257" spans="1:15" ht="15" customHeight="1">
      <c r="A257" s="95"/>
      <c r="B257" s="115">
        <v>2030</v>
      </c>
      <c r="C257" s="116"/>
      <c r="D257" s="154">
        <f t="array" ref="D257">IF(B42=B257,H42)</f>
        <v>215</v>
      </c>
      <c r="E257" s="154">
        <f t="array" ref="E257">IF(B76=B257,H76)</f>
        <v>224</v>
      </c>
      <c r="F257" s="154">
        <f t="array" ref="F257">IF(B131=B257,H131)</f>
        <v>37</v>
      </c>
      <c r="G257" s="154">
        <f t="array" ref="G257">IF(B178=B257,H178)</f>
        <v>495</v>
      </c>
      <c r="H257" s="154">
        <f t="array" ref="H257">IF(B228=B257,H228)</f>
        <v>103</v>
      </c>
      <c r="I257" s="154">
        <f t="shared" si="34"/>
        <v>214.8</v>
      </c>
      <c r="J257" s="165">
        <f t="shared" si="35"/>
        <v>249</v>
      </c>
      <c r="K257" s="155"/>
      <c r="L257" s="95"/>
      <c r="M257" s="95"/>
      <c r="N257" s="95"/>
      <c r="O257" s="95"/>
    </row>
    <row r="258" spans="1:15" ht="15" customHeight="1">
      <c r="A258" s="95"/>
      <c r="B258" s="112">
        <v>2031</v>
      </c>
      <c r="C258" s="113"/>
      <c r="D258" s="153">
        <f t="array" ref="D258">IF(B43=B258,H43)</f>
        <v>211</v>
      </c>
      <c r="E258" s="153">
        <f t="array" ref="E258">IF(B77=B258,H77)</f>
        <v>221</v>
      </c>
      <c r="F258" s="153">
        <f t="array" ref="F258">IF(B132=B258,H132)</f>
        <v>24</v>
      </c>
      <c r="G258" s="153">
        <f t="array" ref="G258">IF(B179=B258,H179)</f>
        <v>502</v>
      </c>
      <c r="H258" s="153">
        <f t="array" ref="H258">IF(B229=B258,H229)</f>
        <v>98</v>
      </c>
      <c r="I258" s="153">
        <f t="shared" si="34"/>
        <v>211.2</v>
      </c>
      <c r="J258" s="164">
        <f t="shared" si="35"/>
        <v>246</v>
      </c>
      <c r="K258" s="156"/>
      <c r="L258" s="95"/>
      <c r="M258" s="95"/>
      <c r="N258" s="95"/>
      <c r="O258" s="95"/>
    </row>
    <row r="259" spans="1:15" ht="15" customHeight="1">
      <c r="A259" s="95"/>
      <c r="B259" s="112">
        <v>2032</v>
      </c>
      <c r="C259" s="113"/>
      <c r="D259" s="153">
        <f t="array" ref="D259">IF(B44=B259,H44)</f>
        <v>207</v>
      </c>
      <c r="E259" s="153">
        <f t="array" ref="E259">IF(B78=B259,H78)</f>
        <v>218</v>
      </c>
      <c r="F259" s="153">
        <f t="array" ref="F259">IF(B133=B259,H133)</f>
        <v>11</v>
      </c>
      <c r="G259" s="153">
        <f t="array" ref="G259">IF(B180=B259,H180)</f>
        <v>508</v>
      </c>
      <c r="H259" s="153">
        <f t="array" ref="H259">IF(B230=B259,H230)</f>
        <v>92</v>
      </c>
      <c r="I259" s="153">
        <f t="shared" si="34"/>
        <v>207.2</v>
      </c>
      <c r="J259" s="164">
        <f t="shared" si="35"/>
        <v>242</v>
      </c>
      <c r="K259" s="156"/>
      <c r="L259" s="95"/>
      <c r="M259" s="95"/>
      <c r="N259" s="95"/>
      <c r="O259" s="95"/>
    </row>
    <row r="260" spans="1:15" ht="15" customHeight="1">
      <c r="A260" s="95"/>
      <c r="B260" s="112">
        <v>2033</v>
      </c>
      <c r="C260" s="113"/>
      <c r="D260" s="153">
        <f t="array" ref="D260">IF(B45=B260,H45)</f>
        <v>203</v>
      </c>
      <c r="E260" s="153">
        <f t="array" ref="E260">IF(B79=B260,H79)</f>
        <v>215</v>
      </c>
      <c r="F260" s="153">
        <f t="array" ref="F260">IF(B134=B260,H134)</f>
        <v>-2</v>
      </c>
      <c r="G260" s="153">
        <f t="array" ref="G260">IF(B181=B260,H181)</f>
        <v>515</v>
      </c>
      <c r="H260" s="153">
        <f t="array" ref="H260">IF(B231=B260,H231)</f>
        <v>87</v>
      </c>
      <c r="I260" s="153">
        <f t="shared" si="34"/>
        <v>203.6</v>
      </c>
      <c r="J260" s="164">
        <f t="shared" si="35"/>
        <v>239</v>
      </c>
      <c r="K260" s="156"/>
      <c r="L260" s="95"/>
      <c r="M260" s="95"/>
      <c r="N260" s="95"/>
      <c r="O260" s="95"/>
    </row>
    <row r="261" spans="1:15" ht="15" customHeight="1">
      <c r="A261" s="95"/>
      <c r="B261" s="112">
        <v>2034</v>
      </c>
      <c r="C261" s="113"/>
      <c r="D261" s="153">
        <f t="array" ref="D261">IF(B46=B261,H46)</f>
        <v>199</v>
      </c>
      <c r="E261" s="153">
        <f t="array" ref="E261">IF(B80=B261,H80)</f>
        <v>213</v>
      </c>
      <c r="F261" s="153">
        <f t="array" ref="F261">IF(B135=B261,H135)</f>
        <v>-15</v>
      </c>
      <c r="G261" s="153">
        <f t="array" ref="G261">IF(B182=B261,H182)</f>
        <v>521</v>
      </c>
      <c r="H261" s="153">
        <f t="array" ref="H261">IF(B232=B261,H232)</f>
        <v>82</v>
      </c>
      <c r="I261" s="153">
        <f t="shared" si="34"/>
        <v>200</v>
      </c>
      <c r="J261" s="164">
        <f t="shared" si="35"/>
        <v>235</v>
      </c>
      <c r="K261" s="156"/>
      <c r="L261" s="95"/>
      <c r="M261" s="95"/>
      <c r="N261" s="95"/>
      <c r="O261" s="95"/>
    </row>
    <row r="262" spans="1:15" ht="15" customHeight="1" thickBot="1">
      <c r="A262" s="95"/>
      <c r="B262" s="115">
        <v>2035</v>
      </c>
      <c r="C262" s="116"/>
      <c r="D262" s="154">
        <f t="array" ref="D262">IF(B47=B262,H47)</f>
        <v>195</v>
      </c>
      <c r="E262" s="154">
        <f t="array" ref="E262">IF(B81=B262,H81)</f>
        <v>210</v>
      </c>
      <c r="F262" s="154">
        <f t="array" ref="F262">IF(B136=B262,H136)</f>
        <v>-28</v>
      </c>
      <c r="G262" s="154">
        <f t="array" ref="G262">IF(B183=B262,H183)</f>
        <v>528</v>
      </c>
      <c r="H262" s="154">
        <f t="array" ref="H262">IF(B233=B262,H233)</f>
        <v>78</v>
      </c>
      <c r="I262" s="154">
        <f t="shared" si="34"/>
        <v>196.6</v>
      </c>
      <c r="J262" s="165">
        <f t="shared" si="35"/>
        <v>232</v>
      </c>
      <c r="K262" s="155"/>
      <c r="L262" s="95"/>
      <c r="M262" s="95"/>
      <c r="N262" s="95"/>
      <c r="O262" s="95"/>
    </row>
    <row r="263" spans="1:15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3" tint="0.59999389629810485"/>
  </sheetPr>
  <dimension ref="A1:O24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2013</v>
      </c>
    </row>
    <row r="5" spans="1:15" ht="15" customHeight="1" thickBot="1">
      <c r="A5" s="90"/>
      <c r="B5" s="88" t="s">
        <v>139</v>
      </c>
      <c r="C5" s="91"/>
      <c r="D5" s="88" t="s">
        <v>439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2010</v>
      </c>
      <c r="C7" s="96"/>
      <c r="D7" s="97">
        <f>+'금왕읍(10년)'!D12</f>
        <v>327</v>
      </c>
      <c r="E7" s="97"/>
      <c r="F7" s="98">
        <v>0</v>
      </c>
      <c r="G7" s="98"/>
      <c r="H7" s="99">
        <v>0</v>
      </c>
      <c r="I7" s="100"/>
      <c r="J7" s="101" t="s">
        <v>145</v>
      </c>
      <c r="K7" s="101">
        <v>1000</v>
      </c>
      <c r="L7" s="95"/>
      <c r="M7" s="95"/>
      <c r="N7" s="95"/>
      <c r="O7" s="95"/>
    </row>
    <row r="8" spans="1:15" ht="15" customHeight="1">
      <c r="A8" s="95"/>
      <c r="B8" s="96">
        <v>2011</v>
      </c>
      <c r="C8" s="96"/>
      <c r="D8" s="97">
        <f>+'금왕읍(10년)'!D13</f>
        <v>230</v>
      </c>
      <c r="E8" s="97"/>
      <c r="F8" s="98">
        <f>D8-D7</f>
        <v>-97</v>
      </c>
      <c r="G8" s="98"/>
      <c r="H8" s="99">
        <f>ROUND(F8/D7*100,2)</f>
        <v>-29.66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96">
        <v>2012</v>
      </c>
      <c r="C9" s="96"/>
      <c r="D9" s="97">
        <f>+'금왕읍(10년)'!D14</f>
        <v>215</v>
      </c>
      <c r="E9" s="97"/>
      <c r="F9" s="98">
        <f>D9-D8</f>
        <v>-15</v>
      </c>
      <c r="G9" s="98"/>
      <c r="H9" s="99">
        <f>ROUND(F9/D8*100,2)</f>
        <v>-6.52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96">
        <v>2013</v>
      </c>
      <c r="C10" s="96"/>
      <c r="D10" s="97">
        <f>+'금왕읍(10년)'!D15</f>
        <v>226</v>
      </c>
      <c r="E10" s="97"/>
      <c r="F10" s="98">
        <f>D10-D9</f>
        <v>11</v>
      </c>
      <c r="G10" s="98"/>
      <c r="H10" s="99">
        <f>ROUND(F10/D9*100,2)</f>
        <v>5.12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96">
        <v>2014</v>
      </c>
      <c r="C11" s="96"/>
      <c r="D11" s="97">
        <f>+'금왕읍(10년)'!D16</f>
        <v>277</v>
      </c>
      <c r="E11" s="97"/>
      <c r="F11" s="98">
        <f>D11-D10</f>
        <v>51</v>
      </c>
      <c r="G11" s="98"/>
      <c r="H11" s="99">
        <f>ROUND(F11/D10*100,2)</f>
        <v>22.57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 thickBot="1">
      <c r="A12" s="95"/>
      <c r="B12" s="103" t="s">
        <v>146</v>
      </c>
      <c r="C12" s="104"/>
      <c r="D12" s="105">
        <f>SUM(D7:D11)</f>
        <v>1275</v>
      </c>
      <c r="E12" s="106"/>
      <c r="F12" s="107"/>
      <c r="G12" s="107"/>
      <c r="H12" s="108">
        <f>SUM(H7:H11)</f>
        <v>-8.4899999999999984</v>
      </c>
      <c r="I12" s="108"/>
      <c r="J12" s="109">
        <f>ROUND(AVERAGE(H7:H11),1)</f>
        <v>-1.7</v>
      </c>
      <c r="K12" s="109"/>
      <c r="L12" s="95"/>
      <c r="M12" s="95"/>
      <c r="N12" s="95"/>
      <c r="O12" s="95"/>
    </row>
    <row r="13" spans="1:15" ht="1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</row>
    <row r="14" spans="1:15" ht="15" customHeight="1">
      <c r="A14" s="95"/>
      <c r="B14" s="110" t="s">
        <v>147</v>
      </c>
      <c r="C14" s="111"/>
      <c r="D14" s="111"/>
      <c r="E14" s="111"/>
      <c r="F14" s="111"/>
      <c r="G14" s="95"/>
      <c r="H14" s="95"/>
      <c r="I14" s="95"/>
      <c r="J14" s="95"/>
      <c r="K14" s="95"/>
      <c r="L14" s="95"/>
      <c r="M14" s="95"/>
      <c r="N14" s="95"/>
      <c r="O14" s="95"/>
    </row>
    <row r="15" spans="1:15" ht="15" customHeight="1">
      <c r="A15" s="95"/>
      <c r="B15" s="95"/>
      <c r="C15" s="111" t="s">
        <v>148</v>
      </c>
      <c r="D15" s="111" t="s">
        <v>149</v>
      </c>
      <c r="E15" s="111"/>
      <c r="F15" s="111"/>
      <c r="G15" s="95"/>
      <c r="H15" s="95"/>
      <c r="I15" s="95"/>
      <c r="J15" s="95"/>
      <c r="K15" s="95"/>
      <c r="L15" s="95"/>
      <c r="M15" s="95"/>
      <c r="N15" s="95"/>
      <c r="O15" s="95"/>
    </row>
    <row r="16" spans="1:15" ht="15" customHeight="1">
      <c r="A16" s="95"/>
      <c r="B16" s="93"/>
      <c r="C16" s="93" t="s">
        <v>150</v>
      </c>
      <c r="D16" s="111" t="s">
        <v>151</v>
      </c>
      <c r="E16" s="93"/>
      <c r="F16" s="93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5" customHeight="1">
      <c r="A17" s="95"/>
      <c r="B17" s="111"/>
      <c r="C17" s="111"/>
      <c r="D17" s="111" t="s">
        <v>152</v>
      </c>
      <c r="E17" s="111"/>
      <c r="F17" s="111"/>
      <c r="G17" s="95"/>
      <c r="H17" s="95"/>
      <c r="I17" s="95"/>
      <c r="J17" s="95"/>
      <c r="K17" s="95"/>
      <c r="L17" s="95"/>
      <c r="M17" s="95"/>
      <c r="N17" s="95"/>
      <c r="O17" s="95"/>
    </row>
    <row r="18" spans="1:15" ht="15" customHeight="1">
      <c r="A18" s="95"/>
      <c r="B18" s="111"/>
      <c r="C18" s="111"/>
      <c r="D18" s="111" t="s">
        <v>153</v>
      </c>
      <c r="E18" s="111"/>
      <c r="F18" s="111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 thickBot="1">
      <c r="A19" s="95"/>
      <c r="B19" s="95"/>
      <c r="C19" s="95"/>
      <c r="D19" s="95"/>
      <c r="E19" s="95"/>
      <c r="F19" s="100" t="s">
        <v>154</v>
      </c>
      <c r="G19" s="100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4" t="s">
        <v>155</v>
      </c>
      <c r="C20" s="94"/>
      <c r="D20" s="94" t="s">
        <v>156</v>
      </c>
      <c r="E20" s="94"/>
      <c r="F20" s="94" t="s">
        <v>157</v>
      </c>
      <c r="G20" s="94"/>
      <c r="H20" s="94" t="s">
        <v>158</v>
      </c>
      <c r="I20" s="94"/>
      <c r="J20" s="94" t="s">
        <v>53</v>
      </c>
      <c r="K20" s="94"/>
      <c r="L20" s="95"/>
      <c r="M20" s="95"/>
      <c r="N20" s="95"/>
      <c r="O20" s="95"/>
    </row>
    <row r="21" spans="1:15" ht="15" customHeight="1">
      <c r="A21" s="95"/>
      <c r="B21" s="112">
        <v>2014</v>
      </c>
      <c r="C21" s="113"/>
      <c r="D21" s="113">
        <f t="shared" ref="D21:D42" si="0">ROUND(E$43+H$43*(B21-$C$4),0)</f>
        <v>265</v>
      </c>
      <c r="E21" s="113"/>
      <c r="F21" s="113">
        <v>0</v>
      </c>
      <c r="G21" s="113"/>
      <c r="H21" s="113">
        <f t="shared" ref="H21:H42" si="1">ROUND(D21*(1+F21),0)</f>
        <v>265</v>
      </c>
      <c r="I21" s="113"/>
      <c r="J21" s="114">
        <v>0</v>
      </c>
      <c r="K21" s="114"/>
      <c r="L21" s="95"/>
      <c r="M21" s="95"/>
      <c r="N21" s="95"/>
      <c r="O21" s="95"/>
    </row>
    <row r="22" spans="1:15" ht="15" customHeight="1">
      <c r="A22" s="95"/>
      <c r="B22" s="115">
        <v>2015</v>
      </c>
      <c r="C22" s="116"/>
      <c r="D22" s="116">
        <f t="shared" si="0"/>
        <v>252</v>
      </c>
      <c r="E22" s="116"/>
      <c r="F22" s="116">
        <v>0</v>
      </c>
      <c r="G22" s="116"/>
      <c r="H22" s="116">
        <f t="shared" si="1"/>
        <v>252</v>
      </c>
      <c r="I22" s="116"/>
      <c r="J22" s="117">
        <v>0</v>
      </c>
      <c r="K22" s="117"/>
      <c r="L22" s="95"/>
      <c r="M22" s="95"/>
      <c r="N22" s="95"/>
      <c r="O22" s="95"/>
    </row>
    <row r="23" spans="1:15" ht="15" customHeight="1">
      <c r="A23" s="95"/>
      <c r="B23" s="112">
        <v>2016</v>
      </c>
      <c r="C23" s="113"/>
      <c r="D23" s="113">
        <f t="shared" si="0"/>
        <v>240</v>
      </c>
      <c r="E23" s="113"/>
      <c r="F23" s="113">
        <v>0</v>
      </c>
      <c r="G23" s="113"/>
      <c r="H23" s="113">
        <f t="shared" si="1"/>
        <v>240</v>
      </c>
      <c r="I23" s="113"/>
      <c r="J23" s="114">
        <v>0</v>
      </c>
      <c r="K23" s="114"/>
      <c r="L23" s="95"/>
      <c r="M23" s="95"/>
      <c r="N23" s="95"/>
      <c r="O23" s="95"/>
    </row>
    <row r="24" spans="1:15" ht="15" customHeight="1">
      <c r="A24" s="95"/>
      <c r="B24" s="112">
        <v>2017</v>
      </c>
      <c r="C24" s="113"/>
      <c r="D24" s="113">
        <f t="shared" si="0"/>
        <v>227</v>
      </c>
      <c r="E24" s="113"/>
      <c r="F24" s="113">
        <v>0</v>
      </c>
      <c r="G24" s="113"/>
      <c r="H24" s="113">
        <f t="shared" si="1"/>
        <v>227</v>
      </c>
      <c r="I24" s="113"/>
      <c r="J24" s="114">
        <v>0</v>
      </c>
      <c r="K24" s="114"/>
      <c r="L24" s="95"/>
      <c r="M24" s="95"/>
      <c r="N24" s="95"/>
      <c r="O24" s="95"/>
    </row>
    <row r="25" spans="1:15" ht="15" customHeight="1">
      <c r="A25" s="95"/>
      <c r="B25" s="112">
        <v>2018</v>
      </c>
      <c r="C25" s="113"/>
      <c r="D25" s="113">
        <f t="shared" si="0"/>
        <v>215</v>
      </c>
      <c r="E25" s="113"/>
      <c r="F25" s="113">
        <v>0</v>
      </c>
      <c r="G25" s="113"/>
      <c r="H25" s="113">
        <f t="shared" si="1"/>
        <v>215</v>
      </c>
      <c r="I25" s="113"/>
      <c r="J25" s="114">
        <v>0</v>
      </c>
      <c r="K25" s="114"/>
      <c r="L25" s="95"/>
      <c r="M25" s="95"/>
      <c r="N25" s="95"/>
      <c r="O25" s="95"/>
    </row>
    <row r="26" spans="1:15" ht="15" customHeight="1">
      <c r="A26" s="95"/>
      <c r="B26" s="112">
        <v>2019</v>
      </c>
      <c r="C26" s="113"/>
      <c r="D26" s="113">
        <f t="shared" si="0"/>
        <v>202</v>
      </c>
      <c r="E26" s="113"/>
      <c r="F26" s="113">
        <v>0</v>
      </c>
      <c r="G26" s="113"/>
      <c r="H26" s="113">
        <f t="shared" si="1"/>
        <v>202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2020</v>
      </c>
      <c r="C27" s="116"/>
      <c r="D27" s="116">
        <f t="shared" si="0"/>
        <v>190</v>
      </c>
      <c r="E27" s="116"/>
      <c r="F27" s="116">
        <v>0</v>
      </c>
      <c r="G27" s="116"/>
      <c r="H27" s="116">
        <f t="shared" si="1"/>
        <v>190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2021</v>
      </c>
      <c r="C28" s="113"/>
      <c r="D28" s="113">
        <f t="shared" si="0"/>
        <v>177</v>
      </c>
      <c r="E28" s="113"/>
      <c r="F28" s="113">
        <v>0</v>
      </c>
      <c r="G28" s="113"/>
      <c r="H28" s="113">
        <f t="shared" si="1"/>
        <v>177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2022</v>
      </c>
      <c r="C29" s="113"/>
      <c r="D29" s="113">
        <f t="shared" si="0"/>
        <v>165</v>
      </c>
      <c r="E29" s="113"/>
      <c r="F29" s="113">
        <v>0</v>
      </c>
      <c r="G29" s="113"/>
      <c r="H29" s="113">
        <f t="shared" si="1"/>
        <v>165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2023</v>
      </c>
      <c r="C30" s="113"/>
      <c r="D30" s="113">
        <f t="shared" si="0"/>
        <v>152</v>
      </c>
      <c r="E30" s="113"/>
      <c r="F30" s="113">
        <v>0</v>
      </c>
      <c r="G30" s="113"/>
      <c r="H30" s="113">
        <f t="shared" si="1"/>
        <v>152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2024</v>
      </c>
      <c r="C31" s="113"/>
      <c r="D31" s="113">
        <f t="shared" si="0"/>
        <v>140</v>
      </c>
      <c r="E31" s="113"/>
      <c r="F31" s="113">
        <v>0</v>
      </c>
      <c r="G31" s="113"/>
      <c r="H31" s="113">
        <f t="shared" si="1"/>
        <v>140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2025</v>
      </c>
      <c r="C32" s="116"/>
      <c r="D32" s="116">
        <f t="shared" si="0"/>
        <v>127</v>
      </c>
      <c r="E32" s="116"/>
      <c r="F32" s="116">
        <v>0</v>
      </c>
      <c r="G32" s="116"/>
      <c r="H32" s="116">
        <f t="shared" si="1"/>
        <v>127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2026</v>
      </c>
      <c r="C33" s="113"/>
      <c r="D33" s="113">
        <f t="shared" si="0"/>
        <v>115</v>
      </c>
      <c r="E33" s="113"/>
      <c r="F33" s="113">
        <v>0</v>
      </c>
      <c r="G33" s="113"/>
      <c r="H33" s="113">
        <f t="shared" si="1"/>
        <v>115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2027</v>
      </c>
      <c r="C34" s="113"/>
      <c r="D34" s="113">
        <f t="shared" si="0"/>
        <v>102</v>
      </c>
      <c r="E34" s="113"/>
      <c r="F34" s="113">
        <v>0</v>
      </c>
      <c r="G34" s="113"/>
      <c r="H34" s="113">
        <f t="shared" si="1"/>
        <v>102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2028</v>
      </c>
      <c r="C35" s="113"/>
      <c r="D35" s="113">
        <f t="shared" si="0"/>
        <v>90</v>
      </c>
      <c r="E35" s="113"/>
      <c r="F35" s="113">
        <v>0</v>
      </c>
      <c r="G35" s="113"/>
      <c r="H35" s="113">
        <f t="shared" si="1"/>
        <v>90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2029</v>
      </c>
      <c r="C36" s="113"/>
      <c r="D36" s="113">
        <f t="shared" si="0"/>
        <v>77</v>
      </c>
      <c r="E36" s="113"/>
      <c r="F36" s="113">
        <v>0</v>
      </c>
      <c r="G36" s="113"/>
      <c r="H36" s="113">
        <f t="shared" si="1"/>
        <v>77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2030</v>
      </c>
      <c r="C37" s="116"/>
      <c r="D37" s="116">
        <f t="shared" si="0"/>
        <v>65</v>
      </c>
      <c r="E37" s="116"/>
      <c r="F37" s="116">
        <v>0</v>
      </c>
      <c r="G37" s="116"/>
      <c r="H37" s="116">
        <f t="shared" si="1"/>
        <v>65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2031</v>
      </c>
      <c r="C38" s="113"/>
      <c r="D38" s="113">
        <f t="shared" si="0"/>
        <v>52</v>
      </c>
      <c r="E38" s="113"/>
      <c r="F38" s="113">
        <v>0</v>
      </c>
      <c r="G38" s="113"/>
      <c r="H38" s="113">
        <f t="shared" si="1"/>
        <v>52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2032</v>
      </c>
      <c r="C39" s="113"/>
      <c r="D39" s="113">
        <f t="shared" si="0"/>
        <v>40</v>
      </c>
      <c r="E39" s="113"/>
      <c r="F39" s="113">
        <v>0</v>
      </c>
      <c r="G39" s="113"/>
      <c r="H39" s="113">
        <f t="shared" si="1"/>
        <v>40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2033</v>
      </c>
      <c r="C40" s="113"/>
      <c r="D40" s="113">
        <f t="shared" si="0"/>
        <v>27</v>
      </c>
      <c r="E40" s="113"/>
      <c r="F40" s="113">
        <v>0</v>
      </c>
      <c r="G40" s="113"/>
      <c r="H40" s="113">
        <f t="shared" si="1"/>
        <v>27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2034</v>
      </c>
      <c r="C41" s="113"/>
      <c r="D41" s="113">
        <f t="shared" si="0"/>
        <v>15</v>
      </c>
      <c r="E41" s="113"/>
      <c r="F41" s="113">
        <v>0</v>
      </c>
      <c r="G41" s="113"/>
      <c r="H41" s="113">
        <f t="shared" si="1"/>
        <v>15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 thickBot="1">
      <c r="A42" s="95"/>
      <c r="B42" s="115">
        <v>2035</v>
      </c>
      <c r="C42" s="116"/>
      <c r="D42" s="116">
        <f t="shared" si="0"/>
        <v>2</v>
      </c>
      <c r="E42" s="116"/>
      <c r="F42" s="116">
        <v>0</v>
      </c>
      <c r="G42" s="116"/>
      <c r="H42" s="116">
        <f t="shared" si="1"/>
        <v>2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8" t="s">
        <v>160</v>
      </c>
      <c r="C43" s="118"/>
      <c r="D43" s="119" t="s">
        <v>161</v>
      </c>
      <c r="E43" s="120">
        <f>D$11</f>
        <v>277</v>
      </c>
      <c r="F43" s="121"/>
      <c r="G43" s="119" t="s">
        <v>162</v>
      </c>
      <c r="H43" s="119">
        <f>ROUND((D$11-D$7)/(COUNT(D$7:D$11)-1),1)</f>
        <v>-12.5</v>
      </c>
      <c r="I43" s="119"/>
      <c r="J43" s="119" t="s">
        <v>163</v>
      </c>
      <c r="K43" s="122" t="s">
        <v>164</v>
      </c>
      <c r="L43" s="95"/>
      <c r="M43" s="95"/>
      <c r="N43" s="95"/>
      <c r="O43" s="95"/>
    </row>
    <row r="44" spans="1:15" ht="15" customHeight="1">
      <c r="A44" s="95"/>
      <c r="B44" s="123"/>
      <c r="C44" s="123"/>
      <c r="D44" s="124"/>
      <c r="E44" s="125"/>
      <c r="F44" s="126"/>
      <c r="G44" s="124"/>
      <c r="H44" s="124"/>
      <c r="I44" s="124"/>
      <c r="J44" s="124"/>
      <c r="K44" s="127"/>
      <c r="L44" s="95"/>
      <c r="M44" s="95"/>
      <c r="N44" s="95"/>
      <c r="O44" s="95"/>
    </row>
    <row r="45" spans="1:15" ht="1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1:15" ht="1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1:15" ht="15" customHeight="1">
      <c r="A47" s="95"/>
      <c r="B47" s="110" t="s">
        <v>165</v>
      </c>
      <c r="C47" s="111"/>
      <c r="D47" s="111"/>
      <c r="E47" s="111"/>
      <c r="F47" s="111"/>
      <c r="G47" s="111"/>
      <c r="H47" s="95"/>
      <c r="I47" s="95"/>
      <c r="J47" s="95"/>
      <c r="K47" s="95"/>
      <c r="L47" s="95"/>
      <c r="M47" s="95"/>
      <c r="N47" s="95"/>
      <c r="O47" s="95"/>
    </row>
    <row r="48" spans="1:15" ht="15" customHeight="1">
      <c r="A48" s="95"/>
      <c r="B48" s="95"/>
      <c r="C48" s="111" t="s">
        <v>166</v>
      </c>
      <c r="D48" s="111" t="s">
        <v>167</v>
      </c>
      <c r="E48" s="111"/>
      <c r="F48" s="111"/>
      <c r="G48" s="111"/>
      <c r="H48" s="95"/>
      <c r="I48" s="95"/>
      <c r="J48" s="95"/>
      <c r="K48" s="95"/>
      <c r="L48" s="95"/>
      <c r="M48" s="95"/>
      <c r="N48" s="95"/>
      <c r="O48" s="95"/>
    </row>
    <row r="49" spans="1:15" ht="15" customHeight="1">
      <c r="A49" s="95"/>
      <c r="B49" s="93"/>
      <c r="C49" s="93" t="s">
        <v>150</v>
      </c>
      <c r="D49" s="111" t="s">
        <v>151</v>
      </c>
      <c r="E49" s="93"/>
      <c r="F49" s="93"/>
      <c r="G49" s="93"/>
      <c r="H49" s="95"/>
      <c r="I49" s="95"/>
      <c r="J49" s="95"/>
      <c r="K49" s="95"/>
      <c r="L49" s="95"/>
      <c r="M49" s="95"/>
      <c r="N49" s="95"/>
      <c r="O49" s="95"/>
    </row>
    <row r="50" spans="1:15" ht="15" customHeight="1">
      <c r="A50" s="95"/>
      <c r="B50" s="111"/>
      <c r="C50" s="111"/>
      <c r="D50" s="111" t="s">
        <v>170</v>
      </c>
      <c r="E50" s="111"/>
      <c r="F50" s="111"/>
      <c r="G50" s="111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111"/>
      <c r="C51" s="111"/>
      <c r="D51" s="111" t="s">
        <v>171</v>
      </c>
      <c r="E51" s="111"/>
      <c r="F51" s="111"/>
      <c r="G51" s="111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15" ht="15" customHeight="1" thickBot="1">
      <c r="A53" s="95"/>
      <c r="B53" s="95"/>
      <c r="C53" s="95"/>
      <c r="D53" s="95"/>
      <c r="E53" s="95"/>
      <c r="F53" s="100" t="s">
        <v>172</v>
      </c>
      <c r="G53" s="100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4" t="s">
        <v>141</v>
      </c>
      <c r="C54" s="94"/>
      <c r="D54" s="94" t="s">
        <v>174</v>
      </c>
      <c r="E54" s="94"/>
      <c r="F54" s="94" t="s">
        <v>157</v>
      </c>
      <c r="G54" s="94"/>
      <c r="H54" s="94" t="s">
        <v>176</v>
      </c>
      <c r="I54" s="94"/>
      <c r="J54" s="94" t="s">
        <v>144</v>
      </c>
      <c r="K54" s="94"/>
      <c r="L54" s="95"/>
      <c r="M54" s="95"/>
      <c r="N54" s="95"/>
      <c r="O54" s="95"/>
    </row>
    <row r="55" spans="1:15" ht="15" customHeight="1">
      <c r="A55" s="95"/>
      <c r="B55" s="112">
        <v>2014</v>
      </c>
      <c r="C55" s="113"/>
      <c r="D55" s="113">
        <f t="shared" ref="D55:D76" si="2">ROUND(E$77*H$77^(B55-$C$4),0)</f>
        <v>266</v>
      </c>
      <c r="E55" s="113"/>
      <c r="F55" s="113">
        <v>0</v>
      </c>
      <c r="G55" s="113"/>
      <c r="H55" s="113">
        <f t="shared" ref="H55:H76" si="3">ROUND(D55*(1+F55),0)</f>
        <v>266</v>
      </c>
      <c r="I55" s="113"/>
      <c r="J55" s="114">
        <v>0</v>
      </c>
      <c r="K55" s="114"/>
      <c r="L55" s="95"/>
      <c r="M55" s="95"/>
      <c r="N55" s="95"/>
      <c r="O55" s="95"/>
    </row>
    <row r="56" spans="1:15" ht="15" customHeight="1">
      <c r="A56" s="95"/>
      <c r="B56" s="115">
        <v>2015</v>
      </c>
      <c r="C56" s="116"/>
      <c r="D56" s="116">
        <f t="shared" si="2"/>
        <v>255</v>
      </c>
      <c r="E56" s="116"/>
      <c r="F56" s="116">
        <v>0</v>
      </c>
      <c r="G56" s="116"/>
      <c r="H56" s="116">
        <f t="shared" si="3"/>
        <v>255</v>
      </c>
      <c r="I56" s="116"/>
      <c r="J56" s="117">
        <v>0</v>
      </c>
      <c r="K56" s="117"/>
      <c r="L56" s="95"/>
      <c r="M56" s="95"/>
      <c r="N56" s="95"/>
      <c r="O56" s="95"/>
    </row>
    <row r="57" spans="1:15" ht="15" customHeight="1">
      <c r="A57" s="95"/>
      <c r="B57" s="112">
        <v>2016</v>
      </c>
      <c r="C57" s="113"/>
      <c r="D57" s="113">
        <f t="shared" si="2"/>
        <v>245</v>
      </c>
      <c r="E57" s="113"/>
      <c r="F57" s="113">
        <v>0</v>
      </c>
      <c r="G57" s="113"/>
      <c r="H57" s="113">
        <f t="shared" si="3"/>
        <v>245</v>
      </c>
      <c r="I57" s="113"/>
      <c r="J57" s="114">
        <v>0</v>
      </c>
      <c r="K57" s="114"/>
      <c r="L57" s="95"/>
      <c r="M57" s="95"/>
      <c r="N57" s="95"/>
      <c r="O57" s="95"/>
    </row>
    <row r="58" spans="1:15" ht="15" customHeight="1">
      <c r="A58" s="95"/>
      <c r="B58" s="112">
        <v>2017</v>
      </c>
      <c r="C58" s="113"/>
      <c r="D58" s="113">
        <f t="shared" si="2"/>
        <v>235</v>
      </c>
      <c r="E58" s="113"/>
      <c r="F58" s="113">
        <v>0</v>
      </c>
      <c r="G58" s="113"/>
      <c r="H58" s="113">
        <f t="shared" si="3"/>
        <v>235</v>
      </c>
      <c r="I58" s="113"/>
      <c r="J58" s="114">
        <v>0</v>
      </c>
      <c r="K58" s="114"/>
      <c r="L58" s="95"/>
      <c r="M58" s="95"/>
      <c r="N58" s="95"/>
      <c r="O58" s="95"/>
    </row>
    <row r="59" spans="1:15" ht="15" customHeight="1">
      <c r="A59" s="95"/>
      <c r="B59" s="112">
        <v>2018</v>
      </c>
      <c r="C59" s="113"/>
      <c r="D59" s="113">
        <f t="shared" si="2"/>
        <v>225</v>
      </c>
      <c r="E59" s="113"/>
      <c r="F59" s="113">
        <v>0</v>
      </c>
      <c r="G59" s="113"/>
      <c r="H59" s="113">
        <f t="shared" si="3"/>
        <v>225</v>
      </c>
      <c r="I59" s="113"/>
      <c r="J59" s="114">
        <v>0</v>
      </c>
      <c r="K59" s="114"/>
      <c r="L59" s="95"/>
      <c r="M59" s="95"/>
      <c r="N59" s="95"/>
      <c r="O59" s="95"/>
    </row>
    <row r="60" spans="1:15" ht="15" customHeight="1">
      <c r="A60" s="95"/>
      <c r="B60" s="112">
        <v>2019</v>
      </c>
      <c r="C60" s="113"/>
      <c r="D60" s="113">
        <f t="shared" si="2"/>
        <v>216</v>
      </c>
      <c r="E60" s="113"/>
      <c r="F60" s="113">
        <v>0</v>
      </c>
      <c r="G60" s="113"/>
      <c r="H60" s="113">
        <f t="shared" si="3"/>
        <v>216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2020</v>
      </c>
      <c r="C61" s="116"/>
      <c r="D61" s="116">
        <f t="shared" si="2"/>
        <v>207</v>
      </c>
      <c r="E61" s="116"/>
      <c r="F61" s="116">
        <v>0</v>
      </c>
      <c r="G61" s="116"/>
      <c r="H61" s="116">
        <f t="shared" si="3"/>
        <v>207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2021</v>
      </c>
      <c r="C62" s="113"/>
      <c r="D62" s="113">
        <f t="shared" si="2"/>
        <v>199</v>
      </c>
      <c r="E62" s="113"/>
      <c r="F62" s="113">
        <v>0</v>
      </c>
      <c r="G62" s="113"/>
      <c r="H62" s="113">
        <f t="shared" si="3"/>
        <v>199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2022</v>
      </c>
      <c r="C63" s="113"/>
      <c r="D63" s="113">
        <f t="shared" si="2"/>
        <v>191</v>
      </c>
      <c r="E63" s="113"/>
      <c r="F63" s="113">
        <v>0</v>
      </c>
      <c r="G63" s="113"/>
      <c r="H63" s="113">
        <f t="shared" si="3"/>
        <v>191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2023</v>
      </c>
      <c r="C64" s="113"/>
      <c r="D64" s="113">
        <f t="shared" si="2"/>
        <v>183</v>
      </c>
      <c r="E64" s="113"/>
      <c r="F64" s="113">
        <v>0</v>
      </c>
      <c r="G64" s="113"/>
      <c r="H64" s="113">
        <f t="shared" si="3"/>
        <v>183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2024</v>
      </c>
      <c r="C65" s="113"/>
      <c r="D65" s="113">
        <f t="shared" si="2"/>
        <v>176</v>
      </c>
      <c r="E65" s="113"/>
      <c r="F65" s="113">
        <v>0</v>
      </c>
      <c r="G65" s="113"/>
      <c r="H65" s="113">
        <f t="shared" si="3"/>
        <v>176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2025</v>
      </c>
      <c r="C66" s="116"/>
      <c r="D66" s="116">
        <f t="shared" si="2"/>
        <v>168</v>
      </c>
      <c r="E66" s="116"/>
      <c r="F66" s="116">
        <v>0</v>
      </c>
      <c r="G66" s="116"/>
      <c r="H66" s="116">
        <f t="shared" si="3"/>
        <v>168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2026</v>
      </c>
      <c r="C67" s="113"/>
      <c r="D67" s="113">
        <f t="shared" si="2"/>
        <v>162</v>
      </c>
      <c r="E67" s="113"/>
      <c r="F67" s="113">
        <v>0</v>
      </c>
      <c r="G67" s="113"/>
      <c r="H67" s="113">
        <f t="shared" si="3"/>
        <v>162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2027</v>
      </c>
      <c r="C68" s="113"/>
      <c r="D68" s="113">
        <f t="shared" si="2"/>
        <v>155</v>
      </c>
      <c r="E68" s="113"/>
      <c r="F68" s="113">
        <v>0</v>
      </c>
      <c r="G68" s="113"/>
      <c r="H68" s="113">
        <f t="shared" si="3"/>
        <v>155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2028</v>
      </c>
      <c r="C69" s="113"/>
      <c r="D69" s="113">
        <f t="shared" si="2"/>
        <v>149</v>
      </c>
      <c r="E69" s="113"/>
      <c r="F69" s="113">
        <v>0</v>
      </c>
      <c r="G69" s="113"/>
      <c r="H69" s="113">
        <f t="shared" si="3"/>
        <v>149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2029</v>
      </c>
      <c r="C70" s="113"/>
      <c r="D70" s="113">
        <f t="shared" si="2"/>
        <v>143</v>
      </c>
      <c r="E70" s="113"/>
      <c r="F70" s="113">
        <v>0</v>
      </c>
      <c r="G70" s="113"/>
      <c r="H70" s="113">
        <f t="shared" si="3"/>
        <v>143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2030</v>
      </c>
      <c r="C71" s="116"/>
      <c r="D71" s="116">
        <f t="shared" si="2"/>
        <v>137</v>
      </c>
      <c r="E71" s="116"/>
      <c r="F71" s="116">
        <v>0</v>
      </c>
      <c r="G71" s="116"/>
      <c r="H71" s="116">
        <f t="shared" si="3"/>
        <v>137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2031</v>
      </c>
      <c r="C72" s="113"/>
      <c r="D72" s="113">
        <f t="shared" si="2"/>
        <v>131</v>
      </c>
      <c r="E72" s="113"/>
      <c r="F72" s="113">
        <v>0</v>
      </c>
      <c r="G72" s="113"/>
      <c r="H72" s="113">
        <f t="shared" si="3"/>
        <v>131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2032</v>
      </c>
      <c r="C73" s="113"/>
      <c r="D73" s="113">
        <f t="shared" si="2"/>
        <v>126</v>
      </c>
      <c r="E73" s="113"/>
      <c r="F73" s="113">
        <v>0</v>
      </c>
      <c r="G73" s="113"/>
      <c r="H73" s="113">
        <f t="shared" si="3"/>
        <v>126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2033</v>
      </c>
      <c r="C74" s="113"/>
      <c r="D74" s="113">
        <f t="shared" si="2"/>
        <v>121</v>
      </c>
      <c r="E74" s="113"/>
      <c r="F74" s="113">
        <v>0</v>
      </c>
      <c r="G74" s="113"/>
      <c r="H74" s="113">
        <f t="shared" si="3"/>
        <v>121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2034</v>
      </c>
      <c r="C75" s="113"/>
      <c r="D75" s="113">
        <f t="shared" si="2"/>
        <v>116</v>
      </c>
      <c r="E75" s="113"/>
      <c r="F75" s="113">
        <v>0</v>
      </c>
      <c r="G75" s="113"/>
      <c r="H75" s="113">
        <f t="shared" si="3"/>
        <v>116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 thickBot="1">
      <c r="A76" s="95"/>
      <c r="B76" s="115">
        <v>2035</v>
      </c>
      <c r="C76" s="116"/>
      <c r="D76" s="116">
        <f t="shared" si="2"/>
        <v>111</v>
      </c>
      <c r="E76" s="116"/>
      <c r="F76" s="116">
        <v>0</v>
      </c>
      <c r="G76" s="116"/>
      <c r="H76" s="116">
        <f t="shared" si="3"/>
        <v>111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8" t="s">
        <v>177</v>
      </c>
      <c r="C77" s="118"/>
      <c r="D77" s="119" t="s">
        <v>161</v>
      </c>
      <c r="E77" s="120">
        <f>D$11</f>
        <v>277</v>
      </c>
      <c r="F77" s="121"/>
      <c r="G77" s="119" t="s">
        <v>179</v>
      </c>
      <c r="H77" s="119">
        <f>ROUND((E$77/D$7)^(1/(COUNT(D$7:D$11)-1)),6)</f>
        <v>0.95936299999999997</v>
      </c>
      <c r="I77" s="119"/>
      <c r="J77" s="119" t="s">
        <v>163</v>
      </c>
      <c r="K77" s="122" t="s">
        <v>164</v>
      </c>
      <c r="L77" s="95"/>
      <c r="M77" s="95"/>
      <c r="N77" s="95"/>
      <c r="O77" s="95"/>
    </row>
    <row r="78" spans="1:15" ht="1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1:15" ht="1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1:15" ht="1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</row>
    <row r="81" spans="1:15" ht="1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</row>
    <row r="82" spans="1:15" ht="1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110" t="s">
        <v>182</v>
      </c>
      <c r="C87" s="111"/>
      <c r="D87" s="111"/>
      <c r="E87" s="111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111" t="s">
        <v>148</v>
      </c>
      <c r="D88" s="111" t="s">
        <v>184</v>
      </c>
      <c r="E88" s="111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111"/>
      <c r="C89" s="128" t="s">
        <v>185</v>
      </c>
      <c r="D89" s="111" t="s">
        <v>186</v>
      </c>
      <c r="E89" s="93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111"/>
      <c r="C90" s="111"/>
      <c r="D90" s="111" t="s">
        <v>187</v>
      </c>
      <c r="E90" s="111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3"/>
      <c r="C91" s="111"/>
      <c r="D91" s="111" t="s">
        <v>188</v>
      </c>
      <c r="E91" s="111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 thickBot="1">
      <c r="A92" s="95"/>
      <c r="B92" s="95"/>
      <c r="C92" s="95"/>
      <c r="D92" s="95"/>
      <c r="E92" s="95"/>
      <c r="F92" s="100" t="s">
        <v>189</v>
      </c>
      <c r="G92" s="100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4" t="s">
        <v>190</v>
      </c>
      <c r="C93" s="94"/>
      <c r="D93" s="94" t="s">
        <v>191</v>
      </c>
      <c r="E93" s="94" t="s">
        <v>192</v>
      </c>
      <c r="F93" s="94" t="s">
        <v>193</v>
      </c>
      <c r="G93" s="94"/>
      <c r="H93" s="94" t="s">
        <v>194</v>
      </c>
      <c r="I93" s="94"/>
      <c r="J93" s="94" t="s">
        <v>53</v>
      </c>
      <c r="K93" s="94"/>
      <c r="L93" s="95"/>
      <c r="M93" s="95"/>
      <c r="N93" s="95"/>
      <c r="O93" s="95"/>
    </row>
    <row r="94" spans="1:15" ht="15" customHeight="1">
      <c r="A94" s="95"/>
      <c r="B94" s="96">
        <f>B7</f>
        <v>2010</v>
      </c>
      <c r="C94" s="96"/>
      <c r="D94" s="100">
        <f>VLOOKUP(B94,B$7:E$11,3,FALSE)</f>
        <v>327</v>
      </c>
      <c r="E94" s="96">
        <f>((COUNT(B$94:B$98)-1)/2)+(B94-$C$4)</f>
        <v>-1</v>
      </c>
      <c r="F94" s="100">
        <f>E94^2</f>
        <v>1</v>
      </c>
      <c r="G94" s="98"/>
      <c r="H94" s="130">
        <f>ROUND(D94*E94,2)</f>
        <v>-327</v>
      </c>
      <c r="I94" s="131"/>
      <c r="J94" s="102">
        <v>0</v>
      </c>
      <c r="K94" s="102"/>
      <c r="L94" s="95"/>
      <c r="M94" s="95"/>
      <c r="N94" s="95"/>
      <c r="O94" s="95"/>
    </row>
    <row r="95" spans="1:15" ht="15" customHeight="1">
      <c r="A95" s="95"/>
      <c r="B95" s="96">
        <f>B8</f>
        <v>2011</v>
      </c>
      <c r="C95" s="96"/>
      <c r="D95" s="100">
        <f>VLOOKUP(B95,B$7:E$11,3,FALSE)</f>
        <v>230</v>
      </c>
      <c r="E95" s="96">
        <f>((COUNT(B$94:B$98)-1)/2)+(B95-$C$4)</f>
        <v>0</v>
      </c>
      <c r="F95" s="100">
        <f>E95^2</f>
        <v>0</v>
      </c>
      <c r="G95" s="98"/>
      <c r="H95" s="130">
        <f>ROUND(D95*E95,2)</f>
        <v>0</v>
      </c>
      <c r="I95" s="131"/>
      <c r="J95" s="102">
        <v>0</v>
      </c>
      <c r="K95" s="102"/>
      <c r="L95" s="95"/>
      <c r="M95" s="95"/>
      <c r="N95" s="95"/>
      <c r="O95" s="95"/>
    </row>
    <row r="96" spans="1:15" ht="15" customHeight="1">
      <c r="A96" s="95"/>
      <c r="B96" s="96">
        <f>B9</f>
        <v>2012</v>
      </c>
      <c r="C96" s="96"/>
      <c r="D96" s="100">
        <f>VLOOKUP(B96,B$7:E$11,3,FALSE)</f>
        <v>215</v>
      </c>
      <c r="E96" s="96">
        <f>((COUNT(B$94:B$98)-1)/2)+(B96-$C$4)</f>
        <v>1</v>
      </c>
      <c r="F96" s="100">
        <f>E96^2</f>
        <v>1</v>
      </c>
      <c r="G96" s="98"/>
      <c r="H96" s="130">
        <f>ROUND(D96*E96,2)</f>
        <v>215</v>
      </c>
      <c r="I96" s="131"/>
      <c r="J96" s="102">
        <v>0</v>
      </c>
      <c r="K96" s="102"/>
      <c r="L96" s="95"/>
      <c r="M96" s="95"/>
      <c r="N96" s="95"/>
      <c r="O96" s="95"/>
    </row>
    <row r="97" spans="1:15" ht="15" customHeight="1">
      <c r="A97" s="95"/>
      <c r="B97" s="96">
        <f>B10</f>
        <v>2013</v>
      </c>
      <c r="C97" s="96"/>
      <c r="D97" s="100">
        <f>VLOOKUP(B97,B$7:E$11,3,FALSE)</f>
        <v>226</v>
      </c>
      <c r="E97" s="96">
        <f>((COUNT(B$94:B$98)-1)/2)+(B97-$C$4)</f>
        <v>2</v>
      </c>
      <c r="F97" s="100">
        <f>E97^2</f>
        <v>4</v>
      </c>
      <c r="G97" s="98"/>
      <c r="H97" s="130">
        <f>ROUND(D97*E97,2)</f>
        <v>452</v>
      </c>
      <c r="I97" s="131"/>
      <c r="J97" s="102">
        <v>0</v>
      </c>
      <c r="K97" s="102"/>
      <c r="L97" s="95"/>
      <c r="M97" s="95"/>
      <c r="N97" s="95"/>
      <c r="O97" s="95"/>
    </row>
    <row r="98" spans="1:15" ht="15" customHeight="1">
      <c r="A98" s="95"/>
      <c r="B98" s="96">
        <f>B11</f>
        <v>2014</v>
      </c>
      <c r="C98" s="96"/>
      <c r="D98" s="100">
        <f>VLOOKUP(B98,B$7:E$11,3,FALSE)</f>
        <v>277</v>
      </c>
      <c r="E98" s="96">
        <f>((COUNT(B$94:B$98)-1)/2)+(B98-$C$4)</f>
        <v>3</v>
      </c>
      <c r="F98" s="100">
        <f>E98^2</f>
        <v>9</v>
      </c>
      <c r="G98" s="98"/>
      <c r="H98" s="130">
        <f>ROUND(D98*E98,2)</f>
        <v>831</v>
      </c>
      <c r="I98" s="131"/>
      <c r="J98" s="102">
        <v>0</v>
      </c>
      <c r="K98" s="102"/>
      <c r="L98" s="95"/>
      <c r="M98" s="95"/>
      <c r="N98" s="95"/>
      <c r="O98" s="95"/>
    </row>
    <row r="99" spans="1:15" ht="15" customHeight="1" thickBot="1">
      <c r="A99" s="95"/>
      <c r="B99" s="103" t="s">
        <v>146</v>
      </c>
      <c r="C99" s="104"/>
      <c r="D99" s="132">
        <f>SUM(D94:D98)</f>
        <v>1275</v>
      </c>
      <c r="E99" s="107"/>
      <c r="F99" s="133">
        <f>ROUND(SUM(F94:F98),0)</f>
        <v>15</v>
      </c>
      <c r="G99" s="104"/>
      <c r="H99" s="103">
        <f>SUM(H94:H98)</f>
        <v>1171</v>
      </c>
      <c r="I99" s="108"/>
      <c r="J99" s="135"/>
      <c r="K99" s="135"/>
      <c r="L99" s="95"/>
      <c r="M99" s="95"/>
      <c r="N99" s="95"/>
      <c r="O99" s="95"/>
    </row>
    <row r="100" spans="1:15" ht="15" customHeight="1">
      <c r="A100" s="95"/>
      <c r="B100" s="100" t="s">
        <v>197</v>
      </c>
      <c r="C100" s="100"/>
      <c r="D100" s="136" t="s">
        <v>198</v>
      </c>
      <c r="E100" s="95"/>
      <c r="F100" s="95"/>
      <c r="G100" s="93">
        <f>((COUNT(B$94:B$98))*H$99-D$99*E$99)/((COUNT(B$94:B$98))*F$99-E$99*E$99)</f>
        <v>78.066666666666663</v>
      </c>
      <c r="H100" s="136" t="s">
        <v>199</v>
      </c>
      <c r="I100" s="93"/>
      <c r="J100" s="93"/>
      <c r="K100" s="93">
        <f>ROUND((F99*D99-H99*E99)/(COUNT(B$94:B$98)*F99-E99*E99),0)</f>
        <v>255</v>
      </c>
      <c r="L100" s="95"/>
      <c r="M100" s="95"/>
      <c r="N100" s="95"/>
      <c r="O100" s="95"/>
    </row>
    <row r="101" spans="1:15" ht="15" customHeight="1">
      <c r="A101" s="95"/>
      <c r="B101" s="123"/>
      <c r="C101" s="123"/>
      <c r="D101" s="137"/>
      <c r="E101" s="93"/>
      <c r="F101" s="126"/>
      <c r="G101" s="124"/>
      <c r="H101" s="95"/>
      <c r="I101" s="124"/>
      <c r="J101" s="124"/>
      <c r="K101" s="127"/>
      <c r="L101" s="95"/>
      <c r="M101" s="95"/>
      <c r="N101" s="95"/>
      <c r="O101" s="95"/>
    </row>
    <row r="102" spans="1:15" ht="15" customHeight="1">
      <c r="A102" s="95"/>
      <c r="B102" s="95"/>
      <c r="C102" s="95"/>
      <c r="D102" s="95"/>
      <c r="E102" s="111"/>
      <c r="F102" s="95"/>
      <c r="G102" s="95"/>
      <c r="H102" s="95"/>
      <c r="I102" s="95"/>
      <c r="J102" s="95"/>
      <c r="K102" s="95"/>
      <c r="L102" s="95"/>
      <c r="M102" s="95"/>
      <c r="N102" s="95"/>
      <c r="O102" s="95"/>
    </row>
    <row r="103" spans="1:15" ht="15" customHeight="1" thickBot="1">
      <c r="A103" s="95"/>
      <c r="B103" s="95"/>
      <c r="C103" s="95"/>
      <c r="D103" s="95"/>
      <c r="E103" s="95"/>
      <c r="F103" s="100" t="s">
        <v>200</v>
      </c>
      <c r="G103" s="100"/>
      <c r="H103" s="95"/>
      <c r="I103" s="95"/>
      <c r="J103" s="95"/>
      <c r="K103" s="95"/>
      <c r="L103" s="95"/>
      <c r="M103" s="95"/>
      <c r="N103" s="95"/>
      <c r="O103" s="95"/>
    </row>
    <row r="104" spans="1:15" ht="15" customHeight="1">
      <c r="A104" s="95"/>
      <c r="B104" s="94" t="s">
        <v>141</v>
      </c>
      <c r="C104" s="94"/>
      <c r="D104" s="94" t="s">
        <v>174</v>
      </c>
      <c r="E104" s="94"/>
      <c r="F104" s="94" t="s">
        <v>157</v>
      </c>
      <c r="G104" s="94"/>
      <c r="H104" s="94" t="s">
        <v>158</v>
      </c>
      <c r="I104" s="94"/>
      <c r="J104" s="94" t="s">
        <v>53</v>
      </c>
      <c r="K104" s="94"/>
      <c r="L104" s="95"/>
      <c r="M104" s="95"/>
      <c r="N104" s="95"/>
      <c r="O104" s="95"/>
    </row>
    <row r="105" spans="1:15" ht="15" customHeight="1">
      <c r="A105" s="95"/>
      <c r="B105" s="112">
        <v>2014</v>
      </c>
      <c r="C105" s="113"/>
      <c r="D105" s="113">
        <f t="shared" ref="D105:D126" si="4">ROUNDUP(G$100*(B105-B$98+E$98)+K$100,0)</f>
        <v>490</v>
      </c>
      <c r="E105" s="113"/>
      <c r="F105" s="113">
        <v>0</v>
      </c>
      <c r="G105" s="113"/>
      <c r="H105" s="113">
        <f t="shared" ref="H105:H126" si="5">ROUND(D105*(1+F105),0)</f>
        <v>490</v>
      </c>
      <c r="I105" s="113"/>
      <c r="J105" s="114">
        <v>0</v>
      </c>
      <c r="K105" s="114"/>
      <c r="L105" s="95"/>
      <c r="M105" s="95"/>
      <c r="N105" s="95"/>
      <c r="O105" s="95"/>
    </row>
    <row r="106" spans="1:15" ht="15" customHeight="1">
      <c r="A106" s="95"/>
      <c r="B106" s="115">
        <v>2015</v>
      </c>
      <c r="C106" s="116"/>
      <c r="D106" s="116">
        <f t="shared" si="4"/>
        <v>568</v>
      </c>
      <c r="E106" s="116"/>
      <c r="F106" s="116">
        <v>0</v>
      </c>
      <c r="G106" s="116"/>
      <c r="H106" s="116">
        <f t="shared" si="5"/>
        <v>568</v>
      </c>
      <c r="I106" s="116"/>
      <c r="J106" s="117">
        <v>0</v>
      </c>
      <c r="K106" s="117"/>
      <c r="L106" s="95"/>
      <c r="M106" s="95"/>
      <c r="N106" s="95"/>
      <c r="O106" s="95"/>
    </row>
    <row r="107" spans="1:15" ht="15" customHeight="1">
      <c r="A107" s="95"/>
      <c r="B107" s="112">
        <v>2016</v>
      </c>
      <c r="C107" s="113"/>
      <c r="D107" s="113">
        <f t="shared" si="4"/>
        <v>646</v>
      </c>
      <c r="E107" s="113"/>
      <c r="F107" s="113">
        <v>0</v>
      </c>
      <c r="G107" s="113"/>
      <c r="H107" s="113">
        <f t="shared" si="5"/>
        <v>646</v>
      </c>
      <c r="I107" s="113"/>
      <c r="J107" s="114">
        <v>0</v>
      </c>
      <c r="K107" s="114"/>
      <c r="L107" s="95"/>
      <c r="M107" s="95"/>
      <c r="N107" s="95"/>
      <c r="O107" s="95"/>
    </row>
    <row r="108" spans="1:15" ht="15" customHeight="1">
      <c r="A108" s="95"/>
      <c r="B108" s="112">
        <v>2017</v>
      </c>
      <c r="C108" s="113"/>
      <c r="D108" s="113">
        <f t="shared" si="4"/>
        <v>724</v>
      </c>
      <c r="E108" s="113"/>
      <c r="F108" s="113">
        <v>0</v>
      </c>
      <c r="G108" s="113"/>
      <c r="H108" s="113">
        <f t="shared" si="5"/>
        <v>724</v>
      </c>
      <c r="I108" s="113"/>
      <c r="J108" s="114">
        <v>0</v>
      </c>
      <c r="K108" s="114"/>
      <c r="L108" s="95"/>
      <c r="M108" s="95"/>
      <c r="N108" s="95"/>
      <c r="O108" s="95"/>
    </row>
    <row r="109" spans="1:15" ht="15" customHeight="1">
      <c r="A109" s="95"/>
      <c r="B109" s="112">
        <v>2018</v>
      </c>
      <c r="C109" s="113"/>
      <c r="D109" s="113">
        <f t="shared" si="4"/>
        <v>802</v>
      </c>
      <c r="E109" s="113"/>
      <c r="F109" s="113">
        <v>0</v>
      </c>
      <c r="G109" s="113"/>
      <c r="H109" s="113">
        <f t="shared" si="5"/>
        <v>802</v>
      </c>
      <c r="I109" s="113"/>
      <c r="J109" s="114">
        <v>0</v>
      </c>
      <c r="K109" s="114"/>
      <c r="L109" s="95"/>
      <c r="M109" s="95"/>
      <c r="N109" s="95"/>
      <c r="O109" s="95"/>
    </row>
    <row r="110" spans="1:15" ht="15" customHeight="1">
      <c r="A110" s="95"/>
      <c r="B110" s="112">
        <v>2019</v>
      </c>
      <c r="C110" s="113"/>
      <c r="D110" s="113">
        <f t="shared" si="4"/>
        <v>880</v>
      </c>
      <c r="E110" s="113"/>
      <c r="F110" s="113">
        <v>0</v>
      </c>
      <c r="G110" s="113"/>
      <c r="H110" s="113">
        <f t="shared" si="5"/>
        <v>880</v>
      </c>
      <c r="I110" s="113"/>
      <c r="J110" s="114">
        <v>0</v>
      </c>
      <c r="K110" s="114"/>
      <c r="L110" s="95"/>
      <c r="M110" s="95"/>
      <c r="N110" s="95"/>
      <c r="O110" s="95"/>
    </row>
    <row r="111" spans="1:15" ht="15" customHeight="1">
      <c r="A111" s="95"/>
      <c r="B111" s="115">
        <v>2020</v>
      </c>
      <c r="C111" s="116"/>
      <c r="D111" s="116">
        <f t="shared" si="4"/>
        <v>958</v>
      </c>
      <c r="E111" s="116"/>
      <c r="F111" s="116">
        <v>0</v>
      </c>
      <c r="G111" s="116"/>
      <c r="H111" s="116">
        <f t="shared" si="5"/>
        <v>958</v>
      </c>
      <c r="I111" s="116"/>
      <c r="J111" s="117">
        <v>0</v>
      </c>
      <c r="K111" s="117"/>
      <c r="L111" s="95"/>
      <c r="M111" s="95"/>
      <c r="N111" s="95"/>
      <c r="O111" s="95"/>
    </row>
    <row r="112" spans="1:15" ht="15" customHeight="1">
      <c r="A112" s="95"/>
      <c r="B112" s="112">
        <v>2021</v>
      </c>
      <c r="C112" s="113"/>
      <c r="D112" s="113">
        <f t="shared" si="4"/>
        <v>1036</v>
      </c>
      <c r="E112" s="113"/>
      <c r="F112" s="113">
        <v>0</v>
      </c>
      <c r="G112" s="113"/>
      <c r="H112" s="113">
        <f t="shared" si="5"/>
        <v>1036</v>
      </c>
      <c r="I112" s="113"/>
      <c r="J112" s="114">
        <v>0</v>
      </c>
      <c r="K112" s="114"/>
      <c r="L112" s="95"/>
      <c r="M112" s="95"/>
      <c r="N112" s="95"/>
      <c r="O112" s="95"/>
    </row>
    <row r="113" spans="1:15" ht="15" customHeight="1">
      <c r="A113" s="95"/>
      <c r="B113" s="112">
        <v>2022</v>
      </c>
      <c r="C113" s="113"/>
      <c r="D113" s="113">
        <f t="shared" si="4"/>
        <v>1114</v>
      </c>
      <c r="E113" s="113"/>
      <c r="F113" s="113">
        <v>0</v>
      </c>
      <c r="G113" s="113"/>
      <c r="H113" s="113">
        <f t="shared" si="5"/>
        <v>1114</v>
      </c>
      <c r="I113" s="113"/>
      <c r="J113" s="114">
        <v>0</v>
      </c>
      <c r="K113" s="114"/>
      <c r="L113" s="95"/>
      <c r="M113" s="95"/>
      <c r="N113" s="95"/>
      <c r="O113" s="95"/>
    </row>
    <row r="114" spans="1:15" ht="15" customHeight="1">
      <c r="A114" s="95"/>
      <c r="B114" s="112">
        <v>2023</v>
      </c>
      <c r="C114" s="113"/>
      <c r="D114" s="113">
        <f t="shared" si="4"/>
        <v>1192</v>
      </c>
      <c r="E114" s="113"/>
      <c r="F114" s="113">
        <v>0</v>
      </c>
      <c r="G114" s="113"/>
      <c r="H114" s="113">
        <f t="shared" si="5"/>
        <v>1192</v>
      </c>
      <c r="I114" s="113"/>
      <c r="J114" s="114">
        <v>0</v>
      </c>
      <c r="K114" s="114"/>
      <c r="L114" s="95"/>
      <c r="M114" s="95"/>
      <c r="N114" s="95"/>
      <c r="O114" s="95"/>
    </row>
    <row r="115" spans="1:15" ht="15" customHeight="1">
      <c r="A115" s="95"/>
      <c r="B115" s="112">
        <v>2024</v>
      </c>
      <c r="C115" s="113"/>
      <c r="D115" s="113">
        <f t="shared" si="4"/>
        <v>1270</v>
      </c>
      <c r="E115" s="113"/>
      <c r="F115" s="113">
        <v>0</v>
      </c>
      <c r="G115" s="113"/>
      <c r="H115" s="113">
        <f t="shared" si="5"/>
        <v>1270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2025</v>
      </c>
      <c r="C116" s="116"/>
      <c r="D116" s="116">
        <f t="shared" si="4"/>
        <v>1348</v>
      </c>
      <c r="E116" s="116"/>
      <c r="F116" s="116">
        <v>0</v>
      </c>
      <c r="G116" s="116"/>
      <c r="H116" s="116">
        <f t="shared" si="5"/>
        <v>1348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2026</v>
      </c>
      <c r="C117" s="113"/>
      <c r="D117" s="113">
        <f t="shared" si="4"/>
        <v>1426</v>
      </c>
      <c r="E117" s="113"/>
      <c r="F117" s="113">
        <v>0</v>
      </c>
      <c r="G117" s="113"/>
      <c r="H117" s="113">
        <f t="shared" si="5"/>
        <v>1426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2027</v>
      </c>
      <c r="C118" s="113"/>
      <c r="D118" s="113">
        <f t="shared" si="4"/>
        <v>1505</v>
      </c>
      <c r="E118" s="113"/>
      <c r="F118" s="113">
        <v>0</v>
      </c>
      <c r="G118" s="113"/>
      <c r="H118" s="113">
        <f t="shared" si="5"/>
        <v>1505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2028</v>
      </c>
      <c r="C119" s="113"/>
      <c r="D119" s="113">
        <f t="shared" si="4"/>
        <v>1583</v>
      </c>
      <c r="E119" s="113"/>
      <c r="F119" s="113">
        <v>0</v>
      </c>
      <c r="G119" s="113"/>
      <c r="H119" s="113">
        <f t="shared" si="5"/>
        <v>1583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2029</v>
      </c>
      <c r="C120" s="113"/>
      <c r="D120" s="113">
        <f t="shared" si="4"/>
        <v>1661</v>
      </c>
      <c r="E120" s="113"/>
      <c r="F120" s="113">
        <v>0</v>
      </c>
      <c r="G120" s="113"/>
      <c r="H120" s="113">
        <f t="shared" si="5"/>
        <v>1661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2030</v>
      </c>
      <c r="C121" s="116"/>
      <c r="D121" s="116">
        <f t="shared" si="4"/>
        <v>1739</v>
      </c>
      <c r="E121" s="116"/>
      <c r="F121" s="116">
        <v>0</v>
      </c>
      <c r="G121" s="116"/>
      <c r="H121" s="116">
        <f t="shared" si="5"/>
        <v>1739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2031</v>
      </c>
      <c r="C122" s="113"/>
      <c r="D122" s="113">
        <f t="shared" si="4"/>
        <v>1817</v>
      </c>
      <c r="E122" s="113"/>
      <c r="F122" s="113">
        <v>0</v>
      </c>
      <c r="G122" s="113"/>
      <c r="H122" s="113">
        <f t="shared" si="5"/>
        <v>1817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2032</v>
      </c>
      <c r="C123" s="113"/>
      <c r="D123" s="113">
        <f t="shared" si="4"/>
        <v>1895</v>
      </c>
      <c r="E123" s="113"/>
      <c r="F123" s="113">
        <v>0</v>
      </c>
      <c r="G123" s="113"/>
      <c r="H123" s="113">
        <f t="shared" si="5"/>
        <v>1895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2033</v>
      </c>
      <c r="C124" s="113"/>
      <c r="D124" s="113">
        <f t="shared" si="4"/>
        <v>1973</v>
      </c>
      <c r="E124" s="113"/>
      <c r="F124" s="113">
        <v>0</v>
      </c>
      <c r="G124" s="113"/>
      <c r="H124" s="113">
        <f t="shared" si="5"/>
        <v>1973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2034</v>
      </c>
      <c r="C125" s="113"/>
      <c r="D125" s="113">
        <f t="shared" si="4"/>
        <v>2051</v>
      </c>
      <c r="E125" s="113"/>
      <c r="F125" s="113">
        <v>0</v>
      </c>
      <c r="G125" s="113"/>
      <c r="H125" s="113">
        <f t="shared" si="5"/>
        <v>2051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 thickBot="1">
      <c r="A126" s="95"/>
      <c r="B126" s="115">
        <v>2035</v>
      </c>
      <c r="C126" s="116"/>
      <c r="D126" s="116">
        <f t="shared" si="4"/>
        <v>2129</v>
      </c>
      <c r="E126" s="116"/>
      <c r="F126" s="116">
        <v>0</v>
      </c>
      <c r="G126" s="116"/>
      <c r="H126" s="116">
        <f t="shared" si="5"/>
        <v>2129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95"/>
      <c r="M127" s="95"/>
      <c r="N127" s="95"/>
      <c r="O127" s="95"/>
    </row>
    <row r="128" spans="1:15" ht="15" customHeight="1">
      <c r="A128" s="95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95"/>
      <c r="M128" s="95"/>
      <c r="N128" s="95"/>
      <c r="O128" s="95"/>
    </row>
    <row r="129" spans="1:15" ht="15" customHeight="1">
      <c r="A129" s="95"/>
      <c r="B129" s="110" t="s">
        <v>203</v>
      </c>
      <c r="C129" s="111"/>
      <c r="D129" s="111"/>
      <c r="E129" s="111"/>
      <c r="F129" s="111"/>
      <c r="G129" s="95"/>
      <c r="H129" s="95"/>
      <c r="I129" s="95"/>
      <c r="J129" s="95"/>
      <c r="K129" s="95"/>
      <c r="L129" s="95"/>
      <c r="M129" s="95"/>
      <c r="N129" s="95"/>
      <c r="O129" s="95"/>
    </row>
    <row r="130" spans="1:15" ht="15" customHeight="1">
      <c r="A130" s="95"/>
      <c r="B130" s="95"/>
      <c r="C130" s="111" t="s">
        <v>204</v>
      </c>
      <c r="D130" s="111" t="s">
        <v>205</v>
      </c>
      <c r="E130" s="111"/>
      <c r="F130" s="111"/>
      <c r="G130" s="166" t="b">
        <v>1</v>
      </c>
      <c r="H130" s="95"/>
      <c r="I130" s="95"/>
      <c r="J130" s="95"/>
      <c r="K130" s="95"/>
      <c r="L130" s="95"/>
      <c r="M130" s="95"/>
      <c r="N130" s="95"/>
      <c r="O130" s="95"/>
    </row>
    <row r="131" spans="1:15" ht="15" customHeight="1">
      <c r="A131" s="95"/>
      <c r="B131" s="93"/>
      <c r="C131" s="128" t="s">
        <v>206</v>
      </c>
      <c r="D131" s="111" t="s">
        <v>207</v>
      </c>
      <c r="E131" s="111"/>
      <c r="F131" s="93"/>
      <c r="G131" s="139" t="b">
        <v>0</v>
      </c>
      <c r="H131" s="95"/>
      <c r="I131" s="95"/>
      <c r="J131" s="95"/>
      <c r="K131" s="95"/>
      <c r="L131" s="95"/>
      <c r="M131" s="95"/>
      <c r="N131" s="95"/>
      <c r="O131" s="95"/>
    </row>
    <row r="132" spans="1:15" ht="15" customHeight="1">
      <c r="A132" s="95"/>
      <c r="B132" s="93"/>
      <c r="C132" s="128"/>
      <c r="D132" s="111" t="s">
        <v>208</v>
      </c>
      <c r="E132" s="111"/>
      <c r="F132" s="93"/>
      <c r="G132" s="95"/>
      <c r="H132" s="95"/>
      <c r="I132" s="95"/>
      <c r="J132" s="95"/>
      <c r="K132" s="95"/>
      <c r="L132" s="95"/>
      <c r="M132" s="95"/>
      <c r="N132" s="95"/>
      <c r="O132" s="95"/>
    </row>
    <row r="133" spans="1:15" ht="15" customHeight="1">
      <c r="A133" s="95"/>
      <c r="B133" s="111"/>
      <c r="C133" s="111"/>
      <c r="D133" s="111" t="s">
        <v>209</v>
      </c>
      <c r="E133" s="111"/>
      <c r="F133" s="111"/>
      <c r="G133" s="95"/>
      <c r="H133" s="95"/>
      <c r="I133" s="95"/>
      <c r="J133" s="95"/>
      <c r="K133" s="95"/>
      <c r="L133" s="95"/>
      <c r="M133" s="95"/>
      <c r="N133" s="95"/>
      <c r="O133" s="95"/>
    </row>
    <row r="134" spans="1:15" ht="15" customHeight="1" thickBot="1">
      <c r="A134" s="95"/>
      <c r="B134" s="95"/>
      <c r="C134" s="95"/>
      <c r="D134" s="95"/>
      <c r="E134" s="95"/>
      <c r="F134" s="100" t="s">
        <v>210</v>
      </c>
      <c r="G134" s="100"/>
      <c r="H134" s="95"/>
      <c r="I134" s="95"/>
      <c r="J134" s="95"/>
      <c r="K134" s="95"/>
      <c r="L134" s="95"/>
      <c r="M134" s="95"/>
      <c r="N134" s="95"/>
      <c r="O134" s="95"/>
    </row>
    <row r="135" spans="1:15" ht="15" customHeight="1">
      <c r="A135" s="95"/>
      <c r="B135" s="94" t="s">
        <v>141</v>
      </c>
      <c r="C135" s="94"/>
      <c r="D135" s="94" t="s">
        <v>212</v>
      </c>
      <c r="E135" s="94" t="s">
        <v>192</v>
      </c>
      <c r="F135" s="94" t="s">
        <v>192</v>
      </c>
      <c r="G135" s="94" t="s">
        <v>193</v>
      </c>
      <c r="H135" s="94" t="s">
        <v>215</v>
      </c>
      <c r="I135" s="94"/>
      <c r="J135" s="94" t="s">
        <v>216</v>
      </c>
      <c r="K135" s="94" t="s">
        <v>217</v>
      </c>
      <c r="L135" s="95"/>
      <c r="M135" s="95"/>
      <c r="N135" s="95"/>
      <c r="O135" s="95"/>
    </row>
    <row r="136" spans="1:15" ht="15" customHeight="1">
      <c r="A136" s="95"/>
      <c r="B136" s="96">
        <f>B94</f>
        <v>2010</v>
      </c>
      <c r="C136" s="96"/>
      <c r="D136" s="100">
        <f>VLOOKUP(B136,B$7:E$11,3,FALSE)</f>
        <v>327</v>
      </c>
      <c r="E136" s="140">
        <f>IF(G$130=FALSE,"",((COUNT(B$94:B$98)-1))+(B136-$C$4))</f>
        <v>1</v>
      </c>
      <c r="F136" s="141">
        <v>0</v>
      </c>
      <c r="G136" s="142">
        <f>IF(F136="","",F136^2)</f>
        <v>0</v>
      </c>
      <c r="H136" s="131">
        <f>IF(G136="","",ABS(D136-D$136))</f>
        <v>0</v>
      </c>
      <c r="I136" s="131"/>
      <c r="J136" s="143">
        <v>0</v>
      </c>
      <c r="K136" s="143">
        <f>IF(J136="","",J136*F136)</f>
        <v>0</v>
      </c>
      <c r="L136" s="95"/>
      <c r="M136" s="95"/>
      <c r="N136" s="95"/>
      <c r="O136" s="95"/>
    </row>
    <row r="137" spans="1:15" ht="15" customHeight="1">
      <c r="A137" s="95"/>
      <c r="B137" s="96">
        <f>B95</f>
        <v>2011</v>
      </c>
      <c r="C137" s="96"/>
      <c r="D137" s="100">
        <f>VLOOKUP(B137,B$7:E$11,3,FALSE)</f>
        <v>230</v>
      </c>
      <c r="E137" s="140">
        <f>IF(G$130=FALSE,"",((COUNT(B$94:B$98)-1))+(B137-$C$4))</f>
        <v>2</v>
      </c>
      <c r="F137" s="141">
        <f>IF(E137="","",LOG(E137))</f>
        <v>0.3010299956639812</v>
      </c>
      <c r="G137" s="142">
        <f>IF(F137="","",F137^2)</f>
        <v>9.0619058289456544E-2</v>
      </c>
      <c r="H137" s="131">
        <f>IF(G137="","",ABS(D137-D$136))</f>
        <v>97</v>
      </c>
      <c r="I137" s="131"/>
      <c r="J137" s="143">
        <f>IF(H137="","",LOG(H137))</f>
        <v>1.9867717342662448</v>
      </c>
      <c r="K137" s="143">
        <f>IF(J137="","",J137*F137)</f>
        <v>0.59807788655148808</v>
      </c>
      <c r="L137" s="95"/>
      <c r="M137" s="95"/>
      <c r="N137" s="95"/>
      <c r="O137" s="95"/>
    </row>
    <row r="138" spans="1:15" ht="15" customHeight="1">
      <c r="A138" s="95"/>
      <c r="B138" s="96">
        <f>B96</f>
        <v>2012</v>
      </c>
      <c r="C138" s="96"/>
      <c r="D138" s="100">
        <f>VLOOKUP(B138,B$7:E$11,3,FALSE)</f>
        <v>215</v>
      </c>
      <c r="E138" s="140">
        <f>IF(G$130=FALSE,"",((COUNT(B$94:B$98)-1))+(B138-$C$4))</f>
        <v>3</v>
      </c>
      <c r="F138" s="141">
        <f>IF(E138="","",LOG(E138))</f>
        <v>0.47712125471966244</v>
      </c>
      <c r="G138" s="142">
        <f>IF(F138="","",F138^2)</f>
        <v>0.227644691705265</v>
      </c>
      <c r="H138" s="131">
        <f>IF(G138="","",ABS(D138-D$136))</f>
        <v>112</v>
      </c>
      <c r="I138" s="131"/>
      <c r="J138" s="143">
        <f>IF(H138="","",LOG(H138))</f>
        <v>2.0492180226701815</v>
      </c>
      <c r="K138" s="143">
        <f>IF(J138="","",J138*F138)</f>
        <v>0.97772547417054267</v>
      </c>
      <c r="L138" s="95"/>
      <c r="M138" s="95"/>
      <c r="N138" s="95"/>
      <c r="O138" s="95"/>
    </row>
    <row r="139" spans="1:15" ht="15" customHeight="1">
      <c r="A139" s="95"/>
      <c r="B139" s="96">
        <f>B97</f>
        <v>2013</v>
      </c>
      <c r="C139" s="96"/>
      <c r="D139" s="100">
        <f>VLOOKUP(B139,B$7:E$11,3,FALSE)</f>
        <v>226</v>
      </c>
      <c r="E139" s="140">
        <f>IF(G$130=FALSE,"",((COUNT(B$94:B$98)-1))+(B139-$C$4))</f>
        <v>4</v>
      </c>
      <c r="F139" s="141">
        <f>IF(E139="","",LOG(E139))</f>
        <v>0.6020599913279624</v>
      </c>
      <c r="G139" s="142">
        <f>IF(F139="","",F139^2)</f>
        <v>0.36247623315782618</v>
      </c>
      <c r="H139" s="131">
        <f>IF(G139="","",ABS(D139-D$136))</f>
        <v>101</v>
      </c>
      <c r="I139" s="131"/>
      <c r="J139" s="143">
        <f>IF(H139="","",LOG(H139))</f>
        <v>2.0043213737826426</v>
      </c>
      <c r="K139" s="143">
        <f>IF(J139="","",J139*F139)</f>
        <v>1.2067217089180275</v>
      </c>
      <c r="L139" s="95"/>
      <c r="M139" s="95"/>
      <c r="N139" s="95"/>
      <c r="O139" s="95"/>
    </row>
    <row r="140" spans="1:15" ht="15" customHeight="1">
      <c r="A140" s="95"/>
      <c r="B140" s="96">
        <f>B98</f>
        <v>2014</v>
      </c>
      <c r="C140" s="96"/>
      <c r="D140" s="100">
        <f>VLOOKUP(B140,B$7:E$11,3,FALSE)</f>
        <v>277</v>
      </c>
      <c r="E140" s="140">
        <f>IF(G$130=FALSE,"",((COUNT(B$94:B$98)-1))+(B140-$C$4))</f>
        <v>5</v>
      </c>
      <c r="F140" s="141">
        <f>IF(E140="","",LOG(E140))</f>
        <v>0.69897000433601886</v>
      </c>
      <c r="G140" s="142">
        <f>IF(F140="","",F140^2)</f>
        <v>0.4885590669614942</v>
      </c>
      <c r="H140" s="131">
        <f>IF(G140="","",ABS(D140-D$136))</f>
        <v>50</v>
      </c>
      <c r="I140" s="131"/>
      <c r="J140" s="143">
        <f>IF(H140="","",LOG(H140))</f>
        <v>1.6989700043360187</v>
      </c>
      <c r="K140" s="143">
        <f>IF(J140="","",J140*F140)</f>
        <v>1.1875290712975131</v>
      </c>
      <c r="L140" s="95"/>
      <c r="M140" s="95"/>
      <c r="N140" s="95"/>
      <c r="O140" s="95"/>
    </row>
    <row r="141" spans="1:15" ht="15" customHeight="1" thickBot="1">
      <c r="A141" s="95"/>
      <c r="B141" s="103" t="s">
        <v>146</v>
      </c>
      <c r="C141" s="104"/>
      <c r="D141" s="144"/>
      <c r="E141" s="145"/>
      <c r="F141" s="146">
        <f>IF(F140="","",ROUND(SUM(F136:F140),6))</f>
        <v>2.0791810000000002</v>
      </c>
      <c r="G141" s="146">
        <f>IF(G140="","",ROUND(SUM(G136:G140),6))</f>
        <v>1.1692990000000001</v>
      </c>
      <c r="H141" s="147"/>
      <c r="I141" s="148"/>
      <c r="J141" s="149">
        <f>IF(J140="","",SUM(J136:J140))</f>
        <v>7.7392811350550872</v>
      </c>
      <c r="K141" s="149">
        <f>IF(K140="","",SUM(K136:K140))</f>
        <v>3.9700541409375711</v>
      </c>
      <c r="L141" s="95"/>
      <c r="M141" s="95"/>
      <c r="N141" s="95"/>
      <c r="O141" s="95"/>
    </row>
    <row r="142" spans="1:15" ht="15" customHeight="1">
      <c r="A142" s="95"/>
      <c r="B142" s="100" t="s">
        <v>219</v>
      </c>
      <c r="C142" s="100"/>
      <c r="D142" s="93" t="s">
        <v>162</v>
      </c>
      <c r="E142" s="93">
        <f>IF(G141="",0,5^ROUND((G141*J141-F141*K141)/((COUNT(B$136:B$140)-1)*G141-F141*F141),5))</f>
        <v>37.064998709170361</v>
      </c>
      <c r="F142" s="137" t="s">
        <v>220</v>
      </c>
      <c r="G142" s="95"/>
      <c r="H142" s="100"/>
      <c r="I142" s="95"/>
      <c r="J142" s="150">
        <f>IF(G141="",0,ROUND(((COUNT(B$136:B$140)-1)*K141-J141*F141)/((COUNT(B$136:B$140)-1)*G141-F141*F141),5))</f>
        <v>-0.59613000000000005</v>
      </c>
      <c r="K142" s="151"/>
      <c r="L142" s="95"/>
      <c r="M142" s="95"/>
      <c r="N142" s="95"/>
      <c r="O142" s="95"/>
    </row>
    <row r="143" spans="1:15" ht="15" customHeight="1">
      <c r="A143" s="95"/>
      <c r="B143" s="95"/>
      <c r="C143" s="95"/>
      <c r="D143" s="137" t="s">
        <v>221</v>
      </c>
      <c r="E143" s="111"/>
      <c r="F143" s="111"/>
      <c r="G143" s="152"/>
      <c r="H143" s="93" t="s">
        <v>222</v>
      </c>
      <c r="I143" s="111" t="s">
        <v>223</v>
      </c>
      <c r="J143" s="93" t="str">
        <f>"A = 5^("&amp;RIGHT(H143,1)&amp;") "</f>
        <v xml:space="preserve">A = 5^(b) </v>
      </c>
      <c r="K143" s="95"/>
      <c r="L143" s="95"/>
      <c r="M143" s="95"/>
      <c r="N143" s="95"/>
      <c r="O143" s="95"/>
    </row>
    <row r="144" spans="1:15" ht="1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 thickBot="1">
      <c r="A145" s="95"/>
      <c r="B145" s="95"/>
      <c r="C145" s="95"/>
      <c r="D145" s="95"/>
      <c r="E145" s="95"/>
      <c r="F145" s="100" t="s">
        <v>200</v>
      </c>
      <c r="G145" s="100"/>
      <c r="H145" s="95"/>
      <c r="I145" s="95"/>
      <c r="J145" s="95"/>
      <c r="K145" s="95"/>
      <c r="L145" s="95"/>
      <c r="M145" s="95"/>
      <c r="N145" s="95"/>
      <c r="O145" s="95"/>
    </row>
    <row r="146" spans="1:15" ht="15" customHeight="1">
      <c r="A146" s="95"/>
      <c r="B146" s="94" t="s">
        <v>155</v>
      </c>
      <c r="C146" s="94"/>
      <c r="D146" s="94" t="s">
        <v>174</v>
      </c>
      <c r="E146" s="94"/>
      <c r="F146" s="94" t="s">
        <v>157</v>
      </c>
      <c r="G146" s="94"/>
      <c r="H146" s="94" t="s">
        <v>158</v>
      </c>
      <c r="I146" s="94"/>
      <c r="J146" s="94" t="s">
        <v>53</v>
      </c>
      <c r="K146" s="94"/>
      <c r="L146" s="95"/>
      <c r="M146" s="95"/>
      <c r="N146" s="95"/>
      <c r="O146" s="95"/>
    </row>
    <row r="147" spans="1:15" ht="15" customHeight="1">
      <c r="A147" s="95"/>
      <c r="B147" s="112">
        <v>2014</v>
      </c>
      <c r="C147" s="100"/>
      <c r="D147" s="153">
        <f t="shared" ref="D147:D168" si="6">IF(J$142=0,0,ROUNDUP(D$136+E$142*(B147-B$136)^J$142,0))</f>
        <v>344</v>
      </c>
      <c r="E147" s="153"/>
      <c r="F147" s="97">
        <v>0</v>
      </c>
      <c r="G147" s="97"/>
      <c r="H147" s="97">
        <f t="shared" ref="H147:H168" si="7">ROUND(D147*(1+F147),0)</f>
        <v>344</v>
      </c>
      <c r="I147" s="97"/>
      <c r="J147" s="102">
        <v>0</v>
      </c>
      <c r="K147" s="102"/>
      <c r="L147" s="95"/>
      <c r="M147" s="95"/>
      <c r="N147" s="95"/>
      <c r="O147" s="95"/>
    </row>
    <row r="148" spans="1:15" ht="15" customHeight="1">
      <c r="A148" s="95"/>
      <c r="B148" s="115">
        <v>2015</v>
      </c>
      <c r="C148" s="116"/>
      <c r="D148" s="154">
        <f t="shared" si="6"/>
        <v>342</v>
      </c>
      <c r="E148" s="154"/>
      <c r="F148" s="155">
        <v>0</v>
      </c>
      <c r="G148" s="155"/>
      <c r="H148" s="155">
        <f t="shared" si="7"/>
        <v>342</v>
      </c>
      <c r="I148" s="155"/>
      <c r="J148" s="117">
        <v>0</v>
      </c>
      <c r="K148" s="117"/>
      <c r="L148" s="95"/>
      <c r="M148" s="95"/>
      <c r="N148" s="95"/>
      <c r="O148" s="95"/>
    </row>
    <row r="149" spans="1:15" ht="15" customHeight="1">
      <c r="A149" s="95"/>
      <c r="B149" s="112">
        <v>2016</v>
      </c>
      <c r="C149" s="113"/>
      <c r="D149" s="153">
        <f t="shared" si="6"/>
        <v>340</v>
      </c>
      <c r="E149" s="153"/>
      <c r="F149" s="156">
        <v>0</v>
      </c>
      <c r="G149" s="156"/>
      <c r="H149" s="156">
        <f t="shared" si="7"/>
        <v>340</v>
      </c>
      <c r="I149" s="156"/>
      <c r="J149" s="114">
        <v>0</v>
      </c>
      <c r="K149" s="114"/>
      <c r="L149" s="95"/>
      <c r="M149" s="95"/>
      <c r="N149" s="95"/>
      <c r="O149" s="95"/>
    </row>
    <row r="150" spans="1:15" ht="15" customHeight="1">
      <c r="A150" s="95"/>
      <c r="B150" s="112">
        <v>2017</v>
      </c>
      <c r="C150" s="113"/>
      <c r="D150" s="153">
        <f t="shared" si="6"/>
        <v>339</v>
      </c>
      <c r="E150" s="153"/>
      <c r="F150" s="156">
        <v>0</v>
      </c>
      <c r="G150" s="156"/>
      <c r="H150" s="156">
        <f t="shared" si="7"/>
        <v>339</v>
      </c>
      <c r="I150" s="156"/>
      <c r="J150" s="114">
        <v>0</v>
      </c>
      <c r="K150" s="114"/>
      <c r="L150" s="95"/>
      <c r="M150" s="95"/>
      <c r="N150" s="95"/>
      <c r="O150" s="95"/>
    </row>
    <row r="151" spans="1:15" ht="15" customHeight="1">
      <c r="A151" s="95"/>
      <c r="B151" s="112">
        <v>2018</v>
      </c>
      <c r="C151" s="113"/>
      <c r="D151" s="153">
        <f t="shared" si="6"/>
        <v>338</v>
      </c>
      <c r="E151" s="153"/>
      <c r="F151" s="156">
        <v>0</v>
      </c>
      <c r="G151" s="156"/>
      <c r="H151" s="156">
        <f t="shared" si="7"/>
        <v>338</v>
      </c>
      <c r="I151" s="156"/>
      <c r="J151" s="114">
        <v>0</v>
      </c>
      <c r="K151" s="114"/>
      <c r="L151" s="95"/>
      <c r="M151" s="95"/>
      <c r="N151" s="95"/>
      <c r="O151" s="95"/>
    </row>
    <row r="152" spans="1:15" ht="15" customHeight="1">
      <c r="A152" s="95"/>
      <c r="B152" s="112">
        <v>2019</v>
      </c>
      <c r="C152" s="113"/>
      <c r="D152" s="153">
        <f t="shared" si="6"/>
        <v>338</v>
      </c>
      <c r="E152" s="153"/>
      <c r="F152" s="156">
        <v>0</v>
      </c>
      <c r="G152" s="156"/>
      <c r="H152" s="156">
        <f t="shared" si="7"/>
        <v>338</v>
      </c>
      <c r="I152" s="156"/>
      <c r="J152" s="114">
        <v>0</v>
      </c>
      <c r="K152" s="114"/>
      <c r="L152" s="95"/>
      <c r="M152" s="95"/>
      <c r="N152" s="95"/>
      <c r="O152" s="95"/>
    </row>
    <row r="153" spans="1:15" ht="15" customHeight="1">
      <c r="A153" s="95"/>
      <c r="B153" s="115">
        <v>2020</v>
      </c>
      <c r="C153" s="116"/>
      <c r="D153" s="154">
        <f t="shared" si="6"/>
        <v>337</v>
      </c>
      <c r="E153" s="154"/>
      <c r="F153" s="155">
        <v>0</v>
      </c>
      <c r="G153" s="155"/>
      <c r="H153" s="155">
        <f t="shared" si="7"/>
        <v>337</v>
      </c>
      <c r="I153" s="155"/>
      <c r="J153" s="117">
        <v>0</v>
      </c>
      <c r="K153" s="117"/>
      <c r="L153" s="95"/>
      <c r="M153" s="95"/>
      <c r="N153" s="95"/>
      <c r="O153" s="95"/>
    </row>
    <row r="154" spans="1:15" ht="15" customHeight="1">
      <c r="A154" s="95"/>
      <c r="B154" s="112">
        <v>2021</v>
      </c>
      <c r="C154" s="113"/>
      <c r="D154" s="153">
        <f t="shared" si="6"/>
        <v>336</v>
      </c>
      <c r="E154" s="153"/>
      <c r="F154" s="156">
        <v>0</v>
      </c>
      <c r="G154" s="156"/>
      <c r="H154" s="156">
        <f t="shared" si="7"/>
        <v>336</v>
      </c>
      <c r="I154" s="156"/>
      <c r="J154" s="114">
        <v>0</v>
      </c>
      <c r="K154" s="114"/>
      <c r="L154" s="95"/>
      <c r="M154" s="95"/>
      <c r="N154" s="95"/>
      <c r="O154" s="95"/>
    </row>
    <row r="155" spans="1:15" ht="15" customHeight="1">
      <c r="A155" s="95"/>
      <c r="B155" s="112">
        <v>2022</v>
      </c>
      <c r="C155" s="113"/>
      <c r="D155" s="153">
        <f t="shared" si="6"/>
        <v>336</v>
      </c>
      <c r="E155" s="153"/>
      <c r="F155" s="156">
        <v>0</v>
      </c>
      <c r="G155" s="156"/>
      <c r="H155" s="156">
        <f t="shared" si="7"/>
        <v>336</v>
      </c>
      <c r="I155" s="156"/>
      <c r="J155" s="114">
        <v>0</v>
      </c>
      <c r="K155" s="114"/>
      <c r="L155" s="95"/>
      <c r="M155" s="95"/>
      <c r="N155" s="95"/>
      <c r="O155" s="95"/>
    </row>
    <row r="156" spans="1:15" ht="15" customHeight="1">
      <c r="A156" s="95"/>
      <c r="B156" s="112">
        <v>2023</v>
      </c>
      <c r="C156" s="113"/>
      <c r="D156" s="153">
        <f t="shared" si="6"/>
        <v>336</v>
      </c>
      <c r="E156" s="153"/>
      <c r="F156" s="156">
        <v>0</v>
      </c>
      <c r="G156" s="156"/>
      <c r="H156" s="156">
        <f t="shared" si="7"/>
        <v>336</v>
      </c>
      <c r="I156" s="156"/>
      <c r="J156" s="114">
        <v>0</v>
      </c>
      <c r="K156" s="114"/>
      <c r="L156" s="95"/>
      <c r="M156" s="95"/>
      <c r="N156" s="95"/>
      <c r="O156" s="95"/>
    </row>
    <row r="157" spans="1:15" ht="15" customHeight="1">
      <c r="A157" s="95"/>
      <c r="B157" s="112">
        <v>2024</v>
      </c>
      <c r="C157" s="113"/>
      <c r="D157" s="153">
        <f t="shared" si="6"/>
        <v>335</v>
      </c>
      <c r="E157" s="153"/>
      <c r="F157" s="156">
        <v>0</v>
      </c>
      <c r="G157" s="156"/>
      <c r="H157" s="156">
        <f t="shared" si="7"/>
        <v>335</v>
      </c>
      <c r="I157" s="156"/>
      <c r="J157" s="114">
        <v>0</v>
      </c>
      <c r="K157" s="114"/>
      <c r="L157" s="95"/>
      <c r="M157" s="95"/>
      <c r="N157" s="95"/>
      <c r="O157" s="95"/>
    </row>
    <row r="158" spans="1:15" ht="15" customHeight="1">
      <c r="A158" s="95"/>
      <c r="B158" s="115">
        <v>2025</v>
      </c>
      <c r="C158" s="116"/>
      <c r="D158" s="154">
        <f t="shared" si="6"/>
        <v>335</v>
      </c>
      <c r="E158" s="154"/>
      <c r="F158" s="155">
        <v>0</v>
      </c>
      <c r="G158" s="155"/>
      <c r="H158" s="155">
        <f t="shared" si="7"/>
        <v>335</v>
      </c>
      <c r="I158" s="155"/>
      <c r="J158" s="117">
        <v>0</v>
      </c>
      <c r="K158" s="117"/>
      <c r="L158" s="95"/>
      <c r="M158" s="95"/>
      <c r="N158" s="95"/>
      <c r="O158" s="95"/>
    </row>
    <row r="159" spans="1:15" ht="15" customHeight="1">
      <c r="A159" s="95"/>
      <c r="B159" s="112">
        <v>2026</v>
      </c>
      <c r="C159" s="113"/>
      <c r="D159" s="153">
        <f t="shared" si="6"/>
        <v>335</v>
      </c>
      <c r="E159" s="153"/>
      <c r="F159" s="156">
        <v>0</v>
      </c>
      <c r="G159" s="156"/>
      <c r="H159" s="156">
        <f t="shared" si="7"/>
        <v>335</v>
      </c>
      <c r="I159" s="156"/>
      <c r="J159" s="114">
        <v>0</v>
      </c>
      <c r="K159" s="114"/>
      <c r="L159" s="95"/>
      <c r="M159" s="95"/>
      <c r="N159" s="95"/>
      <c r="O159" s="95"/>
    </row>
    <row r="160" spans="1:15" ht="15" customHeight="1">
      <c r="A160" s="95"/>
      <c r="B160" s="112">
        <v>2027</v>
      </c>
      <c r="C160" s="113"/>
      <c r="D160" s="153">
        <f t="shared" si="6"/>
        <v>334</v>
      </c>
      <c r="E160" s="153"/>
      <c r="F160" s="156">
        <v>0</v>
      </c>
      <c r="G160" s="156"/>
      <c r="H160" s="156">
        <f t="shared" si="7"/>
        <v>334</v>
      </c>
      <c r="I160" s="156"/>
      <c r="J160" s="114">
        <v>0</v>
      </c>
      <c r="K160" s="114"/>
      <c r="L160" s="95"/>
      <c r="M160" s="95"/>
      <c r="N160" s="95"/>
      <c r="O160" s="95"/>
    </row>
    <row r="161" spans="1:15" ht="15" customHeight="1">
      <c r="A161" s="95"/>
      <c r="B161" s="112">
        <v>2028</v>
      </c>
      <c r="C161" s="113"/>
      <c r="D161" s="153">
        <f t="shared" si="6"/>
        <v>334</v>
      </c>
      <c r="E161" s="153"/>
      <c r="F161" s="156">
        <v>0</v>
      </c>
      <c r="G161" s="156"/>
      <c r="H161" s="156">
        <f t="shared" si="7"/>
        <v>334</v>
      </c>
      <c r="I161" s="156"/>
      <c r="J161" s="114">
        <v>0</v>
      </c>
      <c r="K161" s="114"/>
      <c r="L161" s="95"/>
      <c r="M161" s="95"/>
      <c r="N161" s="95"/>
      <c r="O161" s="95"/>
    </row>
    <row r="162" spans="1:15" ht="15" customHeight="1">
      <c r="A162" s="95"/>
      <c r="B162" s="112">
        <v>2029</v>
      </c>
      <c r="C162" s="113"/>
      <c r="D162" s="153">
        <f t="shared" si="6"/>
        <v>334</v>
      </c>
      <c r="E162" s="153"/>
      <c r="F162" s="156">
        <v>0</v>
      </c>
      <c r="G162" s="156"/>
      <c r="H162" s="156">
        <f t="shared" si="7"/>
        <v>334</v>
      </c>
      <c r="I162" s="156"/>
      <c r="J162" s="114">
        <v>0</v>
      </c>
      <c r="K162" s="114"/>
      <c r="L162" s="95"/>
      <c r="M162" s="95"/>
      <c r="N162" s="95"/>
      <c r="O162" s="95"/>
    </row>
    <row r="163" spans="1:15" ht="15" customHeight="1">
      <c r="A163" s="95"/>
      <c r="B163" s="115">
        <v>2030</v>
      </c>
      <c r="C163" s="116"/>
      <c r="D163" s="154">
        <f t="shared" si="6"/>
        <v>334</v>
      </c>
      <c r="E163" s="154"/>
      <c r="F163" s="155">
        <v>0</v>
      </c>
      <c r="G163" s="155"/>
      <c r="H163" s="155">
        <f t="shared" si="7"/>
        <v>334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2031</v>
      </c>
      <c r="C164" s="113"/>
      <c r="D164" s="153">
        <f t="shared" si="6"/>
        <v>334</v>
      </c>
      <c r="E164" s="153"/>
      <c r="F164" s="156">
        <v>0</v>
      </c>
      <c r="G164" s="156"/>
      <c r="H164" s="156">
        <f t="shared" si="7"/>
        <v>334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2032</v>
      </c>
      <c r="C165" s="113"/>
      <c r="D165" s="153">
        <f t="shared" si="6"/>
        <v>333</v>
      </c>
      <c r="E165" s="153"/>
      <c r="F165" s="156">
        <v>0</v>
      </c>
      <c r="G165" s="156"/>
      <c r="H165" s="156">
        <f t="shared" si="7"/>
        <v>333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2033</v>
      </c>
      <c r="C166" s="113"/>
      <c r="D166" s="153">
        <f t="shared" si="6"/>
        <v>333</v>
      </c>
      <c r="E166" s="153"/>
      <c r="F166" s="156">
        <v>0</v>
      </c>
      <c r="G166" s="156"/>
      <c r="H166" s="156">
        <f t="shared" si="7"/>
        <v>333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2034</v>
      </c>
      <c r="C167" s="113"/>
      <c r="D167" s="153">
        <f t="shared" si="6"/>
        <v>333</v>
      </c>
      <c r="E167" s="153"/>
      <c r="F167" s="156">
        <v>0</v>
      </c>
      <c r="G167" s="156"/>
      <c r="H167" s="156">
        <f t="shared" si="7"/>
        <v>333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 thickBot="1">
      <c r="A168" s="95"/>
      <c r="B168" s="115">
        <v>2035</v>
      </c>
      <c r="C168" s="116"/>
      <c r="D168" s="154">
        <f t="shared" si="6"/>
        <v>333</v>
      </c>
      <c r="E168" s="154"/>
      <c r="F168" s="155">
        <v>0</v>
      </c>
      <c r="G168" s="155"/>
      <c r="H168" s="155">
        <f t="shared" si="7"/>
        <v>333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95"/>
      <c r="M169" s="95"/>
      <c r="N169" s="95"/>
      <c r="O169" s="95"/>
    </row>
    <row r="170" spans="1:15" ht="15" customHeight="1">
      <c r="A170" s="95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95"/>
      <c r="M170" s="95"/>
      <c r="N170" s="95"/>
      <c r="O170" s="95"/>
    </row>
    <row r="171" spans="1:15" ht="15" customHeight="1">
      <c r="A171" s="95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95"/>
      <c r="M171" s="95"/>
      <c r="N171" s="95"/>
      <c r="O171" s="95"/>
    </row>
    <row r="172" spans="1:15" ht="15" customHeight="1">
      <c r="A172" s="95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95"/>
      <c r="M172" s="95"/>
      <c r="N172" s="95"/>
      <c r="O172" s="95"/>
    </row>
    <row r="173" spans="1:15" ht="15" customHeight="1">
      <c r="A173" s="95"/>
      <c r="B173" s="12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</row>
    <row r="174" spans="1:15" ht="15" customHeight="1">
      <c r="A174" s="95"/>
      <c r="B174" s="110" t="s">
        <v>229</v>
      </c>
      <c r="C174" s="111"/>
      <c r="D174" s="111"/>
      <c r="E174" s="111"/>
      <c r="F174" s="111"/>
      <c r="G174" s="111"/>
      <c r="H174" s="95"/>
      <c r="I174" s="95"/>
      <c r="J174" s="95"/>
      <c r="K174" s="95"/>
      <c r="L174" s="95"/>
      <c r="M174" s="95"/>
      <c r="N174" s="95"/>
      <c r="O174" s="95"/>
    </row>
    <row r="175" spans="1:15" ht="15" customHeight="1">
      <c r="A175" s="95"/>
      <c r="B175" s="95"/>
      <c r="C175" s="111" t="s">
        <v>166</v>
      </c>
      <c r="D175" s="111" t="s">
        <v>231</v>
      </c>
      <c r="E175" s="111"/>
      <c r="F175" s="111"/>
      <c r="G175" s="111"/>
      <c r="H175" s="95"/>
      <c r="I175" s="95"/>
      <c r="J175" s="95"/>
      <c r="K175" s="95"/>
      <c r="L175" s="95"/>
      <c r="M175" s="95"/>
      <c r="N175" s="95"/>
      <c r="O175" s="95"/>
    </row>
    <row r="176" spans="1:15" ht="15" customHeight="1">
      <c r="A176" s="95"/>
      <c r="B176" s="93"/>
      <c r="C176" s="128" t="s">
        <v>185</v>
      </c>
      <c r="D176" s="111" t="s">
        <v>207</v>
      </c>
      <c r="E176" s="111"/>
      <c r="F176" s="93"/>
      <c r="G176" s="95"/>
      <c r="H176" s="95"/>
      <c r="I176" s="95"/>
      <c r="J176" s="95"/>
      <c r="K176" s="95"/>
      <c r="L176" s="95"/>
      <c r="M176" s="95"/>
      <c r="N176" s="95"/>
      <c r="O176" s="95"/>
    </row>
    <row r="177" spans="1:15" ht="15" customHeight="1">
      <c r="A177" s="95"/>
      <c r="B177" s="93"/>
      <c r="C177" s="128"/>
      <c r="D177" s="111" t="s">
        <v>234</v>
      </c>
      <c r="E177" s="2250">
        <f>K7</f>
        <v>1000</v>
      </c>
      <c r="F177" s="2250"/>
      <c r="G177" s="111" t="s">
        <v>235</v>
      </c>
      <c r="H177" s="111"/>
      <c r="I177" s="95"/>
      <c r="J177" s="95"/>
      <c r="K177" s="95"/>
      <c r="L177" s="95"/>
      <c r="M177" s="95"/>
      <c r="N177" s="95"/>
      <c r="O177" s="95"/>
    </row>
    <row r="178" spans="1:15" ht="15" customHeight="1" thickBot="1">
      <c r="A178" s="95"/>
      <c r="B178" s="95"/>
      <c r="C178" s="95"/>
      <c r="D178" s="95"/>
      <c r="E178" s="95"/>
      <c r="F178" s="100" t="s">
        <v>236</v>
      </c>
      <c r="G178" s="100"/>
      <c r="H178" s="95"/>
      <c r="I178" s="95"/>
      <c r="J178" s="95"/>
      <c r="K178" s="95"/>
      <c r="L178" s="95"/>
      <c r="M178" s="95"/>
      <c r="N178" s="95"/>
      <c r="O178" s="95"/>
    </row>
    <row r="179" spans="1:15" ht="15" customHeight="1">
      <c r="A179" s="95"/>
      <c r="B179" s="94" t="s">
        <v>141</v>
      </c>
      <c r="C179" s="94"/>
      <c r="D179" s="94" t="s">
        <v>191</v>
      </c>
      <c r="E179" s="94" t="s">
        <v>192</v>
      </c>
      <c r="F179" s="94" t="s">
        <v>193</v>
      </c>
      <c r="G179" s="94" t="s">
        <v>241</v>
      </c>
      <c r="H179" s="94" t="s">
        <v>242</v>
      </c>
      <c r="I179" s="94" t="s">
        <v>243</v>
      </c>
      <c r="J179" s="94" t="s">
        <v>216</v>
      </c>
      <c r="K179" s="94" t="s">
        <v>245</v>
      </c>
      <c r="L179" s="95"/>
      <c r="M179" s="95"/>
      <c r="N179" s="95"/>
      <c r="O179" s="95"/>
    </row>
    <row r="180" spans="1:15" ht="15" customHeight="1">
      <c r="A180" s="95"/>
      <c r="B180" s="96">
        <f>B136</f>
        <v>2010</v>
      </c>
      <c r="C180" s="96"/>
      <c r="D180" s="100">
        <f>VLOOKUP(B180,B$7:E$11,3,FALSE)</f>
        <v>327</v>
      </c>
      <c r="E180" s="140">
        <f>((COUNT(B$180:B$184)-1)/2)+(B180-$C$4)</f>
        <v>-1</v>
      </c>
      <c r="F180" s="98">
        <f>E180^2</f>
        <v>1</v>
      </c>
      <c r="G180" s="97">
        <f>E$177-D180</f>
        <v>673</v>
      </c>
      <c r="H180" s="157">
        <f>LOG(D180)</f>
        <v>2.514547752660286</v>
      </c>
      <c r="I180" s="141">
        <f>LOG(G180)</f>
        <v>2.828015064223977</v>
      </c>
      <c r="J180" s="142">
        <f>H180-I180</f>
        <v>-0.31346731156369101</v>
      </c>
      <c r="K180" s="142">
        <f>E180*J180</f>
        <v>0.31346731156369101</v>
      </c>
      <c r="L180" s="95"/>
      <c r="M180" s="95"/>
      <c r="N180" s="95"/>
      <c r="O180" s="95"/>
    </row>
    <row r="181" spans="1:15" ht="15" customHeight="1">
      <c r="A181" s="95"/>
      <c r="B181" s="96">
        <f>B137</f>
        <v>2011</v>
      </c>
      <c r="C181" s="96"/>
      <c r="D181" s="100">
        <f>VLOOKUP(B181,B$7:E$11,3,FALSE)</f>
        <v>230</v>
      </c>
      <c r="E181" s="140">
        <f>((COUNT(B$180:B$184)-1)/2)+(B181-$C$4)</f>
        <v>0</v>
      </c>
      <c r="F181" s="98">
        <f>E181^2</f>
        <v>0</v>
      </c>
      <c r="G181" s="97">
        <f>E$177-D181</f>
        <v>770</v>
      </c>
      <c r="H181" s="157">
        <f>LOG(D181)</f>
        <v>2.3617278360175931</v>
      </c>
      <c r="I181" s="141">
        <f>LOG(G181)</f>
        <v>2.8864907251724818</v>
      </c>
      <c r="J181" s="142">
        <f>H181-I181</f>
        <v>-0.52476288915488878</v>
      </c>
      <c r="K181" s="142">
        <f>E181*J181</f>
        <v>0</v>
      </c>
      <c r="L181" s="95"/>
      <c r="M181" s="95"/>
      <c r="N181" s="95"/>
      <c r="O181" s="95"/>
    </row>
    <row r="182" spans="1:15" ht="15" customHeight="1">
      <c r="A182" s="95"/>
      <c r="B182" s="96">
        <f>B138</f>
        <v>2012</v>
      </c>
      <c r="C182" s="96"/>
      <c r="D182" s="100">
        <f>VLOOKUP(B182,B$7:E$11,3,FALSE)</f>
        <v>215</v>
      </c>
      <c r="E182" s="140">
        <f>((COUNT(B$180:B$184)-1)/2)+(B182-$C$4)</f>
        <v>1</v>
      </c>
      <c r="F182" s="98">
        <f>E182^2</f>
        <v>1</v>
      </c>
      <c r="G182" s="97">
        <f>E$177-D182</f>
        <v>785</v>
      </c>
      <c r="H182" s="157">
        <f>LOG(D182)</f>
        <v>2.3324384599156054</v>
      </c>
      <c r="I182" s="141">
        <f>LOG(G182)</f>
        <v>2.8948696567452528</v>
      </c>
      <c r="J182" s="142">
        <f>H182-I182</f>
        <v>-0.56243119682964737</v>
      </c>
      <c r="K182" s="142">
        <f>E182*J182</f>
        <v>-0.56243119682964737</v>
      </c>
      <c r="L182" s="95"/>
      <c r="M182" s="95"/>
      <c r="N182" s="95"/>
      <c r="O182" s="95"/>
    </row>
    <row r="183" spans="1:15" ht="15" customHeight="1">
      <c r="A183" s="95"/>
      <c r="B183" s="96">
        <f>B139</f>
        <v>2013</v>
      </c>
      <c r="C183" s="96"/>
      <c r="D183" s="100">
        <f>VLOOKUP(B183,B$7:E$11,3,FALSE)</f>
        <v>226</v>
      </c>
      <c r="E183" s="140">
        <f>((COUNT(B$180:B$184)-1)/2)+(B183-$C$4)</f>
        <v>2</v>
      </c>
      <c r="F183" s="98">
        <f>E183^2</f>
        <v>4</v>
      </c>
      <c r="G183" s="97">
        <f>E$177-D183</f>
        <v>774</v>
      </c>
      <c r="H183" s="157">
        <f>LOG(D183)</f>
        <v>2.3541084391474008</v>
      </c>
      <c r="I183" s="141">
        <f>LOG(G183)</f>
        <v>2.8887409606828927</v>
      </c>
      <c r="J183" s="142">
        <f>H183-I183</f>
        <v>-0.5346325215354919</v>
      </c>
      <c r="K183" s="142">
        <f>E183*J183</f>
        <v>-1.0692650430709838</v>
      </c>
      <c r="L183" s="95"/>
      <c r="M183" s="95"/>
      <c r="N183" s="95"/>
      <c r="O183" s="95"/>
    </row>
    <row r="184" spans="1:15" ht="15" customHeight="1">
      <c r="A184" s="95"/>
      <c r="B184" s="96">
        <f>B140</f>
        <v>2014</v>
      </c>
      <c r="C184" s="96"/>
      <c r="D184" s="100">
        <f>VLOOKUP(B184,B$7:E$11,3,FALSE)</f>
        <v>277</v>
      </c>
      <c r="E184" s="140">
        <f>((COUNT(B$180:B$184)-1)/2)+(B184-$C$4)</f>
        <v>3</v>
      </c>
      <c r="F184" s="98">
        <f>E184^2</f>
        <v>9</v>
      </c>
      <c r="G184" s="97">
        <f>E$177-D184</f>
        <v>723</v>
      </c>
      <c r="H184" s="157">
        <f>LOG(D184)</f>
        <v>2.4424797690644486</v>
      </c>
      <c r="I184" s="141">
        <f>LOG(G184)</f>
        <v>2.859138297294531</v>
      </c>
      <c r="J184" s="142">
        <f>H184-I184</f>
        <v>-0.41665852823008231</v>
      </c>
      <c r="K184" s="142">
        <f>E184*J184</f>
        <v>-1.2499755846902469</v>
      </c>
      <c r="L184" s="95"/>
      <c r="M184" s="95"/>
      <c r="N184" s="95"/>
      <c r="O184" s="95"/>
    </row>
    <row r="185" spans="1:15" ht="15" customHeight="1" thickBot="1">
      <c r="A185" s="95"/>
      <c r="B185" s="103" t="s">
        <v>146</v>
      </c>
      <c r="C185" s="104"/>
      <c r="D185" s="158">
        <f>SUM(D180:D184)</f>
        <v>1275</v>
      </c>
      <c r="E185" s="159">
        <f>SUM(E180:E184)</f>
        <v>5</v>
      </c>
      <c r="F185" s="160">
        <f>ROUND(SUM(F180:F184),0)</f>
        <v>15</v>
      </c>
      <c r="G185" s="145"/>
      <c r="H185" s="147"/>
      <c r="I185" s="148"/>
      <c r="J185" s="161">
        <f>SUM(J180:J184)</f>
        <v>-2.3519524473138014</v>
      </c>
      <c r="K185" s="161">
        <f>SUM(K180:K184)</f>
        <v>-2.5682045130271871</v>
      </c>
      <c r="L185" s="95"/>
      <c r="M185" s="95"/>
      <c r="N185" s="95"/>
      <c r="O185" s="95"/>
    </row>
    <row r="186" spans="1:15" ht="15" customHeight="1">
      <c r="A186" s="95"/>
      <c r="B186" s="100" t="s">
        <v>246</v>
      </c>
      <c r="C186" s="100"/>
      <c r="D186" s="93" t="s">
        <v>247</v>
      </c>
      <c r="E186" s="136" t="s">
        <v>248</v>
      </c>
      <c r="F186" s="95"/>
      <c r="G186" s="111" t="str">
        <f>"X = x × LOG e = "&amp;E185&amp;" 이고,"</f>
        <v>X = x × LOG e = 5 이고,</v>
      </c>
      <c r="H186" s="111"/>
      <c r="I186" s="111" t="s">
        <v>249</v>
      </c>
      <c r="J186" s="111"/>
      <c r="K186" s="93"/>
      <c r="L186" s="95"/>
      <c r="M186" s="95"/>
      <c r="N186" s="95"/>
      <c r="O186" s="95"/>
    </row>
    <row r="187" spans="1:15" ht="15" customHeight="1">
      <c r="A187" s="95"/>
      <c r="B187" s="95"/>
      <c r="C187" s="95"/>
      <c r="D187" s="111" t="s">
        <v>250</v>
      </c>
      <c r="E187" s="111"/>
      <c r="F187" s="111"/>
      <c r="G187" s="111"/>
      <c r="H187" s="150">
        <f>ROUND(((E$185*K$185-F$185*J$185)/(COUNT(B$180:B$184)*F$185-E$185*E$185))/LOG(EXP(1)),5)</f>
        <v>1.03332</v>
      </c>
      <c r="I187" s="111"/>
      <c r="J187" s="111"/>
      <c r="K187" s="95"/>
      <c r="L187" s="95"/>
      <c r="M187" s="95"/>
      <c r="N187" s="95"/>
      <c r="O187" s="95"/>
    </row>
    <row r="188" spans="1:15" ht="15" customHeight="1">
      <c r="A188" s="95"/>
      <c r="B188" s="95"/>
      <c r="C188" s="95"/>
      <c r="D188" s="111" t="s">
        <v>251</v>
      </c>
      <c r="E188" s="111"/>
      <c r="F188" s="111"/>
      <c r="G188" s="162" t="s">
        <v>252</v>
      </c>
      <c r="H188" s="111"/>
      <c r="I188" s="111"/>
      <c r="J188" s="111"/>
      <c r="K188" s="163">
        <f>ROUND((COUNT(B$180:B$184)*K185-E185*J185)/(LOG(EXP(1))*(COUNT(B$180:B$184)*F185-E185*E185)),6)</f>
        <v>-4.9793999999999998E-2</v>
      </c>
      <c r="L188" s="95"/>
      <c r="M188" s="95"/>
      <c r="N188" s="95"/>
      <c r="O188" s="95"/>
    </row>
    <row r="189" spans="1:15" ht="15" customHeight="1">
      <c r="A189" s="95"/>
      <c r="B189" s="95"/>
      <c r="C189" s="95"/>
      <c r="D189" s="111"/>
      <c r="E189" s="95"/>
      <c r="F189" s="93"/>
      <c r="G189" s="93"/>
      <c r="H189" s="111"/>
      <c r="I189" s="111"/>
      <c r="J189" s="152"/>
      <c r="K189" s="95"/>
      <c r="L189" s="95"/>
      <c r="M189" s="95"/>
      <c r="N189" s="95"/>
      <c r="O189" s="95"/>
    </row>
    <row r="190" spans="1:15" ht="15" customHeight="1" thickBot="1">
      <c r="A190" s="95"/>
      <c r="B190" s="95"/>
      <c r="C190" s="95"/>
      <c r="D190" s="95"/>
      <c r="E190" s="95"/>
      <c r="F190" s="100" t="s">
        <v>200</v>
      </c>
      <c r="G190" s="100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4" t="s">
        <v>141</v>
      </c>
      <c r="C191" s="94"/>
      <c r="D191" s="94" t="s">
        <v>174</v>
      </c>
      <c r="E191" s="94"/>
      <c r="F191" s="94" t="s">
        <v>256</v>
      </c>
      <c r="G191" s="94"/>
      <c r="H191" s="94" t="s">
        <v>257</v>
      </c>
      <c r="I191" s="94"/>
      <c r="J191" s="94" t="s">
        <v>53</v>
      </c>
      <c r="K191" s="94"/>
      <c r="L191" s="95"/>
      <c r="M191" s="95"/>
      <c r="N191" s="95"/>
      <c r="O191" s="95"/>
    </row>
    <row r="192" spans="1:15" ht="15" customHeight="1">
      <c r="A192" s="95"/>
      <c r="B192" s="112">
        <v>2014</v>
      </c>
      <c r="C192" s="100"/>
      <c r="D192" s="100">
        <f t="shared" ref="D192:D213" si="8">ROUNDUP(E$177/(1+EXP(1)^(H$187-K$188*(B192-B$180+0.5))),0)</f>
        <v>222</v>
      </c>
      <c r="E192" s="100"/>
      <c r="F192" s="100">
        <v>0</v>
      </c>
      <c r="G192" s="100"/>
      <c r="H192" s="100">
        <f t="shared" ref="H192:H213" si="9">ROUND(D192*(1+F192),0)</f>
        <v>222</v>
      </c>
      <c r="I192" s="100"/>
      <c r="J192" s="102">
        <v>0</v>
      </c>
      <c r="K192" s="102"/>
      <c r="L192" s="95"/>
      <c r="M192" s="95"/>
      <c r="N192" s="95"/>
      <c r="O192" s="95"/>
    </row>
    <row r="193" spans="1:15" ht="15" customHeight="1">
      <c r="A193" s="95"/>
      <c r="B193" s="115">
        <v>2015</v>
      </c>
      <c r="C193" s="116"/>
      <c r="D193" s="116">
        <f t="shared" si="8"/>
        <v>213</v>
      </c>
      <c r="E193" s="116"/>
      <c r="F193" s="116">
        <v>0</v>
      </c>
      <c r="G193" s="116"/>
      <c r="H193" s="116">
        <f t="shared" si="9"/>
        <v>213</v>
      </c>
      <c r="I193" s="116"/>
      <c r="J193" s="117">
        <v>0</v>
      </c>
      <c r="K193" s="117"/>
      <c r="L193" s="95"/>
      <c r="M193" s="95"/>
      <c r="N193" s="95"/>
      <c r="O193" s="95"/>
    </row>
    <row r="194" spans="1:15" ht="15" customHeight="1">
      <c r="A194" s="95"/>
      <c r="B194" s="112">
        <v>2016</v>
      </c>
      <c r="C194" s="113"/>
      <c r="D194" s="113">
        <f t="shared" si="8"/>
        <v>205</v>
      </c>
      <c r="E194" s="113"/>
      <c r="F194" s="113">
        <v>0</v>
      </c>
      <c r="G194" s="113"/>
      <c r="H194" s="113">
        <f t="shared" si="9"/>
        <v>205</v>
      </c>
      <c r="I194" s="113"/>
      <c r="J194" s="114">
        <v>0</v>
      </c>
      <c r="K194" s="114"/>
      <c r="L194" s="95"/>
      <c r="M194" s="95"/>
      <c r="N194" s="95"/>
      <c r="O194" s="95"/>
    </row>
    <row r="195" spans="1:15" ht="15" customHeight="1">
      <c r="A195" s="95"/>
      <c r="B195" s="112">
        <v>2017</v>
      </c>
      <c r="C195" s="113"/>
      <c r="D195" s="113">
        <f t="shared" si="8"/>
        <v>197</v>
      </c>
      <c r="E195" s="113"/>
      <c r="F195" s="113">
        <v>0</v>
      </c>
      <c r="G195" s="113"/>
      <c r="H195" s="113">
        <f t="shared" si="9"/>
        <v>197</v>
      </c>
      <c r="I195" s="113"/>
      <c r="J195" s="114">
        <v>0</v>
      </c>
      <c r="K195" s="114"/>
      <c r="L195" s="95"/>
      <c r="M195" s="95"/>
      <c r="N195" s="95"/>
      <c r="O195" s="95"/>
    </row>
    <row r="196" spans="1:15" ht="15" customHeight="1">
      <c r="A196" s="95"/>
      <c r="B196" s="112">
        <v>2018</v>
      </c>
      <c r="C196" s="113"/>
      <c r="D196" s="113">
        <f t="shared" si="8"/>
        <v>189</v>
      </c>
      <c r="E196" s="113"/>
      <c r="F196" s="113">
        <v>0</v>
      </c>
      <c r="G196" s="113"/>
      <c r="H196" s="113">
        <f t="shared" si="9"/>
        <v>189</v>
      </c>
      <c r="I196" s="113"/>
      <c r="J196" s="114">
        <v>0</v>
      </c>
      <c r="K196" s="114"/>
      <c r="L196" s="95"/>
      <c r="M196" s="95"/>
      <c r="N196" s="95"/>
      <c r="O196" s="95"/>
    </row>
    <row r="197" spans="1:15" ht="15" customHeight="1">
      <c r="A197" s="95"/>
      <c r="B197" s="112">
        <v>2019</v>
      </c>
      <c r="C197" s="113"/>
      <c r="D197" s="113">
        <f t="shared" si="8"/>
        <v>182</v>
      </c>
      <c r="E197" s="113"/>
      <c r="F197" s="113">
        <v>0</v>
      </c>
      <c r="G197" s="113"/>
      <c r="H197" s="113">
        <f t="shared" si="9"/>
        <v>182</v>
      </c>
      <c r="I197" s="113"/>
      <c r="J197" s="114">
        <v>0</v>
      </c>
      <c r="K197" s="114"/>
      <c r="L197" s="95"/>
      <c r="M197" s="95"/>
      <c r="N197" s="95"/>
      <c r="O197" s="95"/>
    </row>
    <row r="198" spans="1:15" ht="15" customHeight="1">
      <c r="A198" s="95"/>
      <c r="B198" s="115">
        <v>2020</v>
      </c>
      <c r="C198" s="116"/>
      <c r="D198" s="116">
        <f t="shared" si="8"/>
        <v>175</v>
      </c>
      <c r="E198" s="116"/>
      <c r="F198" s="116">
        <v>0</v>
      </c>
      <c r="G198" s="116"/>
      <c r="H198" s="116">
        <f t="shared" si="9"/>
        <v>175</v>
      </c>
      <c r="I198" s="116"/>
      <c r="J198" s="117">
        <v>0</v>
      </c>
      <c r="K198" s="117"/>
      <c r="L198" s="95"/>
      <c r="M198" s="95"/>
      <c r="N198" s="95"/>
      <c r="O198" s="95"/>
    </row>
    <row r="199" spans="1:15" ht="15" customHeight="1">
      <c r="A199" s="95"/>
      <c r="B199" s="112">
        <v>2021</v>
      </c>
      <c r="C199" s="113"/>
      <c r="D199" s="113">
        <f t="shared" si="8"/>
        <v>168</v>
      </c>
      <c r="E199" s="113"/>
      <c r="F199" s="113">
        <v>0</v>
      </c>
      <c r="G199" s="113"/>
      <c r="H199" s="113">
        <f t="shared" si="9"/>
        <v>168</v>
      </c>
      <c r="I199" s="113"/>
      <c r="J199" s="114">
        <v>0</v>
      </c>
      <c r="K199" s="114"/>
      <c r="L199" s="95"/>
      <c r="M199" s="95"/>
      <c r="N199" s="95"/>
      <c r="O199" s="95"/>
    </row>
    <row r="200" spans="1:15" ht="15" customHeight="1">
      <c r="A200" s="95"/>
      <c r="B200" s="112">
        <v>2022</v>
      </c>
      <c r="C200" s="113"/>
      <c r="D200" s="113">
        <f t="shared" si="8"/>
        <v>161</v>
      </c>
      <c r="E200" s="113"/>
      <c r="F200" s="113">
        <v>0</v>
      </c>
      <c r="G200" s="113"/>
      <c r="H200" s="113">
        <f t="shared" si="9"/>
        <v>161</v>
      </c>
      <c r="I200" s="113"/>
      <c r="J200" s="114">
        <v>0</v>
      </c>
      <c r="K200" s="114"/>
      <c r="L200" s="95"/>
      <c r="M200" s="95"/>
      <c r="N200" s="95"/>
      <c r="O200" s="95"/>
    </row>
    <row r="201" spans="1:15" ht="15" customHeight="1">
      <c r="A201" s="95"/>
      <c r="B201" s="112">
        <v>2023</v>
      </c>
      <c r="C201" s="113"/>
      <c r="D201" s="113">
        <f t="shared" si="8"/>
        <v>154</v>
      </c>
      <c r="E201" s="113"/>
      <c r="F201" s="113">
        <v>0</v>
      </c>
      <c r="G201" s="113"/>
      <c r="H201" s="113">
        <f t="shared" si="9"/>
        <v>154</v>
      </c>
      <c r="I201" s="113"/>
      <c r="J201" s="114">
        <v>0</v>
      </c>
      <c r="K201" s="114"/>
      <c r="L201" s="95"/>
      <c r="M201" s="95"/>
      <c r="N201" s="95"/>
      <c r="O201" s="95"/>
    </row>
    <row r="202" spans="1:15" ht="15" customHeight="1">
      <c r="A202" s="95"/>
      <c r="B202" s="112">
        <v>2024</v>
      </c>
      <c r="C202" s="113"/>
      <c r="D202" s="113">
        <f t="shared" si="8"/>
        <v>148</v>
      </c>
      <c r="E202" s="113"/>
      <c r="F202" s="113">
        <v>0</v>
      </c>
      <c r="G202" s="113"/>
      <c r="H202" s="113">
        <f t="shared" si="9"/>
        <v>148</v>
      </c>
      <c r="I202" s="113"/>
      <c r="J202" s="114">
        <v>0</v>
      </c>
      <c r="K202" s="114"/>
      <c r="L202" s="95"/>
      <c r="M202" s="95"/>
      <c r="N202" s="95"/>
      <c r="O202" s="95"/>
    </row>
    <row r="203" spans="1:15" ht="15" customHeight="1">
      <c r="A203" s="95"/>
      <c r="B203" s="115">
        <v>2025</v>
      </c>
      <c r="C203" s="116"/>
      <c r="D203" s="116">
        <f t="shared" si="8"/>
        <v>142</v>
      </c>
      <c r="E203" s="116"/>
      <c r="F203" s="116">
        <v>0</v>
      </c>
      <c r="G203" s="116"/>
      <c r="H203" s="116">
        <f t="shared" si="9"/>
        <v>142</v>
      </c>
      <c r="I203" s="116"/>
      <c r="J203" s="117">
        <v>0</v>
      </c>
      <c r="K203" s="117"/>
      <c r="L203" s="95"/>
      <c r="M203" s="95"/>
      <c r="N203" s="95"/>
      <c r="O203" s="95"/>
    </row>
    <row r="204" spans="1:15" ht="15" customHeight="1">
      <c r="A204" s="95"/>
      <c r="B204" s="112">
        <v>2026</v>
      </c>
      <c r="C204" s="113"/>
      <c r="D204" s="113">
        <f t="shared" si="8"/>
        <v>136</v>
      </c>
      <c r="E204" s="113"/>
      <c r="F204" s="113">
        <v>0</v>
      </c>
      <c r="G204" s="113"/>
      <c r="H204" s="113">
        <f t="shared" si="9"/>
        <v>136</v>
      </c>
      <c r="I204" s="113"/>
      <c r="J204" s="114">
        <v>0</v>
      </c>
      <c r="K204" s="114"/>
      <c r="L204" s="95"/>
      <c r="M204" s="95"/>
      <c r="N204" s="95"/>
      <c r="O204" s="95"/>
    </row>
    <row r="205" spans="1:15" ht="15" customHeight="1">
      <c r="A205" s="95"/>
      <c r="B205" s="112">
        <v>2027</v>
      </c>
      <c r="C205" s="113"/>
      <c r="D205" s="113">
        <f t="shared" si="8"/>
        <v>130</v>
      </c>
      <c r="E205" s="113"/>
      <c r="F205" s="113">
        <v>0</v>
      </c>
      <c r="G205" s="113"/>
      <c r="H205" s="113">
        <f t="shared" si="9"/>
        <v>130</v>
      </c>
      <c r="I205" s="113"/>
      <c r="J205" s="114">
        <v>0</v>
      </c>
      <c r="K205" s="114"/>
      <c r="L205" s="95"/>
      <c r="M205" s="95"/>
      <c r="N205" s="95"/>
      <c r="O205" s="95"/>
    </row>
    <row r="206" spans="1:15" ht="15" customHeight="1">
      <c r="A206" s="95"/>
      <c r="B206" s="112">
        <v>2028</v>
      </c>
      <c r="C206" s="113"/>
      <c r="D206" s="113">
        <f t="shared" si="8"/>
        <v>125</v>
      </c>
      <c r="E206" s="113"/>
      <c r="F206" s="113">
        <v>0</v>
      </c>
      <c r="G206" s="113"/>
      <c r="H206" s="113">
        <f t="shared" si="9"/>
        <v>125</v>
      </c>
      <c r="I206" s="113"/>
      <c r="J206" s="114">
        <v>0</v>
      </c>
      <c r="K206" s="114"/>
      <c r="L206" s="95"/>
      <c r="M206" s="95"/>
      <c r="N206" s="95"/>
      <c r="O206" s="95"/>
    </row>
    <row r="207" spans="1:15" ht="15" customHeight="1">
      <c r="A207" s="95"/>
      <c r="B207" s="112">
        <v>2029</v>
      </c>
      <c r="C207" s="113"/>
      <c r="D207" s="113">
        <f t="shared" si="8"/>
        <v>119</v>
      </c>
      <c r="E207" s="113"/>
      <c r="F207" s="113">
        <v>0</v>
      </c>
      <c r="G207" s="113"/>
      <c r="H207" s="113">
        <f t="shared" si="9"/>
        <v>119</v>
      </c>
      <c r="I207" s="113"/>
      <c r="J207" s="114">
        <v>0</v>
      </c>
      <c r="K207" s="114"/>
      <c r="L207" s="95"/>
      <c r="M207" s="95"/>
      <c r="N207" s="95"/>
      <c r="O207" s="95"/>
    </row>
    <row r="208" spans="1:15" ht="15" customHeight="1">
      <c r="A208" s="95"/>
      <c r="B208" s="115">
        <v>2030</v>
      </c>
      <c r="C208" s="116"/>
      <c r="D208" s="116">
        <f t="shared" si="8"/>
        <v>114</v>
      </c>
      <c r="E208" s="116"/>
      <c r="F208" s="116">
        <v>0</v>
      </c>
      <c r="G208" s="116"/>
      <c r="H208" s="116">
        <f t="shared" si="9"/>
        <v>114</v>
      </c>
      <c r="I208" s="116"/>
      <c r="J208" s="117">
        <v>0</v>
      </c>
      <c r="K208" s="117"/>
      <c r="L208" s="95"/>
      <c r="M208" s="95"/>
      <c r="N208" s="95"/>
      <c r="O208" s="95"/>
    </row>
    <row r="209" spans="1:15" ht="15" customHeight="1">
      <c r="A209" s="95"/>
      <c r="B209" s="112">
        <v>2031</v>
      </c>
      <c r="C209" s="113"/>
      <c r="D209" s="113">
        <f t="shared" si="8"/>
        <v>109</v>
      </c>
      <c r="E209" s="113"/>
      <c r="F209" s="113">
        <v>0</v>
      </c>
      <c r="G209" s="113"/>
      <c r="H209" s="113">
        <f t="shared" si="9"/>
        <v>109</v>
      </c>
      <c r="I209" s="113"/>
      <c r="J209" s="114">
        <v>0</v>
      </c>
      <c r="K209" s="114"/>
      <c r="L209" s="95"/>
      <c r="M209" s="95"/>
      <c r="N209" s="95"/>
      <c r="O209" s="95"/>
    </row>
    <row r="210" spans="1:15" ht="15" customHeight="1">
      <c r="A210" s="95"/>
      <c r="B210" s="112">
        <v>2032</v>
      </c>
      <c r="C210" s="113"/>
      <c r="D210" s="113">
        <f t="shared" si="8"/>
        <v>104</v>
      </c>
      <c r="E210" s="113"/>
      <c r="F210" s="113">
        <v>0</v>
      </c>
      <c r="G210" s="113"/>
      <c r="H210" s="113">
        <f t="shared" si="9"/>
        <v>104</v>
      </c>
      <c r="I210" s="113"/>
      <c r="J210" s="114">
        <v>0</v>
      </c>
      <c r="K210" s="114"/>
      <c r="L210" s="95"/>
      <c r="M210" s="95"/>
      <c r="N210" s="95"/>
      <c r="O210" s="95"/>
    </row>
    <row r="211" spans="1:15" ht="15" customHeight="1">
      <c r="A211" s="95"/>
      <c r="B211" s="112">
        <v>2033</v>
      </c>
      <c r="C211" s="113"/>
      <c r="D211" s="113">
        <f t="shared" si="8"/>
        <v>100</v>
      </c>
      <c r="E211" s="113"/>
      <c r="F211" s="113">
        <v>0</v>
      </c>
      <c r="G211" s="113"/>
      <c r="H211" s="113">
        <f t="shared" si="9"/>
        <v>100</v>
      </c>
      <c r="I211" s="113"/>
      <c r="J211" s="114">
        <v>0</v>
      </c>
      <c r="K211" s="114"/>
      <c r="L211" s="95"/>
      <c r="M211" s="95"/>
      <c r="N211" s="95"/>
      <c r="O211" s="95"/>
    </row>
    <row r="212" spans="1:15" ht="15" customHeight="1">
      <c r="A212" s="95"/>
      <c r="B212" s="112">
        <v>2034</v>
      </c>
      <c r="C212" s="113"/>
      <c r="D212" s="113">
        <f t="shared" si="8"/>
        <v>96</v>
      </c>
      <c r="E212" s="113"/>
      <c r="F212" s="113">
        <v>0</v>
      </c>
      <c r="G212" s="113"/>
      <c r="H212" s="113">
        <f t="shared" si="9"/>
        <v>96</v>
      </c>
      <c r="I212" s="113"/>
      <c r="J212" s="114">
        <v>0</v>
      </c>
      <c r="K212" s="114"/>
      <c r="L212" s="95"/>
      <c r="M212" s="95"/>
      <c r="N212" s="95"/>
      <c r="O212" s="95"/>
    </row>
    <row r="213" spans="1:15" ht="15" customHeight="1" thickBot="1">
      <c r="A213" s="95"/>
      <c r="B213" s="115">
        <v>2035</v>
      </c>
      <c r="C213" s="116"/>
      <c r="D213" s="116">
        <f t="shared" si="8"/>
        <v>91</v>
      </c>
      <c r="E213" s="116"/>
      <c r="F213" s="116">
        <v>0</v>
      </c>
      <c r="G213" s="116"/>
      <c r="H213" s="116">
        <f t="shared" si="9"/>
        <v>91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95"/>
      <c r="M214" s="95"/>
      <c r="N214" s="95"/>
      <c r="O214" s="95"/>
    </row>
    <row r="215" spans="1:15" ht="15" customHeight="1">
      <c r="A215" s="95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95"/>
      <c r="M215" s="95"/>
      <c r="N215" s="95"/>
      <c r="O215" s="95"/>
    </row>
    <row r="216" spans="1:15" ht="15" customHeight="1">
      <c r="A216" s="95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95"/>
      <c r="M216" s="95"/>
      <c r="N216" s="95"/>
      <c r="O216" s="95"/>
    </row>
    <row r="217" spans="1:15" ht="15" customHeight="1">
      <c r="A217" s="95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95"/>
      <c r="M217" s="95"/>
      <c r="N217" s="95"/>
      <c r="O217" s="95"/>
    </row>
    <row r="218" spans="1:15" ht="15" customHeight="1">
      <c r="A218" s="95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95"/>
      <c r="M218" s="95"/>
      <c r="N218" s="95"/>
      <c r="O218" s="95"/>
    </row>
    <row r="219" spans="1:15" ht="15" customHeight="1" thickBot="1">
      <c r="A219" s="95"/>
      <c r="B219" s="95"/>
      <c r="C219" s="95"/>
      <c r="D219" s="95"/>
      <c r="E219" s="95"/>
      <c r="F219" s="100" t="s">
        <v>259</v>
      </c>
      <c r="G219" s="100"/>
      <c r="H219" s="95"/>
      <c r="I219" s="95"/>
      <c r="J219" s="95"/>
      <c r="K219" s="128" t="s">
        <v>260</v>
      </c>
      <c r="L219" s="95"/>
      <c r="M219" s="95"/>
      <c r="N219" s="95"/>
      <c r="O219" s="95"/>
    </row>
    <row r="220" spans="1:15" ht="15" customHeight="1">
      <c r="A220" s="95"/>
      <c r="B220" s="94" t="s">
        <v>141</v>
      </c>
      <c r="C220" s="94"/>
      <c r="D220" s="94" t="s">
        <v>261</v>
      </c>
      <c r="E220" s="94" t="s">
        <v>262</v>
      </c>
      <c r="F220" s="94" t="s">
        <v>263</v>
      </c>
      <c r="G220" s="94" t="s">
        <v>279</v>
      </c>
      <c r="H220" s="94" t="s">
        <v>264</v>
      </c>
      <c r="I220" s="94" t="s">
        <v>54</v>
      </c>
      <c r="J220" s="94" t="s">
        <v>266</v>
      </c>
      <c r="K220" s="94"/>
      <c r="L220" s="95"/>
      <c r="M220" s="95"/>
      <c r="N220" s="95">
        <v>396</v>
      </c>
      <c r="O220" s="95">
        <v>386</v>
      </c>
    </row>
    <row r="221" spans="1:15" ht="15" customHeight="1">
      <c r="A221" s="95"/>
      <c r="B221" s="112">
        <v>2014</v>
      </c>
      <c r="C221" s="113"/>
      <c r="D221" s="153">
        <f t="array" ref="D221">IF(B21=B221,H21)</f>
        <v>265</v>
      </c>
      <c r="E221" s="153">
        <f t="array" ref="E221">IF(B55=B221,H55)</f>
        <v>266</v>
      </c>
      <c r="F221" s="153">
        <f t="array" ref="F221">IF(B105=B221,H105)</f>
        <v>490</v>
      </c>
      <c r="G221" s="153">
        <f t="array" ref="G221">IF(B147=B221,H147)</f>
        <v>344</v>
      </c>
      <c r="H221" s="153">
        <f t="array" ref="H221">IF(B192=B221,H192)</f>
        <v>222</v>
      </c>
      <c r="I221" s="153">
        <f t="shared" ref="I221:I242" si="10">IF(G221=0,AVERAGE(D221,E221,F221,H221),AVERAGE(D221:H221))</f>
        <v>317.39999999999998</v>
      </c>
      <c r="J221" s="164">
        <f t="shared" ref="J221:J242" si="11">ROUND(AVERAGE(D221,F221:G221),0)</f>
        <v>366</v>
      </c>
      <c r="K221" s="156"/>
      <c r="L221" s="95"/>
      <c r="M221" s="95"/>
      <c r="N221" s="95"/>
      <c r="O221" s="95"/>
    </row>
    <row r="222" spans="1:15" ht="15" customHeight="1">
      <c r="A222" s="95"/>
      <c r="B222" s="115">
        <v>2015</v>
      </c>
      <c r="C222" s="116"/>
      <c r="D222" s="154">
        <f t="array" ref="D222">IF(B22=B222,H22)</f>
        <v>252</v>
      </c>
      <c r="E222" s="154">
        <f t="array" ref="E222">IF(B56=B222,H56)</f>
        <v>255</v>
      </c>
      <c r="F222" s="154">
        <f t="array" ref="F222">IF(B106=B222,H106)</f>
        <v>568</v>
      </c>
      <c r="G222" s="154">
        <f t="array" ref="G222">IF(B148=B222,H148)</f>
        <v>342</v>
      </c>
      <c r="H222" s="154">
        <f t="array" ref="H222">IF(B193=B222,H193)</f>
        <v>213</v>
      </c>
      <c r="I222" s="154">
        <f t="shared" si="10"/>
        <v>326</v>
      </c>
      <c r="J222" s="165">
        <f t="shared" si="11"/>
        <v>387</v>
      </c>
      <c r="K222" s="155"/>
      <c r="L222" s="95"/>
      <c r="M222" s="95"/>
      <c r="N222" s="95"/>
      <c r="O222" s="95"/>
    </row>
    <row r="223" spans="1:15" ht="15" customHeight="1">
      <c r="A223" s="95"/>
      <c r="B223" s="112">
        <v>2016</v>
      </c>
      <c r="C223" s="113"/>
      <c r="D223" s="153">
        <f t="array" ref="D223">IF(B23=B223,H23)</f>
        <v>240</v>
      </c>
      <c r="E223" s="153">
        <f t="array" ref="E223">IF(B57=B223,H57)</f>
        <v>245</v>
      </c>
      <c r="F223" s="153">
        <f t="array" ref="F223">IF(B107=B223,H107)</f>
        <v>646</v>
      </c>
      <c r="G223" s="153">
        <f t="array" ref="G223">IF(B149=B223,H149)</f>
        <v>340</v>
      </c>
      <c r="H223" s="153">
        <f t="array" ref="H223">IF(B194=B223,H194)</f>
        <v>205</v>
      </c>
      <c r="I223" s="153">
        <f t="shared" si="10"/>
        <v>335.2</v>
      </c>
      <c r="J223" s="164">
        <f t="shared" si="11"/>
        <v>409</v>
      </c>
      <c r="K223" s="156"/>
      <c r="L223" s="95"/>
      <c r="M223" s="95"/>
      <c r="N223" s="95"/>
      <c r="O223" s="95"/>
    </row>
    <row r="224" spans="1:15" ht="15" customHeight="1">
      <c r="A224" s="95"/>
      <c r="B224" s="112">
        <v>2017</v>
      </c>
      <c r="C224" s="113"/>
      <c r="D224" s="153">
        <f t="array" ref="D224">IF(B24=B224,H24)</f>
        <v>227</v>
      </c>
      <c r="E224" s="153">
        <f t="array" ref="E224">IF(B58=B224,H58)</f>
        <v>235</v>
      </c>
      <c r="F224" s="153">
        <f t="array" ref="F224">IF(B108=B224,H108)</f>
        <v>724</v>
      </c>
      <c r="G224" s="153">
        <f t="array" ref="G224">IF(B150=B224,H150)</f>
        <v>339</v>
      </c>
      <c r="H224" s="153">
        <f t="array" ref="H224">IF(B195=B224,H195)</f>
        <v>197</v>
      </c>
      <c r="I224" s="153">
        <f t="shared" si="10"/>
        <v>344.4</v>
      </c>
      <c r="J224" s="164">
        <f t="shared" si="11"/>
        <v>430</v>
      </c>
      <c r="K224" s="156"/>
      <c r="L224" s="95"/>
      <c r="M224" s="95"/>
      <c r="N224" s="95"/>
      <c r="O224" s="95"/>
    </row>
    <row r="225" spans="1:15" ht="15" customHeight="1">
      <c r="A225" s="95"/>
      <c r="B225" s="112">
        <v>2018</v>
      </c>
      <c r="C225" s="113"/>
      <c r="D225" s="153">
        <f t="array" ref="D225">IF(B25=B225,H25)</f>
        <v>215</v>
      </c>
      <c r="E225" s="153">
        <f t="array" ref="E225">IF(B59=B225,H59)</f>
        <v>225</v>
      </c>
      <c r="F225" s="153">
        <f t="array" ref="F225">IF(B109=B225,H109)</f>
        <v>802</v>
      </c>
      <c r="G225" s="153">
        <f t="array" ref="G225">IF(B151=B225,H151)</f>
        <v>338</v>
      </c>
      <c r="H225" s="153">
        <f t="array" ref="H225">IF(B196=B225,H196)</f>
        <v>189</v>
      </c>
      <c r="I225" s="153">
        <f t="shared" si="10"/>
        <v>353.8</v>
      </c>
      <c r="J225" s="164">
        <f t="shared" si="11"/>
        <v>452</v>
      </c>
      <c r="K225" s="156"/>
      <c r="L225" s="95"/>
      <c r="M225" s="95"/>
      <c r="N225" s="95"/>
      <c r="O225" s="95"/>
    </row>
    <row r="226" spans="1:15" ht="15" customHeight="1">
      <c r="A226" s="95"/>
      <c r="B226" s="112">
        <v>2019</v>
      </c>
      <c r="C226" s="113"/>
      <c r="D226" s="153">
        <f t="array" ref="D226">IF(B26=B226,H26)</f>
        <v>202</v>
      </c>
      <c r="E226" s="153">
        <f t="array" ref="E226">IF(B60=B226,H60)</f>
        <v>216</v>
      </c>
      <c r="F226" s="153">
        <f t="array" ref="F226">IF(B110=B226,H110)</f>
        <v>880</v>
      </c>
      <c r="G226" s="153">
        <f t="array" ref="G226">IF(B152=B226,H152)</f>
        <v>338</v>
      </c>
      <c r="H226" s="153">
        <f t="array" ref="H226">IF(B197=B226,H197)</f>
        <v>182</v>
      </c>
      <c r="I226" s="153">
        <f t="shared" si="10"/>
        <v>363.6</v>
      </c>
      <c r="J226" s="164">
        <f t="shared" si="11"/>
        <v>473</v>
      </c>
      <c r="K226" s="156"/>
      <c r="L226" s="95"/>
      <c r="M226" s="95"/>
      <c r="N226" s="95"/>
      <c r="O226" s="95"/>
    </row>
    <row r="227" spans="1:15" ht="15" customHeight="1">
      <c r="A227" s="95"/>
      <c r="B227" s="115">
        <v>2020</v>
      </c>
      <c r="C227" s="116"/>
      <c r="D227" s="154">
        <f t="array" ref="D227">IF(B27=B227,H27)</f>
        <v>190</v>
      </c>
      <c r="E227" s="154">
        <f t="array" ref="E227">IF(B61=B227,H61)</f>
        <v>207</v>
      </c>
      <c r="F227" s="154">
        <f t="array" ref="F227">IF(B111=B227,H111)</f>
        <v>958</v>
      </c>
      <c r="G227" s="154">
        <f t="array" ref="G227">IF(B153=B227,H153)</f>
        <v>337</v>
      </c>
      <c r="H227" s="154">
        <f t="array" ref="H227">IF(B198=B227,H198)</f>
        <v>175</v>
      </c>
      <c r="I227" s="154">
        <f t="shared" si="10"/>
        <v>373.4</v>
      </c>
      <c r="J227" s="165">
        <f t="shared" si="11"/>
        <v>495</v>
      </c>
      <c r="K227" s="155"/>
      <c r="L227" s="95"/>
      <c r="M227" s="95"/>
      <c r="N227" s="95"/>
      <c r="O227" s="95"/>
    </row>
    <row r="228" spans="1:15" ht="15" customHeight="1">
      <c r="A228" s="95"/>
      <c r="B228" s="112">
        <v>2021</v>
      </c>
      <c r="C228" s="113"/>
      <c r="D228" s="153">
        <f t="array" ref="D228">IF(B28=B228,H28)</f>
        <v>177</v>
      </c>
      <c r="E228" s="153">
        <f t="array" ref="E228">IF(B62=B228,H62)</f>
        <v>199</v>
      </c>
      <c r="F228" s="153">
        <f t="array" ref="F228">IF(B112=B228,H112)</f>
        <v>1036</v>
      </c>
      <c r="G228" s="153">
        <f t="array" ref="G228">IF(B154=B228,H154)</f>
        <v>336</v>
      </c>
      <c r="H228" s="153">
        <f t="array" ref="H228">IF(B199=B228,H199)</f>
        <v>168</v>
      </c>
      <c r="I228" s="153">
        <f t="shared" si="10"/>
        <v>383.2</v>
      </c>
      <c r="J228" s="164">
        <f t="shared" si="11"/>
        <v>516</v>
      </c>
      <c r="K228" s="156"/>
      <c r="L228" s="95"/>
      <c r="M228" s="95"/>
      <c r="N228" s="95"/>
      <c r="O228" s="95"/>
    </row>
    <row r="229" spans="1:15" ht="15" customHeight="1">
      <c r="A229" s="95"/>
      <c r="B229" s="112">
        <v>2022</v>
      </c>
      <c r="C229" s="113"/>
      <c r="D229" s="153">
        <f t="array" ref="D229">IF(B29=B229,H29)</f>
        <v>165</v>
      </c>
      <c r="E229" s="153">
        <f t="array" ref="E229">IF(B63=B229,H63)</f>
        <v>191</v>
      </c>
      <c r="F229" s="153">
        <f t="array" ref="F229">IF(B113=B229,H113)</f>
        <v>1114</v>
      </c>
      <c r="G229" s="153">
        <f t="array" ref="G229">IF(B155=B229,H155)</f>
        <v>336</v>
      </c>
      <c r="H229" s="153">
        <f t="array" ref="H229">IF(B200=B229,H200)</f>
        <v>161</v>
      </c>
      <c r="I229" s="153">
        <f t="shared" si="10"/>
        <v>393.4</v>
      </c>
      <c r="J229" s="164">
        <f t="shared" si="11"/>
        <v>538</v>
      </c>
      <c r="K229" s="156"/>
      <c r="L229" s="95"/>
      <c r="M229" s="95"/>
      <c r="N229" s="95"/>
      <c r="O229" s="95"/>
    </row>
    <row r="230" spans="1:15" ht="15" customHeight="1">
      <c r="A230" s="95"/>
      <c r="B230" s="112">
        <v>2023</v>
      </c>
      <c r="C230" s="113"/>
      <c r="D230" s="153">
        <f t="array" ref="D230">IF(B30=B230,H30)</f>
        <v>152</v>
      </c>
      <c r="E230" s="153">
        <f t="array" ref="E230">IF(B64=B230,H64)</f>
        <v>183</v>
      </c>
      <c r="F230" s="153">
        <f t="array" ref="F230">IF(B114=B230,H114)</f>
        <v>1192</v>
      </c>
      <c r="G230" s="153">
        <f t="array" ref="G230">IF(B156=B230,H156)</f>
        <v>336</v>
      </c>
      <c r="H230" s="153">
        <f t="array" ref="H230">IF(B201=B230,H201)</f>
        <v>154</v>
      </c>
      <c r="I230" s="153">
        <f t="shared" si="10"/>
        <v>403.4</v>
      </c>
      <c r="J230" s="164">
        <f t="shared" si="11"/>
        <v>560</v>
      </c>
      <c r="K230" s="156"/>
      <c r="L230" s="95"/>
      <c r="M230" s="95"/>
      <c r="N230" s="95"/>
      <c r="O230" s="95"/>
    </row>
    <row r="231" spans="1:15" ht="15" customHeight="1">
      <c r="A231" s="95"/>
      <c r="B231" s="112">
        <v>2024</v>
      </c>
      <c r="C231" s="113"/>
      <c r="D231" s="153">
        <f t="array" ref="D231">IF(B31=B231,H31)</f>
        <v>140</v>
      </c>
      <c r="E231" s="153">
        <f t="array" ref="E231">IF(B65=B231,H65)</f>
        <v>176</v>
      </c>
      <c r="F231" s="153">
        <f t="array" ref="F231">IF(B115=B231,H115)</f>
        <v>1270</v>
      </c>
      <c r="G231" s="153">
        <f t="array" ref="G231">IF(B157=B231,H157)</f>
        <v>335</v>
      </c>
      <c r="H231" s="153">
        <f t="array" ref="H231">IF(B202=B231,H202)</f>
        <v>148</v>
      </c>
      <c r="I231" s="153">
        <f t="shared" si="10"/>
        <v>413.8</v>
      </c>
      <c r="J231" s="164">
        <f t="shared" si="11"/>
        <v>582</v>
      </c>
      <c r="K231" s="156"/>
      <c r="L231" s="95"/>
      <c r="M231" s="95"/>
      <c r="N231" s="95"/>
      <c r="O231" s="95"/>
    </row>
    <row r="232" spans="1:15" ht="15" customHeight="1">
      <c r="A232" s="95"/>
      <c r="B232" s="115">
        <v>2025</v>
      </c>
      <c r="C232" s="116"/>
      <c r="D232" s="154">
        <f t="array" ref="D232">IF(B32=B232,H32)</f>
        <v>127</v>
      </c>
      <c r="E232" s="154">
        <f t="array" ref="E232">IF(B66=B232,H66)</f>
        <v>168</v>
      </c>
      <c r="F232" s="154">
        <f t="array" ref="F232">IF(B116=B232,H116)</f>
        <v>1348</v>
      </c>
      <c r="G232" s="154">
        <f t="array" ref="G232">IF(B158=B232,H158)</f>
        <v>335</v>
      </c>
      <c r="H232" s="154">
        <f t="array" ref="H232">IF(B203=B232,H203)</f>
        <v>142</v>
      </c>
      <c r="I232" s="154">
        <f t="shared" si="10"/>
        <v>424</v>
      </c>
      <c r="J232" s="165">
        <f t="shared" si="11"/>
        <v>603</v>
      </c>
      <c r="K232" s="155"/>
      <c r="L232" s="95"/>
      <c r="M232" s="95"/>
      <c r="N232" s="95"/>
      <c r="O232" s="95"/>
    </row>
    <row r="233" spans="1:15" ht="15" customHeight="1">
      <c r="A233" s="95"/>
      <c r="B233" s="112">
        <v>2026</v>
      </c>
      <c r="C233" s="113"/>
      <c r="D233" s="153">
        <f t="array" ref="D233">IF(B33=B233,H33)</f>
        <v>115</v>
      </c>
      <c r="E233" s="153">
        <f t="array" ref="E233">IF(B67=B233,H67)</f>
        <v>162</v>
      </c>
      <c r="F233" s="153">
        <f t="array" ref="F233">IF(B117=B233,H117)</f>
        <v>1426</v>
      </c>
      <c r="G233" s="153">
        <f t="array" ref="G233">IF(B159=B233,H159)</f>
        <v>335</v>
      </c>
      <c r="H233" s="153">
        <f t="array" ref="H233">IF(B204=B233,H204)</f>
        <v>136</v>
      </c>
      <c r="I233" s="153">
        <f t="shared" si="10"/>
        <v>434.8</v>
      </c>
      <c r="J233" s="164">
        <f t="shared" si="11"/>
        <v>625</v>
      </c>
      <c r="K233" s="156"/>
      <c r="L233" s="95"/>
      <c r="M233" s="95"/>
      <c r="N233" s="95"/>
      <c r="O233" s="95"/>
    </row>
    <row r="234" spans="1:15" ht="15" customHeight="1">
      <c r="A234" s="95"/>
      <c r="B234" s="112">
        <v>2027</v>
      </c>
      <c r="C234" s="113"/>
      <c r="D234" s="153">
        <f t="array" ref="D234">IF(B34=B234,H34)</f>
        <v>102</v>
      </c>
      <c r="E234" s="153">
        <f t="array" ref="E234">IF(B68=B234,H68)</f>
        <v>155</v>
      </c>
      <c r="F234" s="153">
        <f t="array" ref="F234">IF(B118=B234,H118)</f>
        <v>1505</v>
      </c>
      <c r="G234" s="153">
        <f t="array" ref="G234">IF(B160=B234,H160)</f>
        <v>334</v>
      </c>
      <c r="H234" s="153">
        <f t="array" ref="H234">IF(B205=B234,H205)</f>
        <v>130</v>
      </c>
      <c r="I234" s="153">
        <f t="shared" si="10"/>
        <v>445.2</v>
      </c>
      <c r="J234" s="164">
        <f t="shared" si="11"/>
        <v>647</v>
      </c>
      <c r="K234" s="156"/>
      <c r="L234" s="95"/>
      <c r="M234" s="95"/>
      <c r="N234" s="95"/>
      <c r="O234" s="95"/>
    </row>
    <row r="235" spans="1:15" ht="15" customHeight="1">
      <c r="A235" s="95"/>
      <c r="B235" s="112">
        <v>2028</v>
      </c>
      <c r="C235" s="113"/>
      <c r="D235" s="153">
        <f t="array" ref="D235">IF(B35=B235,H35)</f>
        <v>90</v>
      </c>
      <c r="E235" s="153">
        <f t="array" ref="E235">IF(B69=B235,H69)</f>
        <v>149</v>
      </c>
      <c r="F235" s="153">
        <f t="array" ref="F235">IF(B119=B235,H119)</f>
        <v>1583</v>
      </c>
      <c r="G235" s="153">
        <f t="array" ref="G235">IF(B161=B235,H161)</f>
        <v>334</v>
      </c>
      <c r="H235" s="153">
        <f t="array" ref="H235">IF(B206=B235,H206)</f>
        <v>125</v>
      </c>
      <c r="I235" s="153">
        <f t="shared" si="10"/>
        <v>456.2</v>
      </c>
      <c r="J235" s="164">
        <f t="shared" si="11"/>
        <v>669</v>
      </c>
      <c r="K235" s="156"/>
      <c r="L235" s="95"/>
      <c r="M235" s="95"/>
      <c r="N235" s="95"/>
      <c r="O235" s="95"/>
    </row>
    <row r="236" spans="1:15" ht="15" customHeight="1">
      <c r="A236" s="95"/>
      <c r="B236" s="112">
        <v>2029</v>
      </c>
      <c r="C236" s="113"/>
      <c r="D236" s="153">
        <f t="array" ref="D236">IF(B36=B236,H36)</f>
        <v>77</v>
      </c>
      <c r="E236" s="153">
        <f t="array" ref="E236">IF(B70=B236,H70)</f>
        <v>143</v>
      </c>
      <c r="F236" s="153">
        <f t="array" ref="F236">IF(B120=B236,H120)</f>
        <v>1661</v>
      </c>
      <c r="G236" s="153">
        <f t="array" ref="G236">IF(B162=B236,H162)</f>
        <v>334</v>
      </c>
      <c r="H236" s="153">
        <f t="array" ref="H236">IF(B207=B236,H207)</f>
        <v>119</v>
      </c>
      <c r="I236" s="153">
        <f t="shared" si="10"/>
        <v>466.8</v>
      </c>
      <c r="J236" s="164">
        <f t="shared" si="11"/>
        <v>691</v>
      </c>
      <c r="K236" s="156"/>
      <c r="L236" s="95"/>
      <c r="M236" s="95"/>
      <c r="N236" s="95"/>
      <c r="O236" s="95"/>
    </row>
    <row r="237" spans="1:15" ht="15" customHeight="1">
      <c r="A237" s="95"/>
      <c r="B237" s="115">
        <v>2030</v>
      </c>
      <c r="C237" s="116"/>
      <c r="D237" s="154">
        <f t="array" ref="D237">IF(B37=B237,H37)</f>
        <v>65</v>
      </c>
      <c r="E237" s="154">
        <f t="array" ref="E237">IF(B71=B237,H71)</f>
        <v>137</v>
      </c>
      <c r="F237" s="154">
        <f t="array" ref="F237">IF(B121=B237,H121)</f>
        <v>1739</v>
      </c>
      <c r="G237" s="154">
        <f t="array" ref="G237">IF(B163=B237,H163)</f>
        <v>334</v>
      </c>
      <c r="H237" s="154">
        <f t="array" ref="H237">IF(B208=B237,H208)</f>
        <v>114</v>
      </c>
      <c r="I237" s="154">
        <f t="shared" si="10"/>
        <v>477.8</v>
      </c>
      <c r="J237" s="165">
        <f t="shared" si="11"/>
        <v>713</v>
      </c>
      <c r="K237" s="155"/>
      <c r="L237" s="95"/>
      <c r="M237" s="95"/>
      <c r="N237" s="95"/>
      <c r="O237" s="95"/>
    </row>
    <row r="238" spans="1:15" ht="15" customHeight="1">
      <c r="A238" s="95"/>
      <c r="B238" s="112">
        <v>2031</v>
      </c>
      <c r="C238" s="113"/>
      <c r="D238" s="153">
        <f t="array" ref="D238">IF(B38=B238,H38)</f>
        <v>52</v>
      </c>
      <c r="E238" s="153">
        <f t="array" ref="E238">IF(B72=B238,H72)</f>
        <v>131</v>
      </c>
      <c r="F238" s="153">
        <f t="array" ref="F238">IF(B122=B238,H122)</f>
        <v>1817</v>
      </c>
      <c r="G238" s="153">
        <f t="array" ref="G238">IF(B164=B238,H164)</f>
        <v>334</v>
      </c>
      <c r="H238" s="153">
        <f t="array" ref="H238">IF(B209=B238,H209)</f>
        <v>109</v>
      </c>
      <c r="I238" s="153">
        <f t="shared" si="10"/>
        <v>488.6</v>
      </c>
      <c r="J238" s="164">
        <f t="shared" si="11"/>
        <v>734</v>
      </c>
      <c r="K238" s="156"/>
      <c r="L238" s="95"/>
      <c r="M238" s="95"/>
      <c r="N238" s="95"/>
      <c r="O238" s="95"/>
    </row>
    <row r="239" spans="1:15" ht="15" customHeight="1">
      <c r="A239" s="95"/>
      <c r="B239" s="112">
        <v>2032</v>
      </c>
      <c r="C239" s="113"/>
      <c r="D239" s="153">
        <f t="array" ref="D239">IF(B39=B239,H39)</f>
        <v>40</v>
      </c>
      <c r="E239" s="153">
        <f t="array" ref="E239">IF(B73=B239,H73)</f>
        <v>126</v>
      </c>
      <c r="F239" s="153">
        <f t="array" ref="F239">IF(B123=B239,H123)</f>
        <v>1895</v>
      </c>
      <c r="G239" s="153">
        <f t="array" ref="G239">IF(B165=B239,H165)</f>
        <v>333</v>
      </c>
      <c r="H239" s="153">
        <f t="array" ref="H239">IF(B210=B239,H210)</f>
        <v>104</v>
      </c>
      <c r="I239" s="153">
        <f t="shared" si="10"/>
        <v>499.6</v>
      </c>
      <c r="J239" s="164">
        <f t="shared" si="11"/>
        <v>756</v>
      </c>
      <c r="K239" s="156"/>
      <c r="L239" s="95"/>
      <c r="M239" s="95"/>
      <c r="N239" s="95"/>
      <c r="O239" s="95"/>
    </row>
    <row r="240" spans="1:15" ht="15" customHeight="1">
      <c r="A240" s="95"/>
      <c r="B240" s="112">
        <v>2033</v>
      </c>
      <c r="C240" s="113"/>
      <c r="D240" s="153">
        <f t="array" ref="D240">IF(B40=B240,H40)</f>
        <v>27</v>
      </c>
      <c r="E240" s="153">
        <f t="array" ref="E240">IF(B74=B240,H74)</f>
        <v>121</v>
      </c>
      <c r="F240" s="153">
        <f t="array" ref="F240">IF(B124=B240,H124)</f>
        <v>1973</v>
      </c>
      <c r="G240" s="153">
        <f t="array" ref="G240">IF(B166=B240,H166)</f>
        <v>333</v>
      </c>
      <c r="H240" s="153">
        <f t="array" ref="H240">IF(B211=B240,H211)</f>
        <v>100</v>
      </c>
      <c r="I240" s="153">
        <f t="shared" si="10"/>
        <v>510.8</v>
      </c>
      <c r="J240" s="164">
        <f t="shared" si="11"/>
        <v>778</v>
      </c>
      <c r="K240" s="156"/>
      <c r="L240" s="95"/>
      <c r="M240" s="95"/>
      <c r="N240" s="95"/>
      <c r="O240" s="95"/>
    </row>
    <row r="241" spans="1:15" ht="15" customHeight="1">
      <c r="A241" s="95"/>
      <c r="B241" s="112">
        <v>2034</v>
      </c>
      <c r="C241" s="113"/>
      <c r="D241" s="153">
        <f t="array" ref="D241">IF(B41=B241,H41)</f>
        <v>15</v>
      </c>
      <c r="E241" s="153">
        <f t="array" ref="E241">IF(B75=B241,H75)</f>
        <v>116</v>
      </c>
      <c r="F241" s="153">
        <f t="array" ref="F241">IF(B125=B241,H125)</f>
        <v>2051</v>
      </c>
      <c r="G241" s="153">
        <f t="array" ref="G241">IF(B167=B241,H167)</f>
        <v>333</v>
      </c>
      <c r="H241" s="153">
        <f t="array" ref="H241">IF(B212=B241,H212)</f>
        <v>96</v>
      </c>
      <c r="I241" s="153">
        <f t="shared" si="10"/>
        <v>522.20000000000005</v>
      </c>
      <c r="J241" s="164">
        <f t="shared" si="11"/>
        <v>800</v>
      </c>
      <c r="K241" s="156"/>
      <c r="L241" s="95"/>
      <c r="M241" s="95"/>
      <c r="N241" s="95"/>
      <c r="O241" s="95"/>
    </row>
    <row r="242" spans="1:15" ht="15" customHeight="1" thickBot="1">
      <c r="A242" s="95"/>
      <c r="B242" s="115">
        <v>2035</v>
      </c>
      <c r="C242" s="116"/>
      <c r="D242" s="154">
        <f t="array" ref="D242">IF(B42=B242,H42)</f>
        <v>2</v>
      </c>
      <c r="E242" s="154">
        <f t="array" ref="E242">IF(B76=B242,H76)</f>
        <v>111</v>
      </c>
      <c r="F242" s="154">
        <f t="array" ref="F242">IF(B126=B242,H126)</f>
        <v>2129</v>
      </c>
      <c r="G242" s="154">
        <f t="array" ref="G242">IF(B168=B242,H168)</f>
        <v>333</v>
      </c>
      <c r="H242" s="154">
        <f t="array" ref="H242">IF(B213=B242,H213)</f>
        <v>91</v>
      </c>
      <c r="I242" s="154">
        <f t="shared" si="10"/>
        <v>533.20000000000005</v>
      </c>
      <c r="J242" s="165">
        <f t="shared" si="11"/>
        <v>821</v>
      </c>
      <c r="K242" s="155"/>
      <c r="L242" s="95"/>
      <c r="M242" s="95"/>
      <c r="N242" s="95"/>
      <c r="O242" s="95"/>
    </row>
    <row r="243" spans="1:15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86" t="s">
        <v>972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2005</v>
      </c>
      <c r="C7" s="204"/>
      <c r="D7" s="843">
        <f>'3.면별급수현황'!H64</f>
        <v>0</v>
      </c>
      <c r="E7" s="205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204">
        <v>2006</v>
      </c>
      <c r="C8" s="204"/>
      <c r="D8" s="843">
        <f>'3.면별급수현황'!H65</f>
        <v>0</v>
      </c>
      <c r="E8" s="205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v>2007</v>
      </c>
      <c r="C9" s="204"/>
      <c r="D9" s="843">
        <f>'3.면별급수현황'!H66</f>
        <v>639</v>
      </c>
      <c r="E9" s="205"/>
      <c r="F9" s="206">
        <f t="shared" si="0"/>
        <v>639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v>2008</v>
      </c>
      <c r="C10" s="204"/>
      <c r="D10" s="843">
        <f>'3.면별급수현황'!H67</f>
        <v>164</v>
      </c>
      <c r="E10" s="205"/>
      <c r="F10" s="206">
        <f t="shared" si="0"/>
        <v>-475</v>
      </c>
      <c r="G10" s="206"/>
      <c r="H10" s="207">
        <f t="shared" ref="H10:H16" si="1">ROUND(F10/D9*100,2)</f>
        <v>-74.33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v>2009</v>
      </c>
      <c r="C11" s="204"/>
      <c r="D11" s="843">
        <f>'3.면별급수현황'!H68</f>
        <v>154</v>
      </c>
      <c r="E11" s="205"/>
      <c r="F11" s="206">
        <f t="shared" si="0"/>
        <v>-10</v>
      </c>
      <c r="G11" s="206"/>
      <c r="H11" s="207">
        <f t="shared" si="1"/>
        <v>-6.1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204">
        <v>2010</v>
      </c>
      <c r="C12" s="204"/>
      <c r="D12" s="843">
        <f>'3.면별급수현황'!H69</f>
        <v>351</v>
      </c>
      <c r="E12" s="205"/>
      <c r="F12" s="206">
        <f t="shared" si="0"/>
        <v>197</v>
      </c>
      <c r="G12" s="206"/>
      <c r="H12" s="207">
        <f t="shared" si="1"/>
        <v>127.92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204">
        <v>2011</v>
      </c>
      <c r="C13" s="204"/>
      <c r="D13" s="843">
        <f>'3.면별급수현황'!H70</f>
        <v>188</v>
      </c>
      <c r="E13" s="205"/>
      <c r="F13" s="206">
        <f t="shared" si="0"/>
        <v>-163</v>
      </c>
      <c r="G13" s="206"/>
      <c r="H13" s="207">
        <f t="shared" si="1"/>
        <v>-46.44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204">
        <v>2012</v>
      </c>
      <c r="C14" s="204"/>
      <c r="D14" s="843">
        <f>'3.면별급수현황'!H71</f>
        <v>210</v>
      </c>
      <c r="E14" s="205"/>
      <c r="F14" s="206">
        <f t="shared" si="0"/>
        <v>22</v>
      </c>
      <c r="G14" s="206"/>
      <c r="H14" s="207">
        <f t="shared" si="1"/>
        <v>11.7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204">
        <v>2013</v>
      </c>
      <c r="C15" s="204"/>
      <c r="D15" s="843">
        <f>'3.면별급수현황'!H72</f>
        <v>226</v>
      </c>
      <c r="E15" s="205"/>
      <c r="F15" s="206">
        <f t="shared" si="0"/>
        <v>16</v>
      </c>
      <c r="G15" s="206"/>
      <c r="H15" s="207">
        <f t="shared" si="1"/>
        <v>7.62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204">
        <v>2014</v>
      </c>
      <c r="C16" s="204"/>
      <c r="D16" s="843">
        <f>'3.면별급수현황'!H73</f>
        <v>279</v>
      </c>
      <c r="E16" s="205"/>
      <c r="F16" s="206">
        <f t="shared" si="0"/>
        <v>53</v>
      </c>
      <c r="G16" s="206"/>
      <c r="H16" s="207">
        <f t="shared" si="1"/>
        <v>23.45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2211</v>
      </c>
      <c r="E17" s="214"/>
      <c r="F17" s="215"/>
      <c r="G17" s="215"/>
      <c r="H17" s="216">
        <f>SUM(H7:H16)</f>
        <v>43.820000000000007</v>
      </c>
      <c r="I17" s="216"/>
      <c r="J17" s="217">
        <f>ROUND(AVERAGE(H8:H16),1)</f>
        <v>4.9000000000000004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2">ROUND(E$48+H$48*(B26-$C$4),0)</f>
        <v>279</v>
      </c>
      <c r="E26" s="221"/>
      <c r="F26" s="221">
        <v>0</v>
      </c>
      <c r="G26" s="221"/>
      <c r="H26" s="221">
        <f t="shared" ref="H26:H47" si="3">ROUND(D26*(1+F26),0)</f>
        <v>279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2"/>
        <v>310</v>
      </c>
      <c r="E27" s="269"/>
      <c r="F27" s="269">
        <v>0</v>
      </c>
      <c r="G27" s="269"/>
      <c r="H27" s="269">
        <f t="shared" si="3"/>
        <v>310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2"/>
        <v>341</v>
      </c>
      <c r="E28" s="221"/>
      <c r="F28" s="221">
        <v>0</v>
      </c>
      <c r="G28" s="221"/>
      <c r="H28" s="221">
        <f t="shared" si="3"/>
        <v>341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2"/>
        <v>372</v>
      </c>
      <c r="E29" s="221"/>
      <c r="F29" s="221">
        <v>0</v>
      </c>
      <c r="G29" s="221"/>
      <c r="H29" s="221">
        <f t="shared" si="3"/>
        <v>372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2"/>
        <v>403</v>
      </c>
      <c r="E30" s="221"/>
      <c r="F30" s="221">
        <v>0</v>
      </c>
      <c r="G30" s="221"/>
      <c r="H30" s="221">
        <f t="shared" si="3"/>
        <v>403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2"/>
        <v>434</v>
      </c>
      <c r="E31" s="221"/>
      <c r="F31" s="221">
        <v>0</v>
      </c>
      <c r="G31" s="221"/>
      <c r="H31" s="221">
        <f t="shared" si="3"/>
        <v>434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2"/>
        <v>465</v>
      </c>
      <c r="E32" s="269"/>
      <c r="F32" s="269">
        <v>0</v>
      </c>
      <c r="G32" s="269"/>
      <c r="H32" s="269">
        <f t="shared" si="3"/>
        <v>465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2"/>
        <v>496</v>
      </c>
      <c r="E33" s="221"/>
      <c r="F33" s="221">
        <v>0</v>
      </c>
      <c r="G33" s="221"/>
      <c r="H33" s="221">
        <f t="shared" si="3"/>
        <v>496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2"/>
        <v>527</v>
      </c>
      <c r="E34" s="221"/>
      <c r="F34" s="221">
        <v>0</v>
      </c>
      <c r="G34" s="221"/>
      <c r="H34" s="221">
        <f t="shared" si="3"/>
        <v>527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2"/>
        <v>558</v>
      </c>
      <c r="E35" s="221"/>
      <c r="F35" s="221">
        <v>0</v>
      </c>
      <c r="G35" s="221"/>
      <c r="H35" s="221">
        <f t="shared" si="3"/>
        <v>558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2"/>
        <v>589</v>
      </c>
      <c r="E36" s="221"/>
      <c r="F36" s="221">
        <v>0</v>
      </c>
      <c r="G36" s="221"/>
      <c r="H36" s="221">
        <f t="shared" si="3"/>
        <v>589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2"/>
        <v>620</v>
      </c>
      <c r="E37" s="269"/>
      <c r="F37" s="269">
        <v>0</v>
      </c>
      <c r="G37" s="269"/>
      <c r="H37" s="269">
        <f t="shared" si="3"/>
        <v>620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2"/>
        <v>651</v>
      </c>
      <c r="E38" s="221"/>
      <c r="F38" s="221">
        <v>0</v>
      </c>
      <c r="G38" s="221"/>
      <c r="H38" s="221">
        <f t="shared" si="3"/>
        <v>651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2"/>
        <v>682</v>
      </c>
      <c r="E39" s="221"/>
      <c r="F39" s="221">
        <v>0</v>
      </c>
      <c r="G39" s="221"/>
      <c r="H39" s="221">
        <f t="shared" si="3"/>
        <v>682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2"/>
        <v>713</v>
      </c>
      <c r="E40" s="221"/>
      <c r="F40" s="221">
        <v>0</v>
      </c>
      <c r="G40" s="221"/>
      <c r="H40" s="221">
        <f t="shared" si="3"/>
        <v>713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2"/>
        <v>744</v>
      </c>
      <c r="E41" s="221"/>
      <c r="F41" s="221">
        <v>0</v>
      </c>
      <c r="G41" s="221"/>
      <c r="H41" s="221">
        <f t="shared" si="3"/>
        <v>744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2"/>
        <v>775</v>
      </c>
      <c r="E42" s="269"/>
      <c r="F42" s="269">
        <v>0</v>
      </c>
      <c r="G42" s="269"/>
      <c r="H42" s="269">
        <f t="shared" si="3"/>
        <v>775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2"/>
        <v>806</v>
      </c>
      <c r="E43" s="221"/>
      <c r="F43" s="221">
        <v>0</v>
      </c>
      <c r="G43" s="221"/>
      <c r="H43" s="221">
        <f t="shared" si="3"/>
        <v>806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2"/>
        <v>837</v>
      </c>
      <c r="E44" s="221"/>
      <c r="F44" s="221">
        <v>0</v>
      </c>
      <c r="G44" s="221"/>
      <c r="H44" s="221">
        <f t="shared" si="3"/>
        <v>837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2"/>
        <v>868</v>
      </c>
      <c r="E45" s="221"/>
      <c r="F45" s="221">
        <v>0</v>
      </c>
      <c r="G45" s="221"/>
      <c r="H45" s="221">
        <f t="shared" si="3"/>
        <v>868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2"/>
        <v>899</v>
      </c>
      <c r="E46" s="221"/>
      <c r="F46" s="221">
        <v>0</v>
      </c>
      <c r="G46" s="221"/>
      <c r="H46" s="221">
        <f t="shared" si="3"/>
        <v>899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2"/>
        <v>930</v>
      </c>
      <c r="E47" s="269"/>
      <c r="F47" s="269">
        <v>0</v>
      </c>
      <c r="G47" s="269"/>
      <c r="H47" s="269">
        <f t="shared" si="3"/>
        <v>930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279</v>
      </c>
      <c r="F48" s="226"/>
      <c r="G48" s="224" t="s">
        <v>162</v>
      </c>
      <c r="H48" s="224">
        <f>ROUND((D$16-D$7)/(COUNT(D$7:D$16)-1),1)</f>
        <v>31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4">ROUND(E$82*H$82^(B60-$C$4),0)</f>
        <v>279</v>
      </c>
      <c r="E60" s="221"/>
      <c r="F60" s="221">
        <v>0</v>
      </c>
      <c r="G60" s="221"/>
      <c r="H60" s="221">
        <f t="shared" ref="H60:H81" si="5">ROUND(D60*(1+F60),0)</f>
        <v>279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4"/>
        <v>248</v>
      </c>
      <c r="E61" s="269"/>
      <c r="F61" s="269">
        <v>0</v>
      </c>
      <c r="G61" s="269"/>
      <c r="H61" s="269">
        <f t="shared" si="5"/>
        <v>248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4"/>
        <v>220</v>
      </c>
      <c r="E62" s="221"/>
      <c r="F62" s="221">
        <v>0</v>
      </c>
      <c r="G62" s="221"/>
      <c r="H62" s="221">
        <f t="shared" si="5"/>
        <v>220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4"/>
        <v>196</v>
      </c>
      <c r="E63" s="221"/>
      <c r="F63" s="221">
        <v>0</v>
      </c>
      <c r="G63" s="221"/>
      <c r="H63" s="221">
        <f t="shared" si="5"/>
        <v>196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4"/>
        <v>174</v>
      </c>
      <c r="E64" s="221"/>
      <c r="F64" s="221">
        <v>0</v>
      </c>
      <c r="G64" s="221"/>
      <c r="H64" s="221">
        <f t="shared" si="5"/>
        <v>174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4"/>
        <v>154</v>
      </c>
      <c r="E65" s="221"/>
      <c r="F65" s="221">
        <v>0</v>
      </c>
      <c r="G65" s="221"/>
      <c r="H65" s="221">
        <f t="shared" si="5"/>
        <v>154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4"/>
        <v>137</v>
      </c>
      <c r="E66" s="269"/>
      <c r="F66" s="269">
        <v>0</v>
      </c>
      <c r="G66" s="269"/>
      <c r="H66" s="269">
        <f t="shared" si="5"/>
        <v>137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4"/>
        <v>122</v>
      </c>
      <c r="E67" s="221"/>
      <c r="F67" s="221">
        <v>0</v>
      </c>
      <c r="G67" s="221"/>
      <c r="H67" s="221">
        <f t="shared" si="5"/>
        <v>122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4"/>
        <v>108</v>
      </c>
      <c r="E68" s="221"/>
      <c r="F68" s="221">
        <v>0</v>
      </c>
      <c r="G68" s="221"/>
      <c r="H68" s="221">
        <f t="shared" si="5"/>
        <v>108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4"/>
        <v>96</v>
      </c>
      <c r="E69" s="221"/>
      <c r="F69" s="221">
        <v>0</v>
      </c>
      <c r="G69" s="221"/>
      <c r="H69" s="221">
        <f t="shared" si="5"/>
        <v>96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4"/>
        <v>85</v>
      </c>
      <c r="E70" s="221"/>
      <c r="F70" s="221">
        <v>0</v>
      </c>
      <c r="G70" s="221"/>
      <c r="H70" s="221">
        <f t="shared" si="5"/>
        <v>85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4"/>
        <v>76</v>
      </c>
      <c r="E71" s="269"/>
      <c r="F71" s="269">
        <v>0</v>
      </c>
      <c r="G71" s="269"/>
      <c r="H71" s="269">
        <f t="shared" si="5"/>
        <v>76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4"/>
        <v>67</v>
      </c>
      <c r="E72" s="221"/>
      <c r="F72" s="221">
        <v>0</v>
      </c>
      <c r="G72" s="221"/>
      <c r="H72" s="221">
        <f t="shared" si="5"/>
        <v>67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4"/>
        <v>60</v>
      </c>
      <c r="E73" s="221"/>
      <c r="F73" s="221">
        <v>0</v>
      </c>
      <c r="G73" s="221"/>
      <c r="H73" s="221">
        <f t="shared" si="5"/>
        <v>60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4"/>
        <v>53</v>
      </c>
      <c r="E74" s="221"/>
      <c r="F74" s="221">
        <v>0</v>
      </c>
      <c r="G74" s="221"/>
      <c r="H74" s="221">
        <f t="shared" si="5"/>
        <v>53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4"/>
        <v>47</v>
      </c>
      <c r="E75" s="221"/>
      <c r="F75" s="221">
        <v>0</v>
      </c>
      <c r="G75" s="221"/>
      <c r="H75" s="221">
        <f t="shared" si="5"/>
        <v>47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4"/>
        <v>42</v>
      </c>
      <c r="E76" s="269"/>
      <c r="F76" s="269">
        <v>0</v>
      </c>
      <c r="G76" s="269"/>
      <c r="H76" s="269">
        <f t="shared" si="5"/>
        <v>42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4"/>
        <v>37</v>
      </c>
      <c r="E77" s="221"/>
      <c r="F77" s="221">
        <v>0</v>
      </c>
      <c r="G77" s="221"/>
      <c r="H77" s="221">
        <f t="shared" si="5"/>
        <v>37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4"/>
        <v>33</v>
      </c>
      <c r="E78" s="221"/>
      <c r="F78" s="221">
        <v>0</v>
      </c>
      <c r="G78" s="221"/>
      <c r="H78" s="221">
        <f t="shared" si="5"/>
        <v>33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4"/>
        <v>29</v>
      </c>
      <c r="E79" s="221"/>
      <c r="F79" s="221">
        <v>0</v>
      </c>
      <c r="G79" s="221"/>
      <c r="H79" s="221">
        <f t="shared" si="5"/>
        <v>29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4"/>
        <v>26</v>
      </c>
      <c r="E80" s="221"/>
      <c r="F80" s="221">
        <v>0</v>
      </c>
      <c r="G80" s="221"/>
      <c r="H80" s="221">
        <f t="shared" si="5"/>
        <v>26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4"/>
        <v>23</v>
      </c>
      <c r="E81" s="269"/>
      <c r="F81" s="269">
        <v>0</v>
      </c>
      <c r="G81" s="269"/>
      <c r="H81" s="269">
        <f t="shared" si="5"/>
        <v>23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279</v>
      </c>
      <c r="F82" s="226"/>
      <c r="G82" s="224" t="s">
        <v>179</v>
      </c>
      <c r="H82" s="224">
        <f>ROUND((E$82/D$9)^(1/(COUNT(D$9:D$16)-1)),6)</f>
        <v>0.88835399999999998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204">
        <f t="shared" ref="B99:B108" si="6">B7</f>
        <v>2005</v>
      </c>
      <c r="C99" s="204"/>
      <c r="D99" s="208">
        <f t="shared" ref="D99:D108" si="7">VLOOKUP(B99,B$7:E$16,3,FALSE)</f>
        <v>0</v>
      </c>
      <c r="E99" s="229">
        <f t="shared" ref="E99:E108" si="8">((COUNT(B$99:B$108)-1)/2)+(B99-$C$4)</f>
        <v>-4.5</v>
      </c>
      <c r="F99" s="208">
        <f t="shared" ref="F99:F108" si="9">E99^2</f>
        <v>20.25</v>
      </c>
      <c r="G99" s="206"/>
      <c r="H99" s="230">
        <f t="shared" ref="H99:H108" si="10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204">
        <f t="shared" si="6"/>
        <v>2006</v>
      </c>
      <c r="C100" s="204"/>
      <c r="D100" s="208">
        <f t="shared" si="7"/>
        <v>0</v>
      </c>
      <c r="E100" s="229">
        <f t="shared" si="8"/>
        <v>-3.5</v>
      </c>
      <c r="F100" s="208">
        <f t="shared" si="9"/>
        <v>12.25</v>
      </c>
      <c r="G100" s="206"/>
      <c r="H100" s="230">
        <f t="shared" si="10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204">
        <f t="shared" si="6"/>
        <v>2007</v>
      </c>
      <c r="C101" s="204"/>
      <c r="D101" s="208">
        <f t="shared" si="7"/>
        <v>639</v>
      </c>
      <c r="E101" s="229">
        <f t="shared" si="8"/>
        <v>-2.5</v>
      </c>
      <c r="F101" s="208">
        <f>E101^2</f>
        <v>6.25</v>
      </c>
      <c r="G101" s="206"/>
      <c r="H101" s="230">
        <f t="shared" si="10"/>
        <v>-1597.5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204">
        <f t="shared" si="6"/>
        <v>2008</v>
      </c>
      <c r="C102" s="204"/>
      <c r="D102" s="208">
        <f t="shared" si="7"/>
        <v>164</v>
      </c>
      <c r="E102" s="229">
        <f t="shared" si="8"/>
        <v>-1.5</v>
      </c>
      <c r="F102" s="208">
        <f t="shared" si="9"/>
        <v>2.25</v>
      </c>
      <c r="G102" s="206"/>
      <c r="H102" s="230">
        <f t="shared" si="10"/>
        <v>-246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204">
        <f t="shared" si="6"/>
        <v>2009</v>
      </c>
      <c r="C103" s="204"/>
      <c r="D103" s="208">
        <f t="shared" si="7"/>
        <v>154</v>
      </c>
      <c r="E103" s="229">
        <f t="shared" si="8"/>
        <v>-0.5</v>
      </c>
      <c r="F103" s="208">
        <f t="shared" si="9"/>
        <v>0.25</v>
      </c>
      <c r="G103" s="206"/>
      <c r="H103" s="230">
        <f t="shared" si="10"/>
        <v>-77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204">
        <f t="shared" si="6"/>
        <v>2010</v>
      </c>
      <c r="C104" s="204"/>
      <c r="D104" s="208">
        <f t="shared" si="7"/>
        <v>351</v>
      </c>
      <c r="E104" s="229">
        <f t="shared" si="8"/>
        <v>0.5</v>
      </c>
      <c r="F104" s="208">
        <f t="shared" si="9"/>
        <v>0.25</v>
      </c>
      <c r="G104" s="206"/>
      <c r="H104" s="230">
        <f t="shared" si="10"/>
        <v>175.5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204">
        <f t="shared" si="6"/>
        <v>2011</v>
      </c>
      <c r="C105" s="204"/>
      <c r="D105" s="208">
        <f t="shared" si="7"/>
        <v>188</v>
      </c>
      <c r="E105" s="229">
        <f t="shared" si="8"/>
        <v>1.5</v>
      </c>
      <c r="F105" s="208">
        <f t="shared" si="9"/>
        <v>2.25</v>
      </c>
      <c r="G105" s="206"/>
      <c r="H105" s="230">
        <f t="shared" si="10"/>
        <v>282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204">
        <f t="shared" si="6"/>
        <v>2012</v>
      </c>
      <c r="C106" s="204"/>
      <c r="D106" s="208">
        <f t="shared" si="7"/>
        <v>210</v>
      </c>
      <c r="E106" s="229">
        <f t="shared" si="8"/>
        <v>2.5</v>
      </c>
      <c r="F106" s="208">
        <f t="shared" si="9"/>
        <v>6.25</v>
      </c>
      <c r="G106" s="206"/>
      <c r="H106" s="230">
        <f t="shared" si="10"/>
        <v>525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204">
        <f t="shared" si="6"/>
        <v>2013</v>
      </c>
      <c r="C107" s="204"/>
      <c r="D107" s="208">
        <f t="shared" si="7"/>
        <v>226</v>
      </c>
      <c r="E107" s="229">
        <f t="shared" si="8"/>
        <v>3.5</v>
      </c>
      <c r="F107" s="208">
        <f t="shared" si="9"/>
        <v>12.25</v>
      </c>
      <c r="G107" s="206"/>
      <c r="H107" s="230">
        <f t="shared" si="10"/>
        <v>791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204">
        <f t="shared" si="6"/>
        <v>2014</v>
      </c>
      <c r="C108" s="204"/>
      <c r="D108" s="208">
        <f t="shared" si="7"/>
        <v>279</v>
      </c>
      <c r="E108" s="229">
        <f t="shared" si="8"/>
        <v>4.5</v>
      </c>
      <c r="F108" s="208">
        <f t="shared" si="9"/>
        <v>20.25</v>
      </c>
      <c r="G108" s="206"/>
      <c r="H108" s="230">
        <f t="shared" si="10"/>
        <v>1255.5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2211</v>
      </c>
      <c r="E109" s="215"/>
      <c r="F109" s="233">
        <f>ROUND(SUM(F99:F108),0)</f>
        <v>83</v>
      </c>
      <c r="G109" s="212"/>
      <c r="H109" s="234">
        <f>SUM(H99:H108)</f>
        <v>1108.5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13.355421686746988</v>
      </c>
      <c r="H110" s="236" t="s">
        <v>199</v>
      </c>
      <c r="I110" s="201"/>
      <c r="J110" s="201"/>
      <c r="K110" s="201">
        <f>ROUND((F109*D109-H109*E109)/(COUNT(B$99:B$108)*F109-E109*E109),0)</f>
        <v>221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1">ROUNDUP(G$110*(B115-B$108+E$108)+K$110,0)</f>
        <v>282</v>
      </c>
      <c r="E115" s="221"/>
      <c r="F115" s="221">
        <v>0</v>
      </c>
      <c r="G115" s="221"/>
      <c r="H115" s="221">
        <f t="shared" ref="H115:H136" si="12">ROUND(D115*(1+F115),0)</f>
        <v>282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1"/>
        <v>295</v>
      </c>
      <c r="E116" s="269"/>
      <c r="F116" s="269">
        <v>0</v>
      </c>
      <c r="G116" s="269"/>
      <c r="H116" s="269">
        <f t="shared" si="12"/>
        <v>295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1"/>
        <v>308</v>
      </c>
      <c r="E117" s="221"/>
      <c r="F117" s="221">
        <v>0</v>
      </c>
      <c r="G117" s="221"/>
      <c r="H117" s="221">
        <f t="shared" si="12"/>
        <v>308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1"/>
        <v>322</v>
      </c>
      <c r="E118" s="221"/>
      <c r="F118" s="221">
        <v>0</v>
      </c>
      <c r="G118" s="221"/>
      <c r="H118" s="221">
        <f t="shared" si="12"/>
        <v>322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1"/>
        <v>335</v>
      </c>
      <c r="E119" s="221"/>
      <c r="F119" s="221">
        <v>0</v>
      </c>
      <c r="G119" s="221"/>
      <c r="H119" s="221">
        <f t="shared" si="12"/>
        <v>335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1"/>
        <v>348</v>
      </c>
      <c r="E120" s="221"/>
      <c r="F120" s="221">
        <v>0</v>
      </c>
      <c r="G120" s="221"/>
      <c r="H120" s="221">
        <f t="shared" si="12"/>
        <v>348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1"/>
        <v>362</v>
      </c>
      <c r="E121" s="269"/>
      <c r="F121" s="269">
        <v>0</v>
      </c>
      <c r="G121" s="269"/>
      <c r="H121" s="269">
        <f t="shared" si="12"/>
        <v>362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1"/>
        <v>375</v>
      </c>
      <c r="E122" s="221"/>
      <c r="F122" s="221">
        <v>0</v>
      </c>
      <c r="G122" s="221"/>
      <c r="H122" s="221">
        <f t="shared" si="12"/>
        <v>375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1"/>
        <v>388</v>
      </c>
      <c r="E123" s="221"/>
      <c r="F123" s="221">
        <v>0</v>
      </c>
      <c r="G123" s="221"/>
      <c r="H123" s="221">
        <f t="shared" si="12"/>
        <v>388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1"/>
        <v>402</v>
      </c>
      <c r="E124" s="221"/>
      <c r="F124" s="221">
        <v>0</v>
      </c>
      <c r="G124" s="221"/>
      <c r="H124" s="221">
        <f t="shared" si="12"/>
        <v>402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1"/>
        <v>415</v>
      </c>
      <c r="E125" s="221"/>
      <c r="F125" s="221">
        <v>0</v>
      </c>
      <c r="G125" s="221"/>
      <c r="H125" s="221">
        <f t="shared" si="12"/>
        <v>415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1"/>
        <v>429</v>
      </c>
      <c r="E126" s="269"/>
      <c r="F126" s="269">
        <v>0</v>
      </c>
      <c r="G126" s="269"/>
      <c r="H126" s="269">
        <f t="shared" si="12"/>
        <v>429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1"/>
        <v>442</v>
      </c>
      <c r="E127" s="221"/>
      <c r="F127" s="221">
        <v>0</v>
      </c>
      <c r="G127" s="221"/>
      <c r="H127" s="221">
        <f t="shared" si="12"/>
        <v>442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1"/>
        <v>455</v>
      </c>
      <c r="E128" s="221"/>
      <c r="F128" s="221">
        <v>0</v>
      </c>
      <c r="G128" s="221"/>
      <c r="H128" s="221">
        <f t="shared" si="12"/>
        <v>455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1"/>
        <v>469</v>
      </c>
      <c r="E129" s="221"/>
      <c r="F129" s="221">
        <v>0</v>
      </c>
      <c r="G129" s="221"/>
      <c r="H129" s="221">
        <f t="shared" si="12"/>
        <v>469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1"/>
        <v>482</v>
      </c>
      <c r="E130" s="221"/>
      <c r="F130" s="221">
        <v>0</v>
      </c>
      <c r="G130" s="221"/>
      <c r="H130" s="221">
        <f t="shared" si="12"/>
        <v>482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1"/>
        <v>495</v>
      </c>
      <c r="E131" s="269"/>
      <c r="F131" s="269">
        <v>0</v>
      </c>
      <c r="G131" s="269"/>
      <c r="H131" s="269">
        <f t="shared" si="12"/>
        <v>495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1"/>
        <v>509</v>
      </c>
      <c r="E132" s="221"/>
      <c r="F132" s="221">
        <v>0</v>
      </c>
      <c r="G132" s="221"/>
      <c r="H132" s="221">
        <f t="shared" si="12"/>
        <v>509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1"/>
        <v>522</v>
      </c>
      <c r="E133" s="221"/>
      <c r="F133" s="221">
        <v>0</v>
      </c>
      <c r="G133" s="221"/>
      <c r="H133" s="221">
        <f t="shared" si="12"/>
        <v>522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1"/>
        <v>535</v>
      </c>
      <c r="E134" s="221"/>
      <c r="F134" s="221">
        <v>0</v>
      </c>
      <c r="G134" s="221"/>
      <c r="H134" s="221">
        <f t="shared" si="12"/>
        <v>535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1"/>
        <v>549</v>
      </c>
      <c r="E135" s="221"/>
      <c r="F135" s="221">
        <v>0</v>
      </c>
      <c r="G135" s="221"/>
      <c r="H135" s="221">
        <f t="shared" si="12"/>
        <v>549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1"/>
        <v>562</v>
      </c>
      <c r="E136" s="269"/>
      <c r="F136" s="269">
        <v>0</v>
      </c>
      <c r="G136" s="269"/>
      <c r="H136" s="269">
        <f t="shared" si="12"/>
        <v>562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204">
        <f t="shared" ref="B146:B155" si="13">B99</f>
        <v>2005</v>
      </c>
      <c r="C146" s="204"/>
      <c r="D146" s="208">
        <f t="shared" ref="D146:D155" si="14">VLOOKUP(B146,B$7:E$16,3,FALSE)</f>
        <v>0</v>
      </c>
      <c r="E146" s="244">
        <f t="shared" ref="E146:E155" si="15">IF(G$140=FALSE,"",((COUNT(B$99:B$108)-1))+(B146-$C$4))</f>
        <v>0</v>
      </c>
      <c r="F146" s="245">
        <f>IF(E146=0,0,"")</f>
        <v>0</v>
      </c>
      <c r="G146" s="246">
        <f t="shared" ref="G146:G155" si="16">IF(F146="","",F146^2)</f>
        <v>0</v>
      </c>
      <c r="H146" s="231">
        <f t="shared" ref="H146:H155" si="17">IF(G146="","",ABS(D146-D$146))</f>
        <v>0</v>
      </c>
      <c r="I146" s="231"/>
      <c r="J146" s="245">
        <f>IF(H146=0,0,"")</f>
        <v>0</v>
      </c>
      <c r="K146" s="247">
        <f t="shared" ref="K146:K155" si="18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204">
        <f t="shared" si="13"/>
        <v>2006</v>
      </c>
      <c r="C147" s="204"/>
      <c r="D147" s="208">
        <f t="shared" si="14"/>
        <v>0</v>
      </c>
      <c r="E147" s="244">
        <f t="shared" si="15"/>
        <v>1</v>
      </c>
      <c r="F147" s="245">
        <f t="shared" ref="F147:F155" si="19">IF(E147="","",LOG(E147))</f>
        <v>0</v>
      </c>
      <c r="G147" s="246">
        <f t="shared" si="16"/>
        <v>0</v>
      </c>
      <c r="H147" s="231">
        <f t="shared" si="17"/>
        <v>0</v>
      </c>
      <c r="I147" s="231"/>
      <c r="J147" s="245">
        <f>IF(H147=0,0,"")</f>
        <v>0</v>
      </c>
      <c r="K147" s="247">
        <f t="shared" si="18"/>
        <v>0</v>
      </c>
      <c r="L147" s="203"/>
      <c r="M147" s="203"/>
      <c r="N147" s="203"/>
      <c r="O147" s="203"/>
    </row>
    <row r="148" spans="1:15" ht="15" customHeight="1">
      <c r="A148" s="203"/>
      <c r="B148" s="204">
        <f t="shared" si="13"/>
        <v>2007</v>
      </c>
      <c r="C148" s="204"/>
      <c r="D148" s="208">
        <f t="shared" si="14"/>
        <v>639</v>
      </c>
      <c r="E148" s="244">
        <f t="shared" si="15"/>
        <v>2</v>
      </c>
      <c r="F148" s="245">
        <f t="shared" si="19"/>
        <v>0.3010299956639812</v>
      </c>
      <c r="G148" s="246">
        <f t="shared" si="16"/>
        <v>9.0619058289456544E-2</v>
      </c>
      <c r="H148" s="231">
        <f t="shared" si="17"/>
        <v>639</v>
      </c>
      <c r="I148" s="231"/>
      <c r="J148" s="247">
        <f t="shared" ref="J148:J155" si="20">IF(H148="","",LOG(H148))</f>
        <v>2.8055008581584002</v>
      </c>
      <c r="K148" s="247">
        <f t="shared" si="18"/>
        <v>0.84453991116671878</v>
      </c>
      <c r="L148" s="203"/>
      <c r="M148" s="203"/>
      <c r="N148" s="203"/>
      <c r="O148" s="203"/>
    </row>
    <row r="149" spans="1:15" ht="15" customHeight="1">
      <c r="A149" s="203"/>
      <c r="B149" s="204">
        <f t="shared" si="13"/>
        <v>2008</v>
      </c>
      <c r="C149" s="204"/>
      <c r="D149" s="208">
        <f t="shared" si="14"/>
        <v>164</v>
      </c>
      <c r="E149" s="244">
        <f t="shared" si="15"/>
        <v>3</v>
      </c>
      <c r="F149" s="245">
        <f t="shared" si="19"/>
        <v>0.47712125471966244</v>
      </c>
      <c r="G149" s="246">
        <f t="shared" si="16"/>
        <v>0.227644691705265</v>
      </c>
      <c r="H149" s="231">
        <f t="shared" si="17"/>
        <v>164</v>
      </c>
      <c r="I149" s="231"/>
      <c r="J149" s="247">
        <f t="shared" si="20"/>
        <v>2.214843848047698</v>
      </c>
      <c r="K149" s="247">
        <f t="shared" si="18"/>
        <v>1.0567490757886431</v>
      </c>
      <c r="L149" s="203"/>
      <c r="M149" s="203"/>
      <c r="N149" s="203"/>
      <c r="O149" s="203"/>
    </row>
    <row r="150" spans="1:15" ht="15" customHeight="1">
      <c r="A150" s="203"/>
      <c r="B150" s="204">
        <f t="shared" si="13"/>
        <v>2009</v>
      </c>
      <c r="C150" s="204"/>
      <c r="D150" s="208">
        <f t="shared" si="14"/>
        <v>154</v>
      </c>
      <c r="E150" s="244">
        <f t="shared" si="15"/>
        <v>4</v>
      </c>
      <c r="F150" s="245">
        <f t="shared" si="19"/>
        <v>0.6020599913279624</v>
      </c>
      <c r="G150" s="246">
        <f t="shared" si="16"/>
        <v>0.36247623315782618</v>
      </c>
      <c r="H150" s="231">
        <f t="shared" si="17"/>
        <v>154</v>
      </c>
      <c r="I150" s="231"/>
      <c r="J150" s="247">
        <f t="shared" si="20"/>
        <v>2.1875207208364631</v>
      </c>
      <c r="K150" s="247">
        <f t="shared" si="18"/>
        <v>1.317018706216539</v>
      </c>
      <c r="L150" s="203"/>
      <c r="M150" s="203"/>
      <c r="N150" s="203"/>
      <c r="O150" s="203"/>
    </row>
    <row r="151" spans="1:15" ht="15" customHeight="1">
      <c r="A151" s="203"/>
      <c r="B151" s="204">
        <f t="shared" si="13"/>
        <v>2010</v>
      </c>
      <c r="C151" s="204"/>
      <c r="D151" s="208">
        <f t="shared" si="14"/>
        <v>351</v>
      </c>
      <c r="E151" s="244">
        <f t="shared" si="15"/>
        <v>5</v>
      </c>
      <c r="F151" s="245">
        <f t="shared" si="19"/>
        <v>0.69897000433601886</v>
      </c>
      <c r="G151" s="246">
        <f t="shared" si="16"/>
        <v>0.4885590669614942</v>
      </c>
      <c r="H151" s="231">
        <f t="shared" si="17"/>
        <v>351</v>
      </c>
      <c r="I151" s="231"/>
      <c r="J151" s="247">
        <f t="shared" si="20"/>
        <v>2.5453071164658239</v>
      </c>
      <c r="K151" s="247">
        <f t="shared" si="18"/>
        <v>1.7790933262326165</v>
      </c>
      <c r="L151" s="203"/>
      <c r="M151" s="203"/>
      <c r="N151" s="203"/>
      <c r="O151" s="203"/>
    </row>
    <row r="152" spans="1:15" ht="15" customHeight="1">
      <c r="A152" s="203"/>
      <c r="B152" s="204">
        <f t="shared" si="13"/>
        <v>2011</v>
      </c>
      <c r="C152" s="204"/>
      <c r="D152" s="208">
        <f t="shared" si="14"/>
        <v>188</v>
      </c>
      <c r="E152" s="244">
        <f t="shared" si="15"/>
        <v>6</v>
      </c>
      <c r="F152" s="245">
        <f t="shared" si="19"/>
        <v>0.77815125038364363</v>
      </c>
      <c r="G152" s="246">
        <f t="shared" si="16"/>
        <v>0.60551936847362808</v>
      </c>
      <c r="H152" s="231">
        <f t="shared" si="17"/>
        <v>188</v>
      </c>
      <c r="I152" s="231"/>
      <c r="J152" s="247">
        <f t="shared" si="20"/>
        <v>2.27415784926368</v>
      </c>
      <c r="K152" s="247">
        <f t="shared" si="18"/>
        <v>1.7696387739743105</v>
      </c>
      <c r="L152" s="203"/>
      <c r="M152" s="203"/>
      <c r="N152" s="203"/>
      <c r="O152" s="203"/>
    </row>
    <row r="153" spans="1:15" ht="15" customHeight="1">
      <c r="A153" s="203"/>
      <c r="B153" s="204">
        <f t="shared" si="13"/>
        <v>2012</v>
      </c>
      <c r="C153" s="204"/>
      <c r="D153" s="208">
        <f t="shared" si="14"/>
        <v>210</v>
      </c>
      <c r="E153" s="244">
        <f t="shared" si="15"/>
        <v>7</v>
      </c>
      <c r="F153" s="245">
        <f t="shared" si="19"/>
        <v>0.84509804001425681</v>
      </c>
      <c r="G153" s="246">
        <f t="shared" si="16"/>
        <v>0.71419069723593842</v>
      </c>
      <c r="H153" s="231">
        <f t="shared" si="17"/>
        <v>210</v>
      </c>
      <c r="I153" s="231"/>
      <c r="J153" s="247">
        <f t="shared" si="20"/>
        <v>2.3222192947339191</v>
      </c>
      <c r="K153" s="247">
        <f t="shared" si="18"/>
        <v>1.9625029744629248</v>
      </c>
      <c r="L153" s="203"/>
      <c r="M153" s="203"/>
      <c r="N153" s="203"/>
      <c r="O153" s="203"/>
    </row>
    <row r="154" spans="1:15" ht="15" customHeight="1">
      <c r="A154" s="203"/>
      <c r="B154" s="204">
        <f t="shared" si="13"/>
        <v>2013</v>
      </c>
      <c r="C154" s="204"/>
      <c r="D154" s="208">
        <f t="shared" si="14"/>
        <v>226</v>
      </c>
      <c r="E154" s="244">
        <f t="shared" si="15"/>
        <v>8</v>
      </c>
      <c r="F154" s="245">
        <f t="shared" si="19"/>
        <v>0.90308998699194354</v>
      </c>
      <c r="G154" s="246">
        <f t="shared" si="16"/>
        <v>0.81557152460510873</v>
      </c>
      <c r="H154" s="231">
        <f t="shared" si="17"/>
        <v>226</v>
      </c>
      <c r="I154" s="231"/>
      <c r="J154" s="247">
        <f t="shared" si="20"/>
        <v>2.3541084391474008</v>
      </c>
      <c r="K154" s="247">
        <f t="shared" si="18"/>
        <v>2.1259717596872507</v>
      </c>
      <c r="L154" s="203"/>
      <c r="M154" s="203"/>
      <c r="N154" s="203"/>
      <c r="O154" s="203"/>
    </row>
    <row r="155" spans="1:15" ht="15" customHeight="1">
      <c r="A155" s="203"/>
      <c r="B155" s="204">
        <f t="shared" si="13"/>
        <v>2014</v>
      </c>
      <c r="C155" s="204"/>
      <c r="D155" s="208">
        <f t="shared" si="14"/>
        <v>279</v>
      </c>
      <c r="E155" s="244">
        <f t="shared" si="15"/>
        <v>9</v>
      </c>
      <c r="F155" s="245">
        <f t="shared" si="19"/>
        <v>0.95424250943932487</v>
      </c>
      <c r="G155" s="246">
        <f t="shared" si="16"/>
        <v>0.91057876682105998</v>
      </c>
      <c r="H155" s="231">
        <f t="shared" si="17"/>
        <v>279</v>
      </c>
      <c r="I155" s="231"/>
      <c r="J155" s="247">
        <f t="shared" si="20"/>
        <v>2.4456042032735974</v>
      </c>
      <c r="K155" s="247">
        <f t="shared" si="18"/>
        <v>2.3336994920271583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19.14926232992698</v>
      </c>
      <c r="K156" s="253">
        <f>IF(K155="","",SUM(K146:K155))</f>
        <v>13.189214019556161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11.262634748304624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1.7418899999999999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1">IF(J$157=0,0,ROUNDUP(D$146+E$157*(B162-B$146)^J$157,0))</f>
        <v>518</v>
      </c>
      <c r="E162" s="257"/>
      <c r="F162" s="205">
        <v>0</v>
      </c>
      <c r="G162" s="205"/>
      <c r="H162" s="205">
        <f t="shared" ref="H162:H183" si="22">ROUND(D162*(1+F162),0)</f>
        <v>518</v>
      </c>
      <c r="I162" s="205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1"/>
        <v>622</v>
      </c>
      <c r="E163" s="271"/>
      <c r="F163" s="272">
        <v>0</v>
      </c>
      <c r="G163" s="272"/>
      <c r="H163" s="272">
        <f t="shared" si="22"/>
        <v>622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1"/>
        <v>734</v>
      </c>
      <c r="E164" s="257"/>
      <c r="F164" s="258">
        <v>0</v>
      </c>
      <c r="G164" s="258"/>
      <c r="H164" s="258">
        <f t="shared" si="22"/>
        <v>734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1"/>
        <v>854</v>
      </c>
      <c r="E165" s="257"/>
      <c r="F165" s="258">
        <v>0</v>
      </c>
      <c r="G165" s="258"/>
      <c r="H165" s="258">
        <f t="shared" si="22"/>
        <v>854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1"/>
        <v>982</v>
      </c>
      <c r="E166" s="257"/>
      <c r="F166" s="258">
        <v>0</v>
      </c>
      <c r="G166" s="258"/>
      <c r="H166" s="258">
        <f t="shared" si="22"/>
        <v>982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1"/>
        <v>1118</v>
      </c>
      <c r="E167" s="257"/>
      <c r="F167" s="258">
        <v>0</v>
      </c>
      <c r="G167" s="258"/>
      <c r="H167" s="258">
        <f t="shared" si="22"/>
        <v>1118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1"/>
        <v>1260</v>
      </c>
      <c r="E168" s="271"/>
      <c r="F168" s="272">
        <v>0</v>
      </c>
      <c r="G168" s="272"/>
      <c r="H168" s="272">
        <f t="shared" si="22"/>
        <v>1260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1"/>
        <v>1410</v>
      </c>
      <c r="E169" s="257"/>
      <c r="F169" s="258">
        <v>0</v>
      </c>
      <c r="G169" s="258"/>
      <c r="H169" s="258">
        <f t="shared" si="22"/>
        <v>1410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1"/>
        <v>1567</v>
      </c>
      <c r="E170" s="257"/>
      <c r="F170" s="258">
        <v>0</v>
      </c>
      <c r="G170" s="258"/>
      <c r="H170" s="258">
        <f t="shared" si="22"/>
        <v>1567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1"/>
        <v>1731</v>
      </c>
      <c r="E171" s="257"/>
      <c r="F171" s="258">
        <v>0</v>
      </c>
      <c r="G171" s="258"/>
      <c r="H171" s="258">
        <f t="shared" si="22"/>
        <v>1731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1"/>
        <v>1902</v>
      </c>
      <c r="E172" s="257"/>
      <c r="F172" s="258">
        <v>0</v>
      </c>
      <c r="G172" s="258"/>
      <c r="H172" s="258">
        <f t="shared" si="22"/>
        <v>1902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1"/>
        <v>2080</v>
      </c>
      <c r="E173" s="271"/>
      <c r="F173" s="272">
        <v>0</v>
      </c>
      <c r="G173" s="272"/>
      <c r="H173" s="272">
        <f t="shared" si="22"/>
        <v>2080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1"/>
        <v>2264</v>
      </c>
      <c r="E174" s="257"/>
      <c r="F174" s="258">
        <v>0</v>
      </c>
      <c r="G174" s="258"/>
      <c r="H174" s="258">
        <f t="shared" si="22"/>
        <v>2264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1"/>
        <v>2455</v>
      </c>
      <c r="E175" s="257"/>
      <c r="F175" s="258">
        <v>0</v>
      </c>
      <c r="G175" s="258"/>
      <c r="H175" s="258">
        <f t="shared" si="22"/>
        <v>2455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1"/>
        <v>2653</v>
      </c>
      <c r="E176" s="257"/>
      <c r="F176" s="258">
        <v>0</v>
      </c>
      <c r="G176" s="258"/>
      <c r="H176" s="258">
        <f t="shared" si="22"/>
        <v>2653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1"/>
        <v>2857</v>
      </c>
      <c r="E177" s="257"/>
      <c r="F177" s="258">
        <v>0</v>
      </c>
      <c r="G177" s="258"/>
      <c r="H177" s="258">
        <f t="shared" si="22"/>
        <v>2857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1"/>
        <v>3067</v>
      </c>
      <c r="E178" s="271"/>
      <c r="F178" s="272">
        <v>0</v>
      </c>
      <c r="G178" s="272"/>
      <c r="H178" s="272">
        <f t="shared" si="22"/>
        <v>3067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1"/>
        <v>3284</v>
      </c>
      <c r="E179" s="257"/>
      <c r="F179" s="258">
        <v>0</v>
      </c>
      <c r="G179" s="258"/>
      <c r="H179" s="258">
        <f t="shared" si="22"/>
        <v>3284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1"/>
        <v>3507</v>
      </c>
      <c r="E180" s="257"/>
      <c r="F180" s="258">
        <v>0</v>
      </c>
      <c r="G180" s="258"/>
      <c r="H180" s="258">
        <f t="shared" si="22"/>
        <v>3507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1"/>
        <v>3737</v>
      </c>
      <c r="E181" s="257"/>
      <c r="F181" s="258">
        <v>0</v>
      </c>
      <c r="G181" s="258"/>
      <c r="H181" s="258">
        <f t="shared" si="22"/>
        <v>3737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1"/>
        <v>3972</v>
      </c>
      <c r="E182" s="257"/>
      <c r="F182" s="258">
        <v>0</v>
      </c>
      <c r="G182" s="258"/>
      <c r="H182" s="258">
        <f t="shared" si="22"/>
        <v>3972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1"/>
        <v>4214</v>
      </c>
      <c r="E183" s="271"/>
      <c r="F183" s="272">
        <v>0</v>
      </c>
      <c r="G183" s="272"/>
      <c r="H183" s="272">
        <f t="shared" si="22"/>
        <v>4214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1000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204">
        <f t="shared" ref="B195:B204" si="23">B146</f>
        <v>2005</v>
      </c>
      <c r="C195" s="204"/>
      <c r="D195" s="208">
        <f t="shared" ref="D195:D204" si="24">VLOOKUP(B195,B$7:E$16,3,FALSE)</f>
        <v>0</v>
      </c>
      <c r="E195" s="244">
        <f t="shared" ref="E195:E204" si="25">((COUNT(B$195:B$204)-1)/2)+(B195-$C$4)</f>
        <v>-4.5</v>
      </c>
      <c r="F195" s="206">
        <f t="shared" ref="F195:F204" si="26">E195^2</f>
        <v>20.25</v>
      </c>
      <c r="G195" s="205">
        <f t="shared" ref="G195:G204" si="27">E$192-D195</f>
        <v>1000</v>
      </c>
      <c r="H195" s="259">
        <v>0</v>
      </c>
      <c r="I195" s="245">
        <f t="shared" ref="I195:I204" si="28">LOG(G195)</f>
        <v>3</v>
      </c>
      <c r="J195" s="246">
        <f>ROUND(H195-I195,6)</f>
        <v>-3</v>
      </c>
      <c r="K195" s="246">
        <f t="shared" ref="K195:K204" si="29">E195*J195</f>
        <v>13.5</v>
      </c>
      <c r="L195" s="203"/>
      <c r="M195" s="203"/>
      <c r="N195" s="203"/>
      <c r="O195" s="203"/>
    </row>
    <row r="196" spans="1:15" ht="15" customHeight="1">
      <c r="A196" s="203"/>
      <c r="B196" s="204">
        <f t="shared" si="23"/>
        <v>2006</v>
      </c>
      <c r="C196" s="204"/>
      <c r="D196" s="208">
        <f t="shared" si="24"/>
        <v>0</v>
      </c>
      <c r="E196" s="244">
        <f t="shared" si="25"/>
        <v>-3.5</v>
      </c>
      <c r="F196" s="206">
        <f t="shared" si="26"/>
        <v>12.25</v>
      </c>
      <c r="G196" s="205">
        <f t="shared" si="27"/>
        <v>1000</v>
      </c>
      <c r="H196" s="259">
        <v>0</v>
      </c>
      <c r="I196" s="245">
        <f t="shared" si="28"/>
        <v>3</v>
      </c>
      <c r="J196" s="246">
        <f t="shared" ref="J196:J204" si="30">H196-I196</f>
        <v>-3</v>
      </c>
      <c r="K196" s="246">
        <f t="shared" si="29"/>
        <v>10.5</v>
      </c>
      <c r="L196" s="203"/>
      <c r="M196" s="203"/>
      <c r="N196" s="203"/>
      <c r="O196" s="203"/>
    </row>
    <row r="197" spans="1:15" ht="15" customHeight="1">
      <c r="A197" s="203"/>
      <c r="B197" s="204">
        <f t="shared" si="23"/>
        <v>2007</v>
      </c>
      <c r="C197" s="204"/>
      <c r="D197" s="208">
        <f t="shared" si="24"/>
        <v>639</v>
      </c>
      <c r="E197" s="244">
        <f t="shared" si="25"/>
        <v>-2.5</v>
      </c>
      <c r="F197" s="206">
        <f t="shared" si="26"/>
        <v>6.25</v>
      </c>
      <c r="G197" s="205">
        <f t="shared" si="27"/>
        <v>361</v>
      </c>
      <c r="H197" s="259">
        <f t="shared" ref="H197:H204" si="31">LOG(D197)</f>
        <v>2.8055008581584002</v>
      </c>
      <c r="I197" s="245">
        <f t="shared" si="28"/>
        <v>2.5575072019056577</v>
      </c>
      <c r="J197" s="246">
        <f t="shared" si="30"/>
        <v>0.2479936562527425</v>
      </c>
      <c r="K197" s="246">
        <f t="shared" si="29"/>
        <v>-0.61998414063185625</v>
      </c>
      <c r="L197" s="203"/>
      <c r="M197" s="203"/>
      <c r="N197" s="203"/>
      <c r="O197" s="203"/>
    </row>
    <row r="198" spans="1:15" ht="15" customHeight="1">
      <c r="A198" s="203"/>
      <c r="B198" s="204">
        <f t="shared" si="23"/>
        <v>2008</v>
      </c>
      <c r="C198" s="204"/>
      <c r="D198" s="208">
        <f t="shared" si="24"/>
        <v>164</v>
      </c>
      <c r="E198" s="244">
        <f t="shared" si="25"/>
        <v>-1.5</v>
      </c>
      <c r="F198" s="206">
        <f t="shared" si="26"/>
        <v>2.25</v>
      </c>
      <c r="G198" s="205">
        <f t="shared" si="27"/>
        <v>836</v>
      </c>
      <c r="H198" s="259">
        <f t="shared" si="31"/>
        <v>2.214843848047698</v>
      </c>
      <c r="I198" s="245">
        <f t="shared" si="28"/>
        <v>2.9222062774390163</v>
      </c>
      <c r="J198" s="246">
        <f t="shared" si="30"/>
        <v>-0.70736242939131833</v>
      </c>
      <c r="K198" s="246">
        <f t="shared" si="29"/>
        <v>1.0610436440869775</v>
      </c>
      <c r="L198" s="203"/>
      <c r="M198" s="203"/>
      <c r="N198" s="203"/>
      <c r="O198" s="203"/>
    </row>
    <row r="199" spans="1:15" ht="15" customHeight="1">
      <c r="A199" s="203"/>
      <c r="B199" s="204">
        <f t="shared" si="23"/>
        <v>2009</v>
      </c>
      <c r="C199" s="204"/>
      <c r="D199" s="208">
        <f t="shared" si="24"/>
        <v>154</v>
      </c>
      <c r="E199" s="244">
        <f t="shared" si="25"/>
        <v>-0.5</v>
      </c>
      <c r="F199" s="206">
        <f t="shared" si="26"/>
        <v>0.25</v>
      </c>
      <c r="G199" s="205">
        <f t="shared" si="27"/>
        <v>846</v>
      </c>
      <c r="H199" s="259">
        <f t="shared" si="31"/>
        <v>2.1875207208364631</v>
      </c>
      <c r="I199" s="245">
        <f t="shared" si="28"/>
        <v>2.9273703630390235</v>
      </c>
      <c r="J199" s="246">
        <f t="shared" si="30"/>
        <v>-0.73984964220256044</v>
      </c>
      <c r="K199" s="246">
        <f t="shared" si="29"/>
        <v>0.36992482110128022</v>
      </c>
      <c r="L199" s="203"/>
      <c r="M199" s="203"/>
      <c r="N199" s="203"/>
      <c r="O199" s="203"/>
    </row>
    <row r="200" spans="1:15" ht="15" customHeight="1">
      <c r="A200" s="203"/>
      <c r="B200" s="204">
        <f t="shared" si="23"/>
        <v>2010</v>
      </c>
      <c r="C200" s="204"/>
      <c r="D200" s="208">
        <f t="shared" si="24"/>
        <v>351</v>
      </c>
      <c r="E200" s="244">
        <f t="shared" si="25"/>
        <v>0.5</v>
      </c>
      <c r="F200" s="206">
        <f t="shared" si="26"/>
        <v>0.25</v>
      </c>
      <c r="G200" s="205">
        <f t="shared" si="27"/>
        <v>649</v>
      </c>
      <c r="H200" s="259">
        <f t="shared" si="31"/>
        <v>2.5453071164658239</v>
      </c>
      <c r="I200" s="245">
        <f t="shared" si="28"/>
        <v>2.8122446968003691</v>
      </c>
      <c r="J200" s="246">
        <f t="shared" si="30"/>
        <v>-0.26693758033454529</v>
      </c>
      <c r="K200" s="246">
        <f t="shared" si="29"/>
        <v>-0.13346879016727264</v>
      </c>
      <c r="L200" s="203"/>
      <c r="M200" s="203"/>
      <c r="N200" s="203"/>
      <c r="O200" s="203"/>
    </row>
    <row r="201" spans="1:15" ht="15" customHeight="1">
      <c r="A201" s="203"/>
      <c r="B201" s="204">
        <f t="shared" si="23"/>
        <v>2011</v>
      </c>
      <c r="C201" s="204"/>
      <c r="D201" s="208">
        <f t="shared" si="24"/>
        <v>188</v>
      </c>
      <c r="E201" s="244">
        <f t="shared" si="25"/>
        <v>1.5</v>
      </c>
      <c r="F201" s="206">
        <f t="shared" si="26"/>
        <v>2.25</v>
      </c>
      <c r="G201" s="205">
        <f t="shared" si="27"/>
        <v>812</v>
      </c>
      <c r="H201" s="259">
        <f t="shared" si="31"/>
        <v>2.27415784926368</v>
      </c>
      <c r="I201" s="245">
        <f t="shared" si="28"/>
        <v>2.9095560292411755</v>
      </c>
      <c r="J201" s="246">
        <f t="shared" si="30"/>
        <v>-0.63539817997749548</v>
      </c>
      <c r="K201" s="246">
        <f t="shared" si="29"/>
        <v>-0.95309726996624322</v>
      </c>
      <c r="L201" s="203"/>
      <c r="M201" s="203"/>
      <c r="N201" s="203"/>
      <c r="O201" s="203"/>
    </row>
    <row r="202" spans="1:15" ht="15" customHeight="1">
      <c r="A202" s="203"/>
      <c r="B202" s="204">
        <f t="shared" si="23"/>
        <v>2012</v>
      </c>
      <c r="C202" s="204"/>
      <c r="D202" s="208">
        <f t="shared" si="24"/>
        <v>210</v>
      </c>
      <c r="E202" s="244">
        <f t="shared" si="25"/>
        <v>2.5</v>
      </c>
      <c r="F202" s="206">
        <f t="shared" si="26"/>
        <v>6.25</v>
      </c>
      <c r="G202" s="205">
        <f t="shared" si="27"/>
        <v>790</v>
      </c>
      <c r="H202" s="259">
        <f t="shared" si="31"/>
        <v>2.3222192947339191</v>
      </c>
      <c r="I202" s="245">
        <f t="shared" si="28"/>
        <v>2.8976270912904414</v>
      </c>
      <c r="J202" s="246">
        <f t="shared" si="30"/>
        <v>-0.5754077965565223</v>
      </c>
      <c r="K202" s="246">
        <f t="shared" si="29"/>
        <v>-1.4385194913913057</v>
      </c>
      <c r="L202" s="203"/>
      <c r="M202" s="203"/>
      <c r="N202" s="203"/>
      <c r="O202" s="203"/>
    </row>
    <row r="203" spans="1:15" ht="15" customHeight="1">
      <c r="A203" s="203"/>
      <c r="B203" s="204">
        <f t="shared" si="23"/>
        <v>2013</v>
      </c>
      <c r="C203" s="204"/>
      <c r="D203" s="208">
        <f t="shared" si="24"/>
        <v>226</v>
      </c>
      <c r="E203" s="244">
        <f t="shared" si="25"/>
        <v>3.5</v>
      </c>
      <c r="F203" s="206">
        <f t="shared" si="26"/>
        <v>12.25</v>
      </c>
      <c r="G203" s="205">
        <f t="shared" si="27"/>
        <v>774</v>
      </c>
      <c r="H203" s="259">
        <f t="shared" si="31"/>
        <v>2.3541084391474008</v>
      </c>
      <c r="I203" s="245">
        <f t="shared" si="28"/>
        <v>2.8887409606828927</v>
      </c>
      <c r="J203" s="246">
        <f t="shared" si="30"/>
        <v>-0.5346325215354919</v>
      </c>
      <c r="K203" s="246">
        <f t="shared" si="29"/>
        <v>-1.8712138253742217</v>
      </c>
      <c r="L203" s="203"/>
      <c r="M203" s="203"/>
      <c r="N203" s="203"/>
      <c r="O203" s="203"/>
    </row>
    <row r="204" spans="1:15" ht="15" customHeight="1">
      <c r="A204" s="203"/>
      <c r="B204" s="204">
        <f t="shared" si="23"/>
        <v>2014</v>
      </c>
      <c r="C204" s="204"/>
      <c r="D204" s="208">
        <f t="shared" si="24"/>
        <v>279</v>
      </c>
      <c r="E204" s="244">
        <f t="shared" si="25"/>
        <v>4.5</v>
      </c>
      <c r="F204" s="206">
        <f t="shared" si="26"/>
        <v>20.25</v>
      </c>
      <c r="G204" s="205">
        <f t="shared" si="27"/>
        <v>721</v>
      </c>
      <c r="H204" s="259">
        <f t="shared" si="31"/>
        <v>2.4456042032735974</v>
      </c>
      <c r="I204" s="245">
        <f t="shared" si="28"/>
        <v>2.8579352647194289</v>
      </c>
      <c r="J204" s="246">
        <f t="shared" si="30"/>
        <v>-0.41233106144583154</v>
      </c>
      <c r="K204" s="246">
        <f t="shared" si="29"/>
        <v>-1.8554897765062419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2211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-9.6239255551910237</v>
      </c>
      <c r="K205" s="263">
        <f>SUM(K195:K204)</f>
        <v>18.559195171151117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2.2159900000000001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0.51486900000000002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2">ROUNDUP(E$192/(1+EXP(1)^(H$207-K$208*(B212-B$200+0.5))),0)</f>
        <v>526</v>
      </c>
      <c r="E212" s="208"/>
      <c r="F212" s="208">
        <v>0</v>
      </c>
      <c r="G212" s="208"/>
      <c r="H212" s="208">
        <f t="shared" ref="H212:H233" si="33">ROUND(D212*(1+F212),0)</f>
        <v>526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2"/>
        <v>650</v>
      </c>
      <c r="E213" s="269"/>
      <c r="F213" s="269">
        <v>0</v>
      </c>
      <c r="G213" s="269"/>
      <c r="H213" s="269">
        <f t="shared" si="33"/>
        <v>650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2"/>
        <v>756</v>
      </c>
      <c r="E214" s="221"/>
      <c r="F214" s="221">
        <v>0</v>
      </c>
      <c r="G214" s="221"/>
      <c r="H214" s="221">
        <f t="shared" si="33"/>
        <v>756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2"/>
        <v>839</v>
      </c>
      <c r="E215" s="221"/>
      <c r="F215" s="221">
        <v>0</v>
      </c>
      <c r="G215" s="221"/>
      <c r="H215" s="221">
        <f t="shared" si="33"/>
        <v>839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2"/>
        <v>897</v>
      </c>
      <c r="E216" s="221"/>
      <c r="F216" s="221">
        <v>0</v>
      </c>
      <c r="G216" s="221"/>
      <c r="H216" s="221">
        <f t="shared" si="33"/>
        <v>897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2"/>
        <v>936</v>
      </c>
      <c r="E217" s="221"/>
      <c r="F217" s="221">
        <v>0</v>
      </c>
      <c r="G217" s="221"/>
      <c r="H217" s="221">
        <f t="shared" si="33"/>
        <v>936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2"/>
        <v>961</v>
      </c>
      <c r="E218" s="269"/>
      <c r="F218" s="269">
        <v>0</v>
      </c>
      <c r="G218" s="269"/>
      <c r="H218" s="269">
        <f t="shared" si="33"/>
        <v>961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2"/>
        <v>976</v>
      </c>
      <c r="E219" s="221"/>
      <c r="F219" s="221">
        <v>0</v>
      </c>
      <c r="G219" s="221"/>
      <c r="H219" s="221">
        <f t="shared" si="33"/>
        <v>976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2"/>
        <v>986</v>
      </c>
      <c r="E220" s="221"/>
      <c r="F220" s="221">
        <v>0</v>
      </c>
      <c r="G220" s="221"/>
      <c r="H220" s="221">
        <f t="shared" si="33"/>
        <v>986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2"/>
        <v>992</v>
      </c>
      <c r="E221" s="221"/>
      <c r="F221" s="221">
        <v>0</v>
      </c>
      <c r="G221" s="221"/>
      <c r="H221" s="221">
        <f t="shared" si="33"/>
        <v>992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2"/>
        <v>995</v>
      </c>
      <c r="E222" s="221"/>
      <c r="F222" s="221">
        <v>0</v>
      </c>
      <c r="G222" s="221"/>
      <c r="H222" s="221">
        <f t="shared" si="33"/>
        <v>995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2"/>
        <v>997</v>
      </c>
      <c r="E223" s="269"/>
      <c r="F223" s="269">
        <v>0</v>
      </c>
      <c r="G223" s="269"/>
      <c r="H223" s="269">
        <f t="shared" si="33"/>
        <v>997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2"/>
        <v>999</v>
      </c>
      <c r="E224" s="221"/>
      <c r="F224" s="221">
        <v>0</v>
      </c>
      <c r="G224" s="221"/>
      <c r="H224" s="221">
        <f t="shared" si="33"/>
        <v>999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2"/>
        <v>999</v>
      </c>
      <c r="E225" s="221"/>
      <c r="F225" s="221">
        <v>0</v>
      </c>
      <c r="G225" s="221"/>
      <c r="H225" s="221">
        <f t="shared" si="33"/>
        <v>999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2"/>
        <v>1000</v>
      </c>
      <c r="E226" s="221"/>
      <c r="F226" s="221">
        <v>0</v>
      </c>
      <c r="G226" s="221"/>
      <c r="H226" s="221">
        <f t="shared" si="33"/>
        <v>1000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2"/>
        <v>1000</v>
      </c>
      <c r="E227" s="221"/>
      <c r="F227" s="221">
        <v>0</v>
      </c>
      <c r="G227" s="221"/>
      <c r="H227" s="221">
        <f t="shared" si="33"/>
        <v>1000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2"/>
        <v>1000</v>
      </c>
      <c r="E228" s="269"/>
      <c r="F228" s="269">
        <v>0</v>
      </c>
      <c r="G228" s="269"/>
      <c r="H228" s="269">
        <f t="shared" si="33"/>
        <v>1000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2"/>
        <v>1000</v>
      </c>
      <c r="E229" s="221"/>
      <c r="F229" s="221">
        <v>0</v>
      </c>
      <c r="G229" s="221"/>
      <c r="H229" s="221">
        <f t="shared" si="33"/>
        <v>1000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2"/>
        <v>1000</v>
      </c>
      <c r="E230" s="221"/>
      <c r="F230" s="221">
        <v>0</v>
      </c>
      <c r="G230" s="221"/>
      <c r="H230" s="221">
        <f t="shared" si="33"/>
        <v>1000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2"/>
        <v>1000</v>
      </c>
      <c r="E231" s="221"/>
      <c r="F231" s="221">
        <v>0</v>
      </c>
      <c r="G231" s="221"/>
      <c r="H231" s="221">
        <f t="shared" si="33"/>
        <v>1000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2"/>
        <v>1000</v>
      </c>
      <c r="E232" s="221"/>
      <c r="F232" s="221">
        <v>0</v>
      </c>
      <c r="G232" s="221"/>
      <c r="H232" s="221">
        <f t="shared" si="33"/>
        <v>1000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2"/>
        <v>1000</v>
      </c>
      <c r="E233" s="269"/>
      <c r="F233" s="269">
        <v>0</v>
      </c>
      <c r="G233" s="269"/>
      <c r="H233" s="269">
        <f t="shared" si="33"/>
        <v>1000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279</v>
      </c>
      <c r="E241" s="257">
        <f t="array" ref="E241">IF(B60=B241,H60)</f>
        <v>279</v>
      </c>
      <c r="F241" s="257">
        <f t="array" ref="F241">IF(B115=B241,H115)</f>
        <v>282</v>
      </c>
      <c r="G241" s="257">
        <f t="array" ref="G241">IF(B162=B241,H162)</f>
        <v>518</v>
      </c>
      <c r="H241" s="257">
        <f t="array" ref="H241">IF(B212=B241,H212)</f>
        <v>526</v>
      </c>
      <c r="I241" s="257">
        <f t="shared" ref="I241:I262" si="34">IF(G241=0,AVERAGE(D241,E241,F241,H241),AVERAGE(D241:H241))</f>
        <v>376.8</v>
      </c>
      <c r="J241" s="266">
        <f t="shared" ref="J241:J262" si="35">ROUND(AVERAGE(D241,F241:G241),0)</f>
        <v>360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310</v>
      </c>
      <c r="E242" s="271">
        <f t="array" ref="E242">IF(B61=B242,H61)</f>
        <v>248</v>
      </c>
      <c r="F242" s="271">
        <f t="array" ref="F242">IF(B116=B242,H116)</f>
        <v>295</v>
      </c>
      <c r="G242" s="271">
        <f t="array" ref="G242">IF(B163=B242,H163)</f>
        <v>622</v>
      </c>
      <c r="H242" s="271">
        <f t="array" ref="H242">IF(B213=B242,H213)</f>
        <v>650</v>
      </c>
      <c r="I242" s="271">
        <f t="shared" si="34"/>
        <v>425</v>
      </c>
      <c r="J242" s="273">
        <f t="shared" si="35"/>
        <v>409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341</v>
      </c>
      <c r="E243" s="257">
        <f t="array" ref="E243">IF(B62=B243,H62)</f>
        <v>220</v>
      </c>
      <c r="F243" s="257">
        <f t="array" ref="F243">IF(B117=B243,H117)</f>
        <v>308</v>
      </c>
      <c r="G243" s="257">
        <f t="array" ref="G243">IF(B164=B243,H164)</f>
        <v>734</v>
      </c>
      <c r="H243" s="257">
        <f t="array" ref="H243">IF(B214=B243,H214)</f>
        <v>756</v>
      </c>
      <c r="I243" s="257">
        <f t="shared" si="34"/>
        <v>471.8</v>
      </c>
      <c r="J243" s="266">
        <f t="shared" si="35"/>
        <v>461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372</v>
      </c>
      <c r="E244" s="257">
        <f t="array" ref="E244">IF(B63=B244,H63)</f>
        <v>196</v>
      </c>
      <c r="F244" s="257">
        <f t="array" ref="F244">IF(B118=B244,H118)</f>
        <v>322</v>
      </c>
      <c r="G244" s="257">
        <f t="array" ref="G244">IF(B165=B244,H165)</f>
        <v>854</v>
      </c>
      <c r="H244" s="257">
        <f t="array" ref="H244">IF(B215=B244,H215)</f>
        <v>839</v>
      </c>
      <c r="I244" s="257">
        <f t="shared" si="34"/>
        <v>516.6</v>
      </c>
      <c r="J244" s="266">
        <f t="shared" si="35"/>
        <v>516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403</v>
      </c>
      <c r="E245" s="257">
        <f t="array" ref="E245">IF(B64=B245,H64)</f>
        <v>174</v>
      </c>
      <c r="F245" s="257">
        <f t="array" ref="F245">IF(B119=B245,H119)</f>
        <v>335</v>
      </c>
      <c r="G245" s="257">
        <f t="array" ref="G245">IF(B166=B245,H166)</f>
        <v>982</v>
      </c>
      <c r="H245" s="257">
        <f t="array" ref="H245">IF(B216=B245,H216)</f>
        <v>897</v>
      </c>
      <c r="I245" s="257">
        <f t="shared" si="34"/>
        <v>558.20000000000005</v>
      </c>
      <c r="J245" s="266">
        <f t="shared" si="35"/>
        <v>573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434</v>
      </c>
      <c r="E246" s="257">
        <f t="array" ref="E246">IF(B65=B246,H65)</f>
        <v>154</v>
      </c>
      <c r="F246" s="257">
        <f t="array" ref="F246">IF(B120=B246,H120)</f>
        <v>348</v>
      </c>
      <c r="G246" s="257">
        <f t="array" ref="G246">IF(B167=B246,H167)</f>
        <v>1118</v>
      </c>
      <c r="H246" s="257">
        <f t="array" ref="H246">IF(B217=B246,H217)</f>
        <v>936</v>
      </c>
      <c r="I246" s="257">
        <f t="shared" si="34"/>
        <v>598</v>
      </c>
      <c r="J246" s="266">
        <f t="shared" si="35"/>
        <v>633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465</v>
      </c>
      <c r="E247" s="271">
        <f t="array" ref="E247">IF(B66=B247,H66)</f>
        <v>137</v>
      </c>
      <c r="F247" s="271">
        <f t="array" ref="F247">IF(B121=B247,H121)</f>
        <v>362</v>
      </c>
      <c r="G247" s="271">
        <f t="array" ref="G247">IF(B168=B247,H168)</f>
        <v>1260</v>
      </c>
      <c r="H247" s="271">
        <f t="array" ref="H247">IF(B218=B247,H218)</f>
        <v>961</v>
      </c>
      <c r="I247" s="271">
        <f t="shared" si="34"/>
        <v>637</v>
      </c>
      <c r="J247" s="273">
        <f t="shared" si="35"/>
        <v>696</v>
      </c>
      <c r="K247" s="272"/>
      <c r="L247" s="203"/>
      <c r="M247" s="203"/>
      <c r="N247" s="203"/>
      <c r="O247" s="203"/>
    </row>
    <row r="248" spans="1:15" ht="15" customHeight="1">
      <c r="A248" s="203"/>
      <c r="B248" s="220">
        <v>2021</v>
      </c>
      <c r="C248" s="221"/>
      <c r="D248" s="257">
        <f t="array" ref="D248">IF(B33=B248,H33)</f>
        <v>496</v>
      </c>
      <c r="E248" s="257">
        <f t="array" ref="E248">IF(B67=B248,H67)</f>
        <v>122</v>
      </c>
      <c r="F248" s="257">
        <f t="array" ref="F248">IF(B122=B248,H122)</f>
        <v>375</v>
      </c>
      <c r="G248" s="257">
        <f t="array" ref="G248">IF(B169=B248,H169)</f>
        <v>1410</v>
      </c>
      <c r="H248" s="257">
        <f t="array" ref="H248">IF(B219=B248,H219)</f>
        <v>976</v>
      </c>
      <c r="I248" s="257">
        <f t="shared" si="34"/>
        <v>675.8</v>
      </c>
      <c r="J248" s="266">
        <f t="shared" si="35"/>
        <v>760</v>
      </c>
      <c r="K248" s="258"/>
      <c r="L248" s="203"/>
      <c r="M248" s="203"/>
      <c r="N248" s="203"/>
      <c r="O248" s="203"/>
    </row>
    <row r="249" spans="1:15" ht="15" customHeight="1">
      <c r="A249" s="203"/>
      <c r="B249" s="220">
        <v>2022</v>
      </c>
      <c r="C249" s="221"/>
      <c r="D249" s="257">
        <f t="array" ref="D249">IF(B34=B249,H34)</f>
        <v>527</v>
      </c>
      <c r="E249" s="257">
        <f t="array" ref="E249">IF(B68=B249,H68)</f>
        <v>108</v>
      </c>
      <c r="F249" s="257">
        <f t="array" ref="F249">IF(B123=B249,H123)</f>
        <v>388</v>
      </c>
      <c r="G249" s="257">
        <f t="array" ref="G249">IF(B170=B249,H170)</f>
        <v>1567</v>
      </c>
      <c r="H249" s="257">
        <f t="array" ref="H249">IF(B220=B249,H220)</f>
        <v>986</v>
      </c>
      <c r="I249" s="257">
        <f t="shared" si="34"/>
        <v>715.2</v>
      </c>
      <c r="J249" s="266">
        <f t="shared" si="35"/>
        <v>827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558</v>
      </c>
      <c r="E250" s="257">
        <f t="array" ref="E250">IF(B69=B250,H69)</f>
        <v>96</v>
      </c>
      <c r="F250" s="257">
        <f t="array" ref="F250">IF(B124=B250,H124)</f>
        <v>402</v>
      </c>
      <c r="G250" s="257">
        <f t="array" ref="G250">IF(B171=B250,H171)</f>
        <v>1731</v>
      </c>
      <c r="H250" s="257">
        <f t="array" ref="H250">IF(B221=B250,H221)</f>
        <v>992</v>
      </c>
      <c r="I250" s="257">
        <f t="shared" si="34"/>
        <v>755.8</v>
      </c>
      <c r="J250" s="266">
        <f t="shared" si="35"/>
        <v>897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589</v>
      </c>
      <c r="E251" s="257">
        <f t="array" ref="E251">IF(B70=B251,H70)</f>
        <v>85</v>
      </c>
      <c r="F251" s="257">
        <f t="array" ref="F251">IF(B125=B251,H125)</f>
        <v>415</v>
      </c>
      <c r="G251" s="257">
        <f t="array" ref="G251">IF(B172=B251,H172)</f>
        <v>1902</v>
      </c>
      <c r="H251" s="257">
        <f t="array" ref="H251">IF(B222=B251,H222)</f>
        <v>995</v>
      </c>
      <c r="I251" s="257">
        <f t="shared" si="34"/>
        <v>797.2</v>
      </c>
      <c r="J251" s="266">
        <f t="shared" si="35"/>
        <v>969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620</v>
      </c>
      <c r="E252" s="271">
        <f t="array" ref="E252">IF(B71=B252,H71)</f>
        <v>76</v>
      </c>
      <c r="F252" s="271">
        <f t="array" ref="F252">IF(B126=B252,H126)</f>
        <v>429</v>
      </c>
      <c r="G252" s="271">
        <f t="array" ref="G252">IF(B173=B252,H173)</f>
        <v>2080</v>
      </c>
      <c r="H252" s="271">
        <f t="array" ref="H252">IF(B223=B252,H223)</f>
        <v>997</v>
      </c>
      <c r="I252" s="271">
        <f t="shared" si="34"/>
        <v>840.4</v>
      </c>
      <c r="J252" s="273">
        <f t="shared" si="35"/>
        <v>1043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651</v>
      </c>
      <c r="E253" s="257">
        <f t="array" ref="E253">IF(B72=B253,H72)</f>
        <v>67</v>
      </c>
      <c r="F253" s="257">
        <f t="array" ref="F253">IF(B127=B253,H127)</f>
        <v>442</v>
      </c>
      <c r="G253" s="257">
        <f t="array" ref="G253">IF(B174=B253,H174)</f>
        <v>2264</v>
      </c>
      <c r="H253" s="257">
        <f t="array" ref="H253">IF(B224=B253,H224)</f>
        <v>999</v>
      </c>
      <c r="I253" s="257">
        <f t="shared" si="34"/>
        <v>884.6</v>
      </c>
      <c r="J253" s="266">
        <f t="shared" si="35"/>
        <v>1119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682</v>
      </c>
      <c r="E254" s="257">
        <f t="array" ref="E254">IF(B73=B254,H73)</f>
        <v>60</v>
      </c>
      <c r="F254" s="257">
        <f t="array" ref="F254">IF(B128=B254,H128)</f>
        <v>455</v>
      </c>
      <c r="G254" s="257">
        <f t="array" ref="G254">IF(B175=B254,H175)</f>
        <v>2455</v>
      </c>
      <c r="H254" s="257">
        <f t="array" ref="H254">IF(B225=B254,H225)</f>
        <v>999</v>
      </c>
      <c r="I254" s="257">
        <f t="shared" si="34"/>
        <v>930.2</v>
      </c>
      <c r="J254" s="266">
        <f t="shared" si="35"/>
        <v>1197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713</v>
      </c>
      <c r="E255" s="257">
        <f t="array" ref="E255">IF(B74=B255,H74)</f>
        <v>53</v>
      </c>
      <c r="F255" s="257">
        <f t="array" ref="F255">IF(B129=B255,H129)</f>
        <v>469</v>
      </c>
      <c r="G255" s="257">
        <f t="array" ref="G255">IF(B176=B255,H176)</f>
        <v>2653</v>
      </c>
      <c r="H255" s="257">
        <f t="array" ref="H255">IF(B226=B255,H226)</f>
        <v>1000</v>
      </c>
      <c r="I255" s="257">
        <f t="shared" si="34"/>
        <v>977.6</v>
      </c>
      <c r="J255" s="266">
        <f t="shared" si="35"/>
        <v>1278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744</v>
      </c>
      <c r="E256" s="257">
        <f t="array" ref="E256">IF(B75=B256,H75)</f>
        <v>47</v>
      </c>
      <c r="F256" s="257">
        <f t="array" ref="F256">IF(B130=B256,H130)</f>
        <v>482</v>
      </c>
      <c r="G256" s="257">
        <f t="array" ref="G256">IF(B177=B256,H177)</f>
        <v>2857</v>
      </c>
      <c r="H256" s="257">
        <f t="array" ref="H256">IF(B227=B256,H227)</f>
        <v>1000</v>
      </c>
      <c r="I256" s="257">
        <f t="shared" si="34"/>
        <v>1026</v>
      </c>
      <c r="J256" s="266">
        <f t="shared" si="35"/>
        <v>1361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775</v>
      </c>
      <c r="E257" s="271">
        <f t="array" ref="E257">IF(B76=B257,H76)</f>
        <v>42</v>
      </c>
      <c r="F257" s="271">
        <f t="array" ref="F257">IF(B131=B257,H131)</f>
        <v>495</v>
      </c>
      <c r="G257" s="271">
        <f t="array" ref="G257">IF(B178=B257,H178)</f>
        <v>3067</v>
      </c>
      <c r="H257" s="271">
        <f t="array" ref="H257">IF(B228=B257,H228)</f>
        <v>1000</v>
      </c>
      <c r="I257" s="271">
        <f t="shared" si="34"/>
        <v>1075.8</v>
      </c>
      <c r="J257" s="273">
        <f t="shared" si="35"/>
        <v>1446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806</v>
      </c>
      <c r="E258" s="257">
        <f t="array" ref="E258">IF(B77=B258,H77)</f>
        <v>37</v>
      </c>
      <c r="F258" s="257">
        <f t="array" ref="F258">IF(B132=B258,H132)</f>
        <v>509</v>
      </c>
      <c r="G258" s="257">
        <f t="array" ref="G258">IF(B179=B258,H179)</f>
        <v>3284</v>
      </c>
      <c r="H258" s="257">
        <f t="array" ref="H258">IF(B229=B258,H229)</f>
        <v>1000</v>
      </c>
      <c r="I258" s="257">
        <f t="shared" si="34"/>
        <v>1127.2</v>
      </c>
      <c r="J258" s="266">
        <f t="shared" si="35"/>
        <v>1533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837</v>
      </c>
      <c r="E259" s="257">
        <f t="array" ref="E259">IF(B78=B259,H78)</f>
        <v>33</v>
      </c>
      <c r="F259" s="257">
        <f t="array" ref="F259">IF(B133=B259,H133)</f>
        <v>522</v>
      </c>
      <c r="G259" s="257">
        <f t="array" ref="G259">IF(B180=B259,H180)</f>
        <v>3507</v>
      </c>
      <c r="H259" s="257">
        <f t="array" ref="H259">IF(B230=B259,H230)</f>
        <v>1000</v>
      </c>
      <c r="I259" s="257">
        <f t="shared" si="34"/>
        <v>1179.8</v>
      </c>
      <c r="J259" s="266">
        <f t="shared" si="35"/>
        <v>1622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868</v>
      </c>
      <c r="E260" s="257">
        <f t="array" ref="E260">IF(B79=B260,H79)</f>
        <v>29</v>
      </c>
      <c r="F260" s="257">
        <f t="array" ref="F260">IF(B134=B260,H134)</f>
        <v>535</v>
      </c>
      <c r="G260" s="257">
        <f t="array" ref="G260">IF(B181=B260,H181)</f>
        <v>3737</v>
      </c>
      <c r="H260" s="257">
        <f t="array" ref="H260">IF(B231=B260,H231)</f>
        <v>1000</v>
      </c>
      <c r="I260" s="257">
        <f t="shared" si="34"/>
        <v>1233.8</v>
      </c>
      <c r="J260" s="266">
        <f t="shared" si="35"/>
        <v>1713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899</v>
      </c>
      <c r="E261" s="257">
        <f t="array" ref="E261">IF(B80=B261,H80)</f>
        <v>26</v>
      </c>
      <c r="F261" s="257">
        <f t="array" ref="F261">IF(B135=B261,H135)</f>
        <v>549</v>
      </c>
      <c r="G261" s="257">
        <f t="array" ref="G261">IF(B182=B261,H182)</f>
        <v>3972</v>
      </c>
      <c r="H261" s="257">
        <f t="array" ref="H261">IF(B232=B261,H232)</f>
        <v>1000</v>
      </c>
      <c r="I261" s="257">
        <f t="shared" si="34"/>
        <v>1289.2</v>
      </c>
      <c r="J261" s="266">
        <f t="shared" si="35"/>
        <v>1807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930</v>
      </c>
      <c r="E262" s="271">
        <f t="array" ref="E262">IF(B81=B262,H81)</f>
        <v>23</v>
      </c>
      <c r="F262" s="271">
        <f t="array" ref="F262">IF(B136=B262,H136)</f>
        <v>562</v>
      </c>
      <c r="G262" s="271">
        <f t="array" ref="G262">IF(B183=B262,H183)</f>
        <v>4214</v>
      </c>
      <c r="H262" s="271">
        <f t="array" ref="H262">IF(B233=B262,H233)</f>
        <v>1000</v>
      </c>
      <c r="I262" s="271">
        <f t="shared" si="34"/>
        <v>1345.8</v>
      </c>
      <c r="J262" s="273">
        <f t="shared" si="35"/>
        <v>1902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2251" t="s">
        <v>972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2010</v>
      </c>
      <c r="C7" s="204"/>
      <c r="D7" s="205">
        <f>+'대소면(10년)'!D12</f>
        <v>351</v>
      </c>
      <c r="E7" s="205"/>
      <c r="F7" s="206">
        <v>0</v>
      </c>
      <c r="G7" s="206"/>
      <c r="H7" s="207"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204">
        <v>2011</v>
      </c>
      <c r="C8" s="204"/>
      <c r="D8" s="205">
        <f>+'대소면(10년)'!D13</f>
        <v>188</v>
      </c>
      <c r="E8" s="205"/>
      <c r="F8" s="206">
        <f>D8-D7</f>
        <v>-163</v>
      </c>
      <c r="G8" s="206"/>
      <c r="H8" s="207">
        <f>ROUND(F8/D7*100,2)</f>
        <v>-46.44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v>2012</v>
      </c>
      <c r="C9" s="204"/>
      <c r="D9" s="205">
        <f>+'대소면(10년)'!D14</f>
        <v>210</v>
      </c>
      <c r="E9" s="205"/>
      <c r="F9" s="206">
        <f>D9-D8</f>
        <v>22</v>
      </c>
      <c r="G9" s="206"/>
      <c r="H9" s="207">
        <f>ROUND(F9/D8*100,2)</f>
        <v>11.7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v>2013</v>
      </c>
      <c r="C10" s="204"/>
      <c r="D10" s="205">
        <f>+'대소면(10년)'!D15</f>
        <v>226</v>
      </c>
      <c r="E10" s="205"/>
      <c r="F10" s="206">
        <f>D10-D9</f>
        <v>16</v>
      </c>
      <c r="G10" s="206"/>
      <c r="H10" s="207">
        <f>ROUND(F10/D9*100,2)</f>
        <v>7.62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v>2014</v>
      </c>
      <c r="C11" s="204"/>
      <c r="D11" s="205">
        <f>+'대소면(10년)'!D16</f>
        <v>279</v>
      </c>
      <c r="E11" s="205"/>
      <c r="F11" s="206">
        <f>D11-D10</f>
        <v>53</v>
      </c>
      <c r="G11" s="206"/>
      <c r="H11" s="207">
        <f>ROUND(F11/D10*100,2)</f>
        <v>23.45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1254</v>
      </c>
      <c r="E12" s="214"/>
      <c r="F12" s="215"/>
      <c r="G12" s="215"/>
      <c r="H12" s="216">
        <f>SUM(H7:H11)</f>
        <v>-3.6699999999999946</v>
      </c>
      <c r="I12" s="216"/>
      <c r="J12" s="217">
        <f>ROUND(AVERAGE(H7:H11),1)</f>
        <v>-0.7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279</v>
      </c>
      <c r="E21" s="221"/>
      <c r="F21" s="221">
        <v>0</v>
      </c>
      <c r="G21" s="221"/>
      <c r="H21" s="221">
        <f t="shared" ref="H21:H42" si="1">ROUND(D21*(1+F21),0)</f>
        <v>279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261</v>
      </c>
      <c r="E22" s="269"/>
      <c r="F22" s="269">
        <v>0</v>
      </c>
      <c r="G22" s="269"/>
      <c r="H22" s="269">
        <f t="shared" si="1"/>
        <v>261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243</v>
      </c>
      <c r="E23" s="221"/>
      <c r="F23" s="221">
        <v>0</v>
      </c>
      <c r="G23" s="221"/>
      <c r="H23" s="221">
        <f t="shared" si="1"/>
        <v>243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225</v>
      </c>
      <c r="E24" s="221"/>
      <c r="F24" s="221">
        <v>0</v>
      </c>
      <c r="G24" s="221"/>
      <c r="H24" s="221">
        <f t="shared" si="1"/>
        <v>225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207</v>
      </c>
      <c r="E25" s="221"/>
      <c r="F25" s="221">
        <v>0</v>
      </c>
      <c r="G25" s="221"/>
      <c r="H25" s="221">
        <f t="shared" si="1"/>
        <v>207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189</v>
      </c>
      <c r="E26" s="221"/>
      <c r="F26" s="221">
        <v>0</v>
      </c>
      <c r="G26" s="221"/>
      <c r="H26" s="221">
        <f t="shared" si="1"/>
        <v>189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171</v>
      </c>
      <c r="E27" s="269"/>
      <c r="F27" s="269">
        <v>0</v>
      </c>
      <c r="G27" s="269"/>
      <c r="H27" s="269">
        <f t="shared" si="1"/>
        <v>171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153</v>
      </c>
      <c r="E28" s="221"/>
      <c r="F28" s="221">
        <v>0</v>
      </c>
      <c r="G28" s="221"/>
      <c r="H28" s="221">
        <f t="shared" si="1"/>
        <v>153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135</v>
      </c>
      <c r="E29" s="221"/>
      <c r="F29" s="221">
        <v>0</v>
      </c>
      <c r="G29" s="221"/>
      <c r="H29" s="221">
        <f t="shared" si="1"/>
        <v>135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117</v>
      </c>
      <c r="E30" s="221"/>
      <c r="F30" s="221">
        <v>0</v>
      </c>
      <c r="G30" s="221"/>
      <c r="H30" s="221">
        <f t="shared" si="1"/>
        <v>117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99</v>
      </c>
      <c r="E31" s="221"/>
      <c r="F31" s="221">
        <v>0</v>
      </c>
      <c r="G31" s="221"/>
      <c r="H31" s="221">
        <f t="shared" si="1"/>
        <v>99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81</v>
      </c>
      <c r="E32" s="269"/>
      <c r="F32" s="269">
        <v>0</v>
      </c>
      <c r="G32" s="269"/>
      <c r="H32" s="269">
        <f t="shared" si="1"/>
        <v>81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63</v>
      </c>
      <c r="E33" s="221"/>
      <c r="F33" s="221">
        <v>0</v>
      </c>
      <c r="G33" s="221"/>
      <c r="H33" s="221">
        <f t="shared" si="1"/>
        <v>63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45</v>
      </c>
      <c r="E34" s="221"/>
      <c r="F34" s="221">
        <v>0</v>
      </c>
      <c r="G34" s="221"/>
      <c r="H34" s="221">
        <f t="shared" si="1"/>
        <v>45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27</v>
      </c>
      <c r="E35" s="221"/>
      <c r="F35" s="221">
        <v>0</v>
      </c>
      <c r="G35" s="221"/>
      <c r="H35" s="221">
        <f t="shared" si="1"/>
        <v>27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9</v>
      </c>
      <c r="E36" s="221"/>
      <c r="F36" s="221">
        <v>0</v>
      </c>
      <c r="G36" s="221"/>
      <c r="H36" s="221">
        <f t="shared" si="1"/>
        <v>9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-9</v>
      </c>
      <c r="E37" s="269"/>
      <c r="F37" s="269">
        <v>0</v>
      </c>
      <c r="G37" s="269"/>
      <c r="H37" s="269">
        <f t="shared" si="1"/>
        <v>-9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-27</v>
      </c>
      <c r="E38" s="221"/>
      <c r="F38" s="221">
        <v>0</v>
      </c>
      <c r="G38" s="221"/>
      <c r="H38" s="221">
        <f t="shared" si="1"/>
        <v>-27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-45</v>
      </c>
      <c r="E39" s="221"/>
      <c r="F39" s="221">
        <v>0</v>
      </c>
      <c r="G39" s="221"/>
      <c r="H39" s="221">
        <f t="shared" si="1"/>
        <v>-45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-63</v>
      </c>
      <c r="E40" s="221"/>
      <c r="F40" s="221">
        <v>0</v>
      </c>
      <c r="G40" s="221"/>
      <c r="H40" s="221">
        <f t="shared" si="1"/>
        <v>-63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-81</v>
      </c>
      <c r="E41" s="221"/>
      <c r="F41" s="221">
        <v>0</v>
      </c>
      <c r="G41" s="221"/>
      <c r="H41" s="221">
        <f t="shared" si="1"/>
        <v>-81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-99</v>
      </c>
      <c r="E42" s="269"/>
      <c r="F42" s="269">
        <v>0</v>
      </c>
      <c r="G42" s="269"/>
      <c r="H42" s="269">
        <f t="shared" si="1"/>
        <v>-99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279</v>
      </c>
      <c r="F43" s="226"/>
      <c r="G43" s="224" t="s">
        <v>162</v>
      </c>
      <c r="H43" s="224">
        <f>ROUND((D$11-D$7)/(COUNT(D$7:D$11)-1),1)</f>
        <v>-18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279</v>
      </c>
      <c r="E55" s="221"/>
      <c r="F55" s="221">
        <v>0</v>
      </c>
      <c r="G55" s="221"/>
      <c r="H55" s="221">
        <f t="shared" ref="H55:H76" si="3">ROUND(D55*(1+F55),0)</f>
        <v>279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263</v>
      </c>
      <c r="E56" s="269"/>
      <c r="F56" s="269">
        <v>0</v>
      </c>
      <c r="G56" s="269"/>
      <c r="H56" s="269">
        <f t="shared" si="3"/>
        <v>263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249</v>
      </c>
      <c r="E57" s="221"/>
      <c r="F57" s="221">
        <v>0</v>
      </c>
      <c r="G57" s="221"/>
      <c r="H57" s="221">
        <f t="shared" si="3"/>
        <v>249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235</v>
      </c>
      <c r="E58" s="221"/>
      <c r="F58" s="221">
        <v>0</v>
      </c>
      <c r="G58" s="221"/>
      <c r="H58" s="221">
        <f t="shared" si="3"/>
        <v>235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222</v>
      </c>
      <c r="E59" s="221"/>
      <c r="F59" s="221">
        <v>0</v>
      </c>
      <c r="G59" s="221"/>
      <c r="H59" s="221">
        <f t="shared" si="3"/>
        <v>222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209</v>
      </c>
      <c r="E60" s="221"/>
      <c r="F60" s="221">
        <v>0</v>
      </c>
      <c r="G60" s="221"/>
      <c r="H60" s="221">
        <f t="shared" si="3"/>
        <v>209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198</v>
      </c>
      <c r="E61" s="269"/>
      <c r="F61" s="269">
        <v>0</v>
      </c>
      <c r="G61" s="269"/>
      <c r="H61" s="269">
        <f t="shared" si="3"/>
        <v>198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187</v>
      </c>
      <c r="E62" s="221"/>
      <c r="F62" s="221">
        <v>0</v>
      </c>
      <c r="G62" s="221"/>
      <c r="H62" s="221">
        <f t="shared" si="3"/>
        <v>187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176</v>
      </c>
      <c r="E63" s="221"/>
      <c r="F63" s="221">
        <v>0</v>
      </c>
      <c r="G63" s="221"/>
      <c r="H63" s="221">
        <f t="shared" si="3"/>
        <v>176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166</v>
      </c>
      <c r="E64" s="221"/>
      <c r="F64" s="221">
        <v>0</v>
      </c>
      <c r="G64" s="221"/>
      <c r="H64" s="221">
        <f t="shared" si="3"/>
        <v>166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157</v>
      </c>
      <c r="E65" s="221"/>
      <c r="F65" s="221">
        <v>0</v>
      </c>
      <c r="G65" s="221"/>
      <c r="H65" s="221">
        <f t="shared" si="3"/>
        <v>157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148</v>
      </c>
      <c r="E66" s="269"/>
      <c r="F66" s="269">
        <v>0</v>
      </c>
      <c r="G66" s="269"/>
      <c r="H66" s="269">
        <f t="shared" si="3"/>
        <v>148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140</v>
      </c>
      <c r="E67" s="221"/>
      <c r="F67" s="221">
        <v>0</v>
      </c>
      <c r="G67" s="221"/>
      <c r="H67" s="221">
        <f t="shared" si="3"/>
        <v>140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132</v>
      </c>
      <c r="E68" s="221"/>
      <c r="F68" s="221">
        <v>0</v>
      </c>
      <c r="G68" s="221"/>
      <c r="H68" s="221">
        <f t="shared" si="3"/>
        <v>132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125</v>
      </c>
      <c r="E69" s="221"/>
      <c r="F69" s="221">
        <v>0</v>
      </c>
      <c r="G69" s="221"/>
      <c r="H69" s="221">
        <f t="shared" si="3"/>
        <v>125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118</v>
      </c>
      <c r="E70" s="221"/>
      <c r="F70" s="221">
        <v>0</v>
      </c>
      <c r="G70" s="221"/>
      <c r="H70" s="221">
        <f t="shared" si="3"/>
        <v>118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111</v>
      </c>
      <c r="E71" s="269"/>
      <c r="F71" s="269">
        <v>0</v>
      </c>
      <c r="G71" s="269"/>
      <c r="H71" s="269">
        <f t="shared" si="3"/>
        <v>111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105</v>
      </c>
      <c r="E72" s="221"/>
      <c r="F72" s="221">
        <v>0</v>
      </c>
      <c r="G72" s="221"/>
      <c r="H72" s="221">
        <f t="shared" si="3"/>
        <v>105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99</v>
      </c>
      <c r="E73" s="221"/>
      <c r="F73" s="221">
        <v>0</v>
      </c>
      <c r="G73" s="221"/>
      <c r="H73" s="221">
        <f t="shared" si="3"/>
        <v>99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94</v>
      </c>
      <c r="E74" s="221"/>
      <c r="F74" s="221">
        <v>0</v>
      </c>
      <c r="G74" s="221"/>
      <c r="H74" s="221">
        <f t="shared" si="3"/>
        <v>94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89</v>
      </c>
      <c r="E75" s="221"/>
      <c r="F75" s="221">
        <v>0</v>
      </c>
      <c r="G75" s="221"/>
      <c r="H75" s="221">
        <f t="shared" si="3"/>
        <v>89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84</v>
      </c>
      <c r="E76" s="269"/>
      <c r="F76" s="269">
        <v>0</v>
      </c>
      <c r="G76" s="269"/>
      <c r="H76" s="269">
        <f t="shared" si="3"/>
        <v>84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279</v>
      </c>
      <c r="F77" s="226"/>
      <c r="G77" s="224" t="s">
        <v>179</v>
      </c>
      <c r="H77" s="224">
        <f>ROUND((E$77/D$7)^(1/(COUNT(D$7:D$11)-1)),6)</f>
        <v>0.94422200000000001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204">
        <f>B7</f>
        <v>2010</v>
      </c>
      <c r="C94" s="204"/>
      <c r="D94" s="208">
        <f>VLOOKUP(B94,B$7:E$11,3,FALSE)</f>
        <v>351</v>
      </c>
      <c r="E94" s="204">
        <f>((COUNT(B$94:B$98)-1)/2)+(B94-$C$4)</f>
        <v>-2</v>
      </c>
      <c r="F94" s="208">
        <f>E94^2</f>
        <v>4</v>
      </c>
      <c r="G94" s="206"/>
      <c r="H94" s="230">
        <f>ROUND(D94*E94,2)</f>
        <v>-702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204">
        <f>B8</f>
        <v>2011</v>
      </c>
      <c r="C95" s="204"/>
      <c r="D95" s="208">
        <f>VLOOKUP(B95,B$7:E$11,3,FALSE)</f>
        <v>188</v>
      </c>
      <c r="E95" s="204">
        <f>((COUNT(B$94:B$98)-1)/2)+(B95-$C$4)</f>
        <v>-1</v>
      </c>
      <c r="F95" s="208">
        <f>E95^2</f>
        <v>1</v>
      </c>
      <c r="G95" s="206"/>
      <c r="H95" s="230">
        <f>ROUND(D95*E95,2)</f>
        <v>-188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204">
        <f>B9</f>
        <v>2012</v>
      </c>
      <c r="C96" s="204"/>
      <c r="D96" s="208">
        <f>VLOOKUP(B96,B$7:E$11,3,FALSE)</f>
        <v>210</v>
      </c>
      <c r="E96" s="204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204">
        <f>B10</f>
        <v>2013</v>
      </c>
      <c r="C97" s="204"/>
      <c r="D97" s="208">
        <f>VLOOKUP(B97,B$7:E$11,3,FALSE)</f>
        <v>226</v>
      </c>
      <c r="E97" s="204">
        <f>((COUNT(B$94:B$98)-1)/2)+(B97-$C$4)</f>
        <v>1</v>
      </c>
      <c r="F97" s="208">
        <f>E97^2</f>
        <v>1</v>
      </c>
      <c r="G97" s="206"/>
      <c r="H97" s="230">
        <f>ROUND(D97*E97,2)</f>
        <v>226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204">
        <f>B11</f>
        <v>2014</v>
      </c>
      <c r="C98" s="204"/>
      <c r="D98" s="208">
        <f>VLOOKUP(B98,B$7:E$11,3,FALSE)</f>
        <v>279</v>
      </c>
      <c r="E98" s="204">
        <f>((COUNT(B$94:B$98)-1)/2)+(B98-$C$4)</f>
        <v>2</v>
      </c>
      <c r="F98" s="208">
        <f>E98^2</f>
        <v>4</v>
      </c>
      <c r="G98" s="206"/>
      <c r="H98" s="230">
        <f>ROUND(D98*E98,2)</f>
        <v>558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1254</v>
      </c>
      <c r="E99" s="215"/>
      <c r="F99" s="233">
        <f>ROUND(SUM(F94:F98),0)</f>
        <v>10</v>
      </c>
      <c r="G99" s="212"/>
      <c r="H99" s="211">
        <f>SUM(H94:H98)</f>
        <v>-106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-10.6</v>
      </c>
      <c r="H100" s="236" t="s">
        <v>199</v>
      </c>
      <c r="I100" s="201"/>
      <c r="J100" s="201"/>
      <c r="K100" s="201">
        <f>ROUND((F99*D99-H99*E99)/(COUNT(B$94:B$98)*F99-E99*E99),0)</f>
        <v>251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230</v>
      </c>
      <c r="E105" s="221"/>
      <c r="F105" s="221">
        <v>0</v>
      </c>
      <c r="G105" s="221"/>
      <c r="H105" s="221">
        <f t="shared" ref="H105:H126" si="5">ROUND(D105*(1+F105),0)</f>
        <v>230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220</v>
      </c>
      <c r="E106" s="269"/>
      <c r="F106" s="269">
        <v>0</v>
      </c>
      <c r="G106" s="269"/>
      <c r="H106" s="269">
        <f t="shared" si="5"/>
        <v>220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209</v>
      </c>
      <c r="E107" s="221"/>
      <c r="F107" s="221">
        <v>0</v>
      </c>
      <c r="G107" s="221"/>
      <c r="H107" s="221">
        <f t="shared" si="5"/>
        <v>209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198</v>
      </c>
      <c r="E108" s="221"/>
      <c r="F108" s="221">
        <v>0</v>
      </c>
      <c r="G108" s="221"/>
      <c r="H108" s="221">
        <f t="shared" si="5"/>
        <v>198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188</v>
      </c>
      <c r="E109" s="221"/>
      <c r="F109" s="221">
        <v>0</v>
      </c>
      <c r="G109" s="221"/>
      <c r="H109" s="221">
        <f t="shared" si="5"/>
        <v>188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177</v>
      </c>
      <c r="E110" s="221"/>
      <c r="F110" s="221">
        <v>0</v>
      </c>
      <c r="G110" s="221"/>
      <c r="H110" s="221">
        <f t="shared" si="5"/>
        <v>177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167</v>
      </c>
      <c r="E111" s="269"/>
      <c r="F111" s="269">
        <v>0</v>
      </c>
      <c r="G111" s="269"/>
      <c r="H111" s="269">
        <f t="shared" si="5"/>
        <v>167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156</v>
      </c>
      <c r="E112" s="221"/>
      <c r="F112" s="221">
        <v>0</v>
      </c>
      <c r="G112" s="221"/>
      <c r="H112" s="221">
        <f t="shared" si="5"/>
        <v>156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145</v>
      </c>
      <c r="E113" s="221"/>
      <c r="F113" s="221">
        <v>0</v>
      </c>
      <c r="G113" s="221"/>
      <c r="H113" s="221">
        <f t="shared" si="5"/>
        <v>145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135</v>
      </c>
      <c r="E114" s="221"/>
      <c r="F114" s="221">
        <v>0</v>
      </c>
      <c r="G114" s="221"/>
      <c r="H114" s="221">
        <f t="shared" si="5"/>
        <v>135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124</v>
      </c>
      <c r="E115" s="221"/>
      <c r="F115" s="221">
        <v>0</v>
      </c>
      <c r="G115" s="221"/>
      <c r="H115" s="221">
        <f t="shared" si="5"/>
        <v>124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114</v>
      </c>
      <c r="E116" s="269"/>
      <c r="F116" s="269">
        <v>0</v>
      </c>
      <c r="G116" s="269"/>
      <c r="H116" s="269">
        <f t="shared" si="5"/>
        <v>114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103</v>
      </c>
      <c r="E117" s="221"/>
      <c r="F117" s="221">
        <v>0</v>
      </c>
      <c r="G117" s="221"/>
      <c r="H117" s="221">
        <f t="shared" si="5"/>
        <v>103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92</v>
      </c>
      <c r="E118" s="221"/>
      <c r="F118" s="221">
        <v>0</v>
      </c>
      <c r="G118" s="221"/>
      <c r="H118" s="221">
        <f t="shared" si="5"/>
        <v>92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82</v>
      </c>
      <c r="E119" s="221"/>
      <c r="F119" s="221">
        <v>0</v>
      </c>
      <c r="G119" s="221"/>
      <c r="H119" s="221">
        <f t="shared" si="5"/>
        <v>82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71</v>
      </c>
      <c r="E120" s="221"/>
      <c r="F120" s="221">
        <v>0</v>
      </c>
      <c r="G120" s="221"/>
      <c r="H120" s="221">
        <f t="shared" si="5"/>
        <v>71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61</v>
      </c>
      <c r="E121" s="269"/>
      <c r="F121" s="269">
        <v>0</v>
      </c>
      <c r="G121" s="269"/>
      <c r="H121" s="269">
        <f t="shared" si="5"/>
        <v>61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50</v>
      </c>
      <c r="E122" s="221"/>
      <c r="F122" s="221">
        <v>0</v>
      </c>
      <c r="G122" s="221"/>
      <c r="H122" s="221">
        <f t="shared" si="5"/>
        <v>50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39</v>
      </c>
      <c r="E123" s="221"/>
      <c r="F123" s="221">
        <v>0</v>
      </c>
      <c r="G123" s="221"/>
      <c r="H123" s="221">
        <f t="shared" si="5"/>
        <v>39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29</v>
      </c>
      <c r="E124" s="221"/>
      <c r="F124" s="221">
        <v>0</v>
      </c>
      <c r="G124" s="221"/>
      <c r="H124" s="221">
        <f t="shared" si="5"/>
        <v>29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18</v>
      </c>
      <c r="E125" s="221"/>
      <c r="F125" s="221">
        <v>0</v>
      </c>
      <c r="G125" s="221"/>
      <c r="H125" s="221">
        <f t="shared" si="5"/>
        <v>18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8</v>
      </c>
      <c r="E126" s="269"/>
      <c r="F126" s="269">
        <v>0</v>
      </c>
      <c r="G126" s="269"/>
      <c r="H126" s="269">
        <f t="shared" si="5"/>
        <v>8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204">
        <f>B94</f>
        <v>2010</v>
      </c>
      <c r="C136" s="204"/>
      <c r="D136" s="208">
        <f>VLOOKUP(B136,B$7:E$11,3,FALSE)</f>
        <v>351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204">
        <f>B95</f>
        <v>2011</v>
      </c>
      <c r="C137" s="204"/>
      <c r="D137" s="208">
        <f>VLOOKUP(B137,B$7:E$11,3,FALSE)</f>
        <v>188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163</v>
      </c>
      <c r="I137" s="231"/>
      <c r="J137" s="247">
        <f>IF(H137="","",LOG(H137))</f>
        <v>2.2121876044039577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204">
        <f>B96</f>
        <v>2012</v>
      </c>
      <c r="C138" s="204"/>
      <c r="D138" s="208">
        <f>VLOOKUP(B138,B$7:E$11,3,FALSE)</f>
        <v>210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141</v>
      </c>
      <c r="I138" s="231"/>
      <c r="J138" s="247">
        <f>IF(H138="","",LOG(H138))</f>
        <v>2.1492191126553797</v>
      </c>
      <c r="K138" s="247">
        <f>IF(J138="","",J138*F138)</f>
        <v>0.64697942016359444</v>
      </c>
      <c r="L138" s="203"/>
      <c r="M138" s="203"/>
      <c r="N138" s="203"/>
      <c r="O138" s="203"/>
    </row>
    <row r="139" spans="1:15" ht="15" customHeight="1">
      <c r="A139" s="203"/>
      <c r="B139" s="204">
        <f>B97</f>
        <v>2013</v>
      </c>
      <c r="C139" s="204"/>
      <c r="D139" s="208">
        <f>VLOOKUP(B139,B$7:E$11,3,FALSE)</f>
        <v>226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125</v>
      </c>
      <c r="I139" s="231"/>
      <c r="J139" s="247">
        <f>IF(H139="","",LOG(H139))</f>
        <v>2.0969100130080562</v>
      </c>
      <c r="K139" s="247">
        <f>IF(J139="","",J139*F139)</f>
        <v>1.0004803364406274</v>
      </c>
      <c r="L139" s="203"/>
      <c r="M139" s="203"/>
      <c r="N139" s="203"/>
      <c r="O139" s="203"/>
    </row>
    <row r="140" spans="1:15" ht="15" customHeight="1">
      <c r="A140" s="203"/>
      <c r="B140" s="204">
        <f>B98</f>
        <v>2014</v>
      </c>
      <c r="C140" s="204"/>
      <c r="D140" s="208">
        <f>VLOOKUP(B140,B$7:E$11,3,FALSE)</f>
        <v>279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72</v>
      </c>
      <c r="I140" s="231"/>
      <c r="J140" s="247">
        <f>IF(H140="","",LOG(H140))</f>
        <v>1.8573324964312685</v>
      </c>
      <c r="K140" s="247">
        <f>IF(J140="","",J140*F140)</f>
        <v>1.1182255866945523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8.3156492264986621</v>
      </c>
      <c r="K141" s="253">
        <f>IF(K140="","",SUM(K136:K140))</f>
        <v>2.7656853432987742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37.613659215063237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-0.50687000000000004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370</v>
      </c>
      <c r="E147" s="257"/>
      <c r="F147" s="205">
        <v>0</v>
      </c>
      <c r="G147" s="205"/>
      <c r="H147" s="205">
        <f t="shared" ref="H147:H168" si="7">ROUND(D147*(1+F147),0)</f>
        <v>370</v>
      </c>
      <c r="I147" s="205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368</v>
      </c>
      <c r="E148" s="271"/>
      <c r="F148" s="272">
        <v>0</v>
      </c>
      <c r="G148" s="272"/>
      <c r="H148" s="272">
        <f t="shared" si="7"/>
        <v>368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367</v>
      </c>
      <c r="E149" s="257"/>
      <c r="F149" s="258">
        <v>0</v>
      </c>
      <c r="G149" s="258"/>
      <c r="H149" s="258">
        <f t="shared" si="7"/>
        <v>367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366</v>
      </c>
      <c r="E150" s="257"/>
      <c r="F150" s="258">
        <v>0</v>
      </c>
      <c r="G150" s="258"/>
      <c r="H150" s="258">
        <f t="shared" si="7"/>
        <v>366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365</v>
      </c>
      <c r="E151" s="257"/>
      <c r="F151" s="258">
        <v>0</v>
      </c>
      <c r="G151" s="258"/>
      <c r="H151" s="258">
        <f t="shared" si="7"/>
        <v>365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364</v>
      </c>
      <c r="E152" s="257"/>
      <c r="F152" s="258">
        <v>0</v>
      </c>
      <c r="G152" s="258"/>
      <c r="H152" s="258">
        <f t="shared" si="7"/>
        <v>364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363</v>
      </c>
      <c r="E153" s="271"/>
      <c r="F153" s="272">
        <v>0</v>
      </c>
      <c r="G153" s="272"/>
      <c r="H153" s="272">
        <f t="shared" si="7"/>
        <v>363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363</v>
      </c>
      <c r="E154" s="257"/>
      <c r="F154" s="258">
        <v>0</v>
      </c>
      <c r="G154" s="258"/>
      <c r="H154" s="258">
        <f t="shared" si="7"/>
        <v>363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362</v>
      </c>
      <c r="E155" s="257"/>
      <c r="F155" s="258">
        <v>0</v>
      </c>
      <c r="G155" s="258"/>
      <c r="H155" s="258">
        <f t="shared" si="7"/>
        <v>362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362</v>
      </c>
      <c r="E156" s="257"/>
      <c r="F156" s="258">
        <v>0</v>
      </c>
      <c r="G156" s="258"/>
      <c r="H156" s="258">
        <f t="shared" si="7"/>
        <v>362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361</v>
      </c>
      <c r="E157" s="257"/>
      <c r="F157" s="258">
        <v>0</v>
      </c>
      <c r="G157" s="258"/>
      <c r="H157" s="258">
        <f t="shared" si="7"/>
        <v>361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361</v>
      </c>
      <c r="E158" s="271"/>
      <c r="F158" s="272">
        <v>0</v>
      </c>
      <c r="G158" s="272"/>
      <c r="H158" s="272">
        <f t="shared" si="7"/>
        <v>361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361</v>
      </c>
      <c r="E159" s="257"/>
      <c r="F159" s="258">
        <v>0</v>
      </c>
      <c r="G159" s="258"/>
      <c r="H159" s="258">
        <f t="shared" si="7"/>
        <v>361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360</v>
      </c>
      <c r="E160" s="257"/>
      <c r="F160" s="258">
        <v>0</v>
      </c>
      <c r="G160" s="258"/>
      <c r="H160" s="258">
        <f t="shared" si="7"/>
        <v>360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360</v>
      </c>
      <c r="E161" s="257"/>
      <c r="F161" s="258">
        <v>0</v>
      </c>
      <c r="G161" s="258"/>
      <c r="H161" s="258">
        <f t="shared" si="7"/>
        <v>360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360</v>
      </c>
      <c r="E162" s="257"/>
      <c r="F162" s="258">
        <v>0</v>
      </c>
      <c r="G162" s="258"/>
      <c r="H162" s="258">
        <f t="shared" si="7"/>
        <v>360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360</v>
      </c>
      <c r="E163" s="271"/>
      <c r="F163" s="272">
        <v>0</v>
      </c>
      <c r="G163" s="272"/>
      <c r="H163" s="272">
        <f t="shared" si="7"/>
        <v>360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360</v>
      </c>
      <c r="E164" s="257"/>
      <c r="F164" s="258">
        <v>0</v>
      </c>
      <c r="G164" s="258"/>
      <c r="H164" s="258">
        <f t="shared" si="7"/>
        <v>360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359</v>
      </c>
      <c r="E165" s="257"/>
      <c r="F165" s="258">
        <v>0</v>
      </c>
      <c r="G165" s="258"/>
      <c r="H165" s="258">
        <f t="shared" si="7"/>
        <v>359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359</v>
      </c>
      <c r="E166" s="257"/>
      <c r="F166" s="258">
        <v>0</v>
      </c>
      <c r="G166" s="258"/>
      <c r="H166" s="258">
        <f t="shared" si="7"/>
        <v>359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359</v>
      </c>
      <c r="E167" s="257"/>
      <c r="F167" s="258">
        <v>0</v>
      </c>
      <c r="G167" s="258"/>
      <c r="H167" s="258">
        <f t="shared" si="7"/>
        <v>359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359</v>
      </c>
      <c r="E168" s="271"/>
      <c r="F168" s="272">
        <v>0</v>
      </c>
      <c r="G168" s="272"/>
      <c r="H168" s="272">
        <f t="shared" si="7"/>
        <v>359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1000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204">
        <f>B136</f>
        <v>2010</v>
      </c>
      <c r="C180" s="204"/>
      <c r="D180" s="208">
        <f>VLOOKUP(B180,B$7:E$11,3,FALSE)</f>
        <v>351</v>
      </c>
      <c r="E180" s="244">
        <f>((COUNT(B$180:B$184)-1)/2)+(B180-$C$4)</f>
        <v>-2</v>
      </c>
      <c r="F180" s="206">
        <f>E180^2</f>
        <v>4</v>
      </c>
      <c r="G180" s="205">
        <f>E$177-D180</f>
        <v>649</v>
      </c>
      <c r="H180" s="259">
        <f>LOG(D180)</f>
        <v>2.5453071164658239</v>
      </c>
      <c r="I180" s="245">
        <f>LOG(G180)</f>
        <v>2.8122446968003691</v>
      </c>
      <c r="J180" s="246">
        <f>H180-I180</f>
        <v>-0.26693758033454529</v>
      </c>
      <c r="K180" s="246">
        <f>E180*J180</f>
        <v>0.53387516066909058</v>
      </c>
      <c r="L180" s="203"/>
      <c r="M180" s="203"/>
      <c r="N180" s="203"/>
      <c r="O180" s="203"/>
    </row>
    <row r="181" spans="1:15" ht="15" customHeight="1">
      <c r="A181" s="203"/>
      <c r="B181" s="204">
        <f>B137</f>
        <v>2011</v>
      </c>
      <c r="C181" s="204"/>
      <c r="D181" s="208">
        <f>VLOOKUP(B181,B$7:E$11,3,FALSE)</f>
        <v>188</v>
      </c>
      <c r="E181" s="244">
        <f>((COUNT(B$180:B$184)-1)/2)+(B181-$C$4)</f>
        <v>-1</v>
      </c>
      <c r="F181" s="206">
        <f>E181^2</f>
        <v>1</v>
      </c>
      <c r="G181" s="205">
        <f>E$177-D181</f>
        <v>812</v>
      </c>
      <c r="H181" s="259">
        <f>LOG(D181)</f>
        <v>2.27415784926368</v>
      </c>
      <c r="I181" s="245">
        <f>LOG(G181)</f>
        <v>2.9095560292411755</v>
      </c>
      <c r="J181" s="246">
        <f>H181-I181</f>
        <v>-0.63539817997749548</v>
      </c>
      <c r="K181" s="246">
        <f>E181*J181</f>
        <v>0.63539817997749548</v>
      </c>
      <c r="L181" s="203"/>
      <c r="M181" s="203"/>
      <c r="N181" s="203"/>
      <c r="O181" s="203"/>
    </row>
    <row r="182" spans="1:15" ht="15" customHeight="1">
      <c r="A182" s="203"/>
      <c r="B182" s="204">
        <f>B138</f>
        <v>2012</v>
      </c>
      <c r="C182" s="204"/>
      <c r="D182" s="208">
        <f>VLOOKUP(B182,B$7:E$11,3,FALSE)</f>
        <v>210</v>
      </c>
      <c r="E182" s="244">
        <f>((COUNT(B$180:B$184)-1)/2)+(B182-$C$4)</f>
        <v>0</v>
      </c>
      <c r="F182" s="206">
        <f>E182^2</f>
        <v>0</v>
      </c>
      <c r="G182" s="205">
        <f>E$177-D182</f>
        <v>790</v>
      </c>
      <c r="H182" s="259">
        <f>LOG(D182)</f>
        <v>2.3222192947339191</v>
      </c>
      <c r="I182" s="245">
        <f>LOG(G182)</f>
        <v>2.8976270912904414</v>
      </c>
      <c r="J182" s="246">
        <f>H182-I182</f>
        <v>-0.5754077965565223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204">
        <f>B139</f>
        <v>2013</v>
      </c>
      <c r="C183" s="204"/>
      <c r="D183" s="208">
        <f>VLOOKUP(B183,B$7:E$11,3,FALSE)</f>
        <v>226</v>
      </c>
      <c r="E183" s="244">
        <f>((COUNT(B$180:B$184)-1)/2)+(B183-$C$4)</f>
        <v>1</v>
      </c>
      <c r="F183" s="206">
        <f>E183^2</f>
        <v>1</v>
      </c>
      <c r="G183" s="205">
        <f>E$177-D183</f>
        <v>774</v>
      </c>
      <c r="H183" s="259">
        <f>LOG(D183)</f>
        <v>2.3541084391474008</v>
      </c>
      <c r="I183" s="245">
        <f>LOG(G183)</f>
        <v>2.8887409606828927</v>
      </c>
      <c r="J183" s="246">
        <f>H183-I183</f>
        <v>-0.5346325215354919</v>
      </c>
      <c r="K183" s="246">
        <f>E183*J183</f>
        <v>-0.5346325215354919</v>
      </c>
      <c r="L183" s="203"/>
      <c r="M183" s="203"/>
      <c r="N183" s="203"/>
      <c r="O183" s="203"/>
    </row>
    <row r="184" spans="1:15" ht="15" customHeight="1">
      <c r="A184" s="203"/>
      <c r="B184" s="204">
        <f>B140</f>
        <v>2014</v>
      </c>
      <c r="C184" s="204"/>
      <c r="D184" s="208">
        <f>VLOOKUP(B184,B$7:E$11,3,FALSE)</f>
        <v>279</v>
      </c>
      <c r="E184" s="244">
        <f>((COUNT(B$180:B$184)-1)/2)+(B184-$C$4)</f>
        <v>2</v>
      </c>
      <c r="F184" s="206">
        <f>E184^2</f>
        <v>4</v>
      </c>
      <c r="G184" s="205">
        <f>E$177-D184</f>
        <v>721</v>
      </c>
      <c r="H184" s="259">
        <f>LOG(D184)</f>
        <v>2.4456042032735974</v>
      </c>
      <c r="I184" s="245">
        <f>LOG(G184)</f>
        <v>2.8579352647194289</v>
      </c>
      <c r="J184" s="246">
        <f>H184-I184</f>
        <v>-0.41233106144583154</v>
      </c>
      <c r="K184" s="246">
        <f>E184*J184</f>
        <v>-0.82466212289166307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1254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-2.4247071398498865</v>
      </c>
      <c r="K185" s="263">
        <f>SUM(K180:K184)</f>
        <v>-0.19002130378056892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1.1166199999999999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-4.3754000000000001E-2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212</v>
      </c>
      <c r="E192" s="208"/>
      <c r="F192" s="208">
        <v>0</v>
      </c>
      <c r="G192" s="208"/>
      <c r="H192" s="208">
        <f t="shared" ref="H192:H213" si="9">ROUND(D192*(1+F192),0)</f>
        <v>212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205</v>
      </c>
      <c r="E193" s="269"/>
      <c r="F193" s="269">
        <v>0</v>
      </c>
      <c r="G193" s="269"/>
      <c r="H193" s="269">
        <f t="shared" si="9"/>
        <v>205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198</v>
      </c>
      <c r="E194" s="221"/>
      <c r="F194" s="221">
        <v>0</v>
      </c>
      <c r="G194" s="221"/>
      <c r="H194" s="221">
        <f t="shared" si="9"/>
        <v>198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191</v>
      </c>
      <c r="E195" s="221"/>
      <c r="F195" s="221">
        <v>0</v>
      </c>
      <c r="G195" s="221"/>
      <c r="H195" s="221">
        <f t="shared" si="9"/>
        <v>191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185</v>
      </c>
      <c r="E196" s="221"/>
      <c r="F196" s="221">
        <v>0</v>
      </c>
      <c r="G196" s="221"/>
      <c r="H196" s="221">
        <f t="shared" si="9"/>
        <v>185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178</v>
      </c>
      <c r="E197" s="221"/>
      <c r="F197" s="221">
        <v>0</v>
      </c>
      <c r="G197" s="221"/>
      <c r="H197" s="221">
        <f t="shared" si="9"/>
        <v>178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172</v>
      </c>
      <c r="E198" s="269"/>
      <c r="F198" s="269">
        <v>0</v>
      </c>
      <c r="G198" s="269"/>
      <c r="H198" s="269">
        <f t="shared" si="9"/>
        <v>172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166</v>
      </c>
      <c r="E199" s="221"/>
      <c r="F199" s="221">
        <v>0</v>
      </c>
      <c r="G199" s="221"/>
      <c r="H199" s="221">
        <f t="shared" si="9"/>
        <v>166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160</v>
      </c>
      <c r="E200" s="221"/>
      <c r="F200" s="221">
        <v>0</v>
      </c>
      <c r="G200" s="221"/>
      <c r="H200" s="221">
        <f t="shared" si="9"/>
        <v>160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154</v>
      </c>
      <c r="E201" s="221"/>
      <c r="F201" s="221">
        <v>0</v>
      </c>
      <c r="G201" s="221"/>
      <c r="H201" s="221">
        <f t="shared" si="9"/>
        <v>154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148</v>
      </c>
      <c r="E202" s="221"/>
      <c r="F202" s="221">
        <v>0</v>
      </c>
      <c r="G202" s="221"/>
      <c r="H202" s="221">
        <f t="shared" si="9"/>
        <v>148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143</v>
      </c>
      <c r="E203" s="269"/>
      <c r="F203" s="269">
        <v>0</v>
      </c>
      <c r="G203" s="269"/>
      <c r="H203" s="269">
        <f t="shared" si="9"/>
        <v>143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138</v>
      </c>
      <c r="E204" s="221"/>
      <c r="F204" s="221">
        <v>0</v>
      </c>
      <c r="G204" s="221"/>
      <c r="H204" s="221">
        <f t="shared" si="9"/>
        <v>138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133</v>
      </c>
      <c r="E205" s="221"/>
      <c r="F205" s="221">
        <v>0</v>
      </c>
      <c r="G205" s="221"/>
      <c r="H205" s="221">
        <f t="shared" si="9"/>
        <v>133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128</v>
      </c>
      <c r="E206" s="221"/>
      <c r="F206" s="221">
        <v>0</v>
      </c>
      <c r="G206" s="221"/>
      <c r="H206" s="221">
        <f t="shared" si="9"/>
        <v>128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123</v>
      </c>
      <c r="E207" s="221"/>
      <c r="F207" s="221">
        <v>0</v>
      </c>
      <c r="G207" s="221"/>
      <c r="H207" s="221">
        <f t="shared" si="9"/>
        <v>123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118</v>
      </c>
      <c r="E208" s="269"/>
      <c r="F208" s="269">
        <v>0</v>
      </c>
      <c r="G208" s="269"/>
      <c r="H208" s="269">
        <f t="shared" si="9"/>
        <v>118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114</v>
      </c>
      <c r="E209" s="221"/>
      <c r="F209" s="221">
        <v>0</v>
      </c>
      <c r="G209" s="221"/>
      <c r="H209" s="221">
        <f t="shared" si="9"/>
        <v>114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109</v>
      </c>
      <c r="E210" s="221"/>
      <c r="F210" s="221">
        <v>0</v>
      </c>
      <c r="G210" s="221"/>
      <c r="H210" s="221">
        <f t="shared" si="9"/>
        <v>109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105</v>
      </c>
      <c r="E211" s="221"/>
      <c r="F211" s="221">
        <v>0</v>
      </c>
      <c r="G211" s="221"/>
      <c r="H211" s="221">
        <f t="shared" si="9"/>
        <v>105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101</v>
      </c>
      <c r="E212" s="221"/>
      <c r="F212" s="221">
        <v>0</v>
      </c>
      <c r="G212" s="221"/>
      <c r="H212" s="221">
        <f t="shared" si="9"/>
        <v>101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97</v>
      </c>
      <c r="E213" s="269"/>
      <c r="F213" s="269">
        <v>0</v>
      </c>
      <c r="G213" s="269"/>
      <c r="H213" s="269">
        <f t="shared" si="9"/>
        <v>97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279</v>
      </c>
      <c r="E221" s="257">
        <f t="array" ref="E221">IF(B55=B221,H55)</f>
        <v>279</v>
      </c>
      <c r="F221" s="257">
        <f t="array" ref="F221">IF(B105=B221,H105)</f>
        <v>230</v>
      </c>
      <c r="G221" s="257">
        <f t="array" ref="G221">IF(B147=B221,H147)</f>
        <v>370</v>
      </c>
      <c r="H221" s="257">
        <f t="array" ref="H221">IF(B192=B221,H192)</f>
        <v>212</v>
      </c>
      <c r="I221" s="257">
        <f t="shared" ref="I221:I242" si="10">IF(G221=0,AVERAGE(D221,E221,F221,H221),AVERAGE(D221:H221))</f>
        <v>274</v>
      </c>
      <c r="J221" s="266">
        <f t="shared" ref="J221:J242" si="11">ROUND(AVERAGE(D221,F221:G221),0)</f>
        <v>293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261</v>
      </c>
      <c r="E222" s="271">
        <f t="array" ref="E222">IF(B56=B222,H56)</f>
        <v>263</v>
      </c>
      <c r="F222" s="271">
        <f t="array" ref="F222">IF(B106=B222,H106)</f>
        <v>220</v>
      </c>
      <c r="G222" s="271">
        <f t="array" ref="G222">IF(B148=B222,H148)</f>
        <v>368</v>
      </c>
      <c r="H222" s="271">
        <f t="array" ref="H222">IF(B193=B222,H193)</f>
        <v>205</v>
      </c>
      <c r="I222" s="271">
        <f t="shared" si="10"/>
        <v>263.39999999999998</v>
      </c>
      <c r="J222" s="273">
        <f t="shared" si="11"/>
        <v>283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243</v>
      </c>
      <c r="E223" s="257">
        <f t="array" ref="E223">IF(B57=B223,H57)</f>
        <v>249</v>
      </c>
      <c r="F223" s="257">
        <f t="array" ref="F223">IF(B107=B223,H107)</f>
        <v>209</v>
      </c>
      <c r="G223" s="257">
        <f t="array" ref="G223">IF(B149=B223,H149)</f>
        <v>367</v>
      </c>
      <c r="H223" s="257">
        <f t="array" ref="H223">IF(B194=B223,H194)</f>
        <v>198</v>
      </c>
      <c r="I223" s="257">
        <f t="shared" si="10"/>
        <v>253.2</v>
      </c>
      <c r="J223" s="266">
        <f t="shared" si="11"/>
        <v>273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225</v>
      </c>
      <c r="E224" s="257">
        <f t="array" ref="E224">IF(B58=B224,H58)</f>
        <v>235</v>
      </c>
      <c r="F224" s="257">
        <f t="array" ref="F224">IF(B108=B224,H108)</f>
        <v>198</v>
      </c>
      <c r="G224" s="257">
        <f t="array" ref="G224">IF(B150=B224,H150)</f>
        <v>366</v>
      </c>
      <c r="H224" s="257">
        <f t="array" ref="H224">IF(B195=B224,H195)</f>
        <v>191</v>
      </c>
      <c r="I224" s="257">
        <f t="shared" si="10"/>
        <v>243</v>
      </c>
      <c r="J224" s="266">
        <f t="shared" si="11"/>
        <v>263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207</v>
      </c>
      <c r="E225" s="257">
        <f t="array" ref="E225">IF(B59=B225,H59)</f>
        <v>222</v>
      </c>
      <c r="F225" s="257">
        <f t="array" ref="F225">IF(B109=B225,H109)</f>
        <v>188</v>
      </c>
      <c r="G225" s="257">
        <f t="array" ref="G225">IF(B151=B225,H151)</f>
        <v>365</v>
      </c>
      <c r="H225" s="257">
        <f t="array" ref="H225">IF(B196=B225,H196)</f>
        <v>185</v>
      </c>
      <c r="I225" s="257">
        <f t="shared" si="10"/>
        <v>233.4</v>
      </c>
      <c r="J225" s="266">
        <f t="shared" si="11"/>
        <v>253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189</v>
      </c>
      <c r="E226" s="257">
        <f t="array" ref="E226">IF(B60=B226,H60)</f>
        <v>209</v>
      </c>
      <c r="F226" s="257">
        <f t="array" ref="F226">IF(B110=B226,H110)</f>
        <v>177</v>
      </c>
      <c r="G226" s="257">
        <f t="array" ref="G226">IF(B152=B226,H152)</f>
        <v>364</v>
      </c>
      <c r="H226" s="257">
        <f t="array" ref="H226">IF(B197=B226,H197)</f>
        <v>178</v>
      </c>
      <c r="I226" s="257">
        <f t="shared" si="10"/>
        <v>223.4</v>
      </c>
      <c r="J226" s="266">
        <f t="shared" si="11"/>
        <v>243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171</v>
      </c>
      <c r="E227" s="271">
        <f t="array" ref="E227">IF(B61=B227,H61)</f>
        <v>198</v>
      </c>
      <c r="F227" s="271">
        <f t="array" ref="F227">IF(B111=B227,H111)</f>
        <v>167</v>
      </c>
      <c r="G227" s="271">
        <f t="array" ref="G227">IF(B153=B227,H153)</f>
        <v>363</v>
      </c>
      <c r="H227" s="271">
        <f t="array" ref="H227">IF(B198=B227,H198)</f>
        <v>172</v>
      </c>
      <c r="I227" s="271">
        <f t="shared" si="10"/>
        <v>214.2</v>
      </c>
      <c r="J227" s="273">
        <f t="shared" si="11"/>
        <v>234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153</v>
      </c>
      <c r="E228" s="257">
        <f t="array" ref="E228">IF(B62=B228,H62)</f>
        <v>187</v>
      </c>
      <c r="F228" s="257">
        <f t="array" ref="F228">IF(B112=B228,H112)</f>
        <v>156</v>
      </c>
      <c r="G228" s="257">
        <f t="array" ref="G228">IF(B154=B228,H154)</f>
        <v>363</v>
      </c>
      <c r="H228" s="257">
        <f t="array" ref="H228">IF(B199=B228,H199)</f>
        <v>166</v>
      </c>
      <c r="I228" s="257">
        <f t="shared" si="10"/>
        <v>205</v>
      </c>
      <c r="J228" s="266">
        <f t="shared" si="11"/>
        <v>224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135</v>
      </c>
      <c r="E229" s="257">
        <f t="array" ref="E229">IF(B63=B229,H63)</f>
        <v>176</v>
      </c>
      <c r="F229" s="257">
        <f t="array" ref="F229">IF(B113=B229,H113)</f>
        <v>145</v>
      </c>
      <c r="G229" s="257">
        <f t="array" ref="G229">IF(B155=B229,H155)</f>
        <v>362</v>
      </c>
      <c r="H229" s="257">
        <f t="array" ref="H229">IF(B200=B229,H200)</f>
        <v>160</v>
      </c>
      <c r="I229" s="257">
        <f t="shared" si="10"/>
        <v>195.6</v>
      </c>
      <c r="J229" s="266">
        <f t="shared" si="11"/>
        <v>214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117</v>
      </c>
      <c r="E230" s="257">
        <f t="array" ref="E230">IF(B64=B230,H64)</f>
        <v>166</v>
      </c>
      <c r="F230" s="257">
        <f t="array" ref="F230">IF(B114=B230,H114)</f>
        <v>135</v>
      </c>
      <c r="G230" s="257">
        <f t="array" ref="G230">IF(B156=B230,H156)</f>
        <v>362</v>
      </c>
      <c r="H230" s="257">
        <f t="array" ref="H230">IF(B201=B230,H201)</f>
        <v>154</v>
      </c>
      <c r="I230" s="257">
        <f t="shared" si="10"/>
        <v>186.8</v>
      </c>
      <c r="J230" s="266">
        <f t="shared" si="11"/>
        <v>205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99</v>
      </c>
      <c r="E231" s="257">
        <f t="array" ref="E231">IF(B65=B231,H65)</f>
        <v>157</v>
      </c>
      <c r="F231" s="257">
        <f t="array" ref="F231">IF(B115=B231,H115)</f>
        <v>124</v>
      </c>
      <c r="G231" s="257">
        <f t="array" ref="G231">IF(B157=B231,H157)</f>
        <v>361</v>
      </c>
      <c r="H231" s="257">
        <f t="array" ref="H231">IF(B202=B231,H202)</f>
        <v>148</v>
      </c>
      <c r="I231" s="257">
        <f t="shared" si="10"/>
        <v>177.8</v>
      </c>
      <c r="J231" s="266">
        <f t="shared" si="11"/>
        <v>195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81</v>
      </c>
      <c r="E232" s="271">
        <f t="array" ref="E232">IF(B66=B232,H66)</f>
        <v>148</v>
      </c>
      <c r="F232" s="271">
        <f t="array" ref="F232">IF(B116=B232,H116)</f>
        <v>114</v>
      </c>
      <c r="G232" s="271">
        <f t="array" ref="G232">IF(B158=B232,H158)</f>
        <v>361</v>
      </c>
      <c r="H232" s="271">
        <f t="array" ref="H232">IF(B203=B232,H203)</f>
        <v>143</v>
      </c>
      <c r="I232" s="271">
        <f t="shared" si="10"/>
        <v>169.4</v>
      </c>
      <c r="J232" s="273">
        <f t="shared" si="11"/>
        <v>185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63</v>
      </c>
      <c r="E233" s="257">
        <f t="array" ref="E233">IF(B67=B233,H67)</f>
        <v>140</v>
      </c>
      <c r="F233" s="257">
        <f t="array" ref="F233">IF(B117=B233,H117)</f>
        <v>103</v>
      </c>
      <c r="G233" s="257">
        <f t="array" ref="G233">IF(B159=B233,H159)</f>
        <v>361</v>
      </c>
      <c r="H233" s="257">
        <f t="array" ref="H233">IF(B204=B233,H204)</f>
        <v>138</v>
      </c>
      <c r="I233" s="257">
        <f t="shared" si="10"/>
        <v>161</v>
      </c>
      <c r="J233" s="266">
        <f t="shared" si="11"/>
        <v>176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45</v>
      </c>
      <c r="E234" s="257">
        <f t="array" ref="E234">IF(B68=B234,H68)</f>
        <v>132</v>
      </c>
      <c r="F234" s="257">
        <f t="array" ref="F234">IF(B118=B234,H118)</f>
        <v>92</v>
      </c>
      <c r="G234" s="257">
        <f t="array" ref="G234">IF(B160=B234,H160)</f>
        <v>360</v>
      </c>
      <c r="H234" s="257">
        <f t="array" ref="H234">IF(B205=B234,H205)</f>
        <v>133</v>
      </c>
      <c r="I234" s="257">
        <f t="shared" si="10"/>
        <v>152.4</v>
      </c>
      <c r="J234" s="266">
        <f t="shared" si="11"/>
        <v>166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27</v>
      </c>
      <c r="E235" s="257">
        <f t="array" ref="E235">IF(B69=B235,H69)</f>
        <v>125</v>
      </c>
      <c r="F235" s="257">
        <f t="array" ref="F235">IF(B119=B235,H119)</f>
        <v>82</v>
      </c>
      <c r="G235" s="257">
        <f t="array" ref="G235">IF(B161=B235,H161)</f>
        <v>360</v>
      </c>
      <c r="H235" s="257">
        <f t="array" ref="H235">IF(B206=B235,H206)</f>
        <v>128</v>
      </c>
      <c r="I235" s="257">
        <f t="shared" si="10"/>
        <v>144.4</v>
      </c>
      <c r="J235" s="266">
        <f t="shared" si="11"/>
        <v>156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9</v>
      </c>
      <c r="E236" s="257">
        <f t="array" ref="E236">IF(B70=B236,H70)</f>
        <v>118</v>
      </c>
      <c r="F236" s="257">
        <f t="array" ref="F236">IF(B120=B236,H120)</f>
        <v>71</v>
      </c>
      <c r="G236" s="257">
        <f t="array" ref="G236">IF(B162=B236,H162)</f>
        <v>360</v>
      </c>
      <c r="H236" s="257">
        <f t="array" ref="H236">IF(B207=B236,H207)</f>
        <v>123</v>
      </c>
      <c r="I236" s="257">
        <f t="shared" si="10"/>
        <v>136.19999999999999</v>
      </c>
      <c r="J236" s="266">
        <f t="shared" si="11"/>
        <v>147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-9</v>
      </c>
      <c r="E237" s="271">
        <f t="array" ref="E237">IF(B71=B237,H71)</f>
        <v>111</v>
      </c>
      <c r="F237" s="271">
        <f t="array" ref="F237">IF(B121=B237,H121)</f>
        <v>61</v>
      </c>
      <c r="G237" s="271">
        <f t="array" ref="G237">IF(B163=B237,H163)</f>
        <v>360</v>
      </c>
      <c r="H237" s="271">
        <f t="array" ref="H237">IF(B208=B237,H208)</f>
        <v>118</v>
      </c>
      <c r="I237" s="271">
        <f t="shared" si="10"/>
        <v>128.19999999999999</v>
      </c>
      <c r="J237" s="273">
        <f t="shared" si="11"/>
        <v>137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-27</v>
      </c>
      <c r="E238" s="257">
        <f t="array" ref="E238">IF(B72=B238,H72)</f>
        <v>105</v>
      </c>
      <c r="F238" s="257">
        <f t="array" ref="F238">IF(B122=B238,H122)</f>
        <v>50</v>
      </c>
      <c r="G238" s="257">
        <f t="array" ref="G238">IF(B164=B238,H164)</f>
        <v>360</v>
      </c>
      <c r="H238" s="257">
        <f t="array" ref="H238">IF(B209=B238,H209)</f>
        <v>114</v>
      </c>
      <c r="I238" s="257">
        <f t="shared" si="10"/>
        <v>120.4</v>
      </c>
      <c r="J238" s="266">
        <f t="shared" si="11"/>
        <v>128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-45</v>
      </c>
      <c r="E239" s="257">
        <f t="array" ref="E239">IF(B73=B239,H73)</f>
        <v>99</v>
      </c>
      <c r="F239" s="257">
        <f t="array" ref="F239">IF(B123=B239,H123)</f>
        <v>39</v>
      </c>
      <c r="G239" s="257">
        <f t="array" ref="G239">IF(B165=B239,H165)</f>
        <v>359</v>
      </c>
      <c r="H239" s="257">
        <f t="array" ref="H239">IF(B210=B239,H210)</f>
        <v>109</v>
      </c>
      <c r="I239" s="257">
        <f t="shared" si="10"/>
        <v>112.2</v>
      </c>
      <c r="J239" s="266">
        <f t="shared" si="11"/>
        <v>118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-63</v>
      </c>
      <c r="E240" s="257">
        <f t="array" ref="E240">IF(B74=B240,H74)</f>
        <v>94</v>
      </c>
      <c r="F240" s="257">
        <f t="array" ref="F240">IF(B124=B240,H124)</f>
        <v>29</v>
      </c>
      <c r="G240" s="257">
        <f t="array" ref="G240">IF(B166=B240,H166)</f>
        <v>359</v>
      </c>
      <c r="H240" s="257">
        <f t="array" ref="H240">IF(B211=B240,H211)</f>
        <v>105</v>
      </c>
      <c r="I240" s="257">
        <f t="shared" si="10"/>
        <v>104.8</v>
      </c>
      <c r="J240" s="266">
        <f t="shared" si="11"/>
        <v>108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-81</v>
      </c>
      <c r="E241" s="257">
        <f t="array" ref="E241">IF(B75=B241,H75)</f>
        <v>89</v>
      </c>
      <c r="F241" s="257">
        <f t="array" ref="F241">IF(B125=B241,H125)</f>
        <v>18</v>
      </c>
      <c r="G241" s="257">
        <f t="array" ref="G241">IF(B167=B241,H167)</f>
        <v>359</v>
      </c>
      <c r="H241" s="257">
        <f t="array" ref="H241">IF(B212=B241,H212)</f>
        <v>101</v>
      </c>
      <c r="I241" s="257">
        <f t="shared" si="10"/>
        <v>97.2</v>
      </c>
      <c r="J241" s="266">
        <f t="shared" si="11"/>
        <v>99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-99</v>
      </c>
      <c r="E242" s="271">
        <f t="array" ref="E242">IF(B76=B242,H76)</f>
        <v>84</v>
      </c>
      <c r="F242" s="271">
        <f t="array" ref="F242">IF(B126=B242,H126)</f>
        <v>8</v>
      </c>
      <c r="G242" s="271">
        <f t="array" ref="G242">IF(B168=B242,H168)</f>
        <v>359</v>
      </c>
      <c r="H242" s="271">
        <f t="array" ref="H242">IF(B213=B242,H213)</f>
        <v>97</v>
      </c>
      <c r="I242" s="271">
        <f t="shared" si="10"/>
        <v>89.8</v>
      </c>
      <c r="J242" s="273">
        <f t="shared" si="11"/>
        <v>89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2">
    <mergeCell ref="E177:F177"/>
    <mergeCell ref="A2:K2"/>
  </mergeCells>
  <phoneticPr fontId="7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1325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2005</v>
      </c>
      <c r="C7" s="840"/>
      <c r="D7" s="844">
        <f>'3.면별급수현황'!H74</f>
        <v>0</v>
      </c>
      <c r="E7" s="844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840">
        <v>2006</v>
      </c>
      <c r="C8" s="840"/>
      <c r="D8" s="844">
        <f>'3.면별급수현황'!H75</f>
        <v>0</v>
      </c>
      <c r="E8" s="844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v>2007</v>
      </c>
      <c r="C9" s="840"/>
      <c r="D9" s="844">
        <f>'3.면별급수현황'!H76</f>
        <v>136</v>
      </c>
      <c r="E9" s="844"/>
      <c r="F9" s="206">
        <f t="shared" si="0"/>
        <v>136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v>2008</v>
      </c>
      <c r="C10" s="840"/>
      <c r="D10" s="844">
        <f>'3.면별급수현황'!H77</f>
        <v>65</v>
      </c>
      <c r="E10" s="844"/>
      <c r="F10" s="206">
        <f t="shared" si="0"/>
        <v>-71</v>
      </c>
      <c r="G10" s="206"/>
      <c r="H10" s="207">
        <f t="shared" ref="H10:H16" si="1">ROUND(F10/D9*100,2)</f>
        <v>-52.21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v>2009</v>
      </c>
      <c r="C11" s="840"/>
      <c r="D11" s="844">
        <f>'3.면별급수현황'!H78</f>
        <v>151</v>
      </c>
      <c r="E11" s="844"/>
      <c r="F11" s="206">
        <f t="shared" si="0"/>
        <v>86</v>
      </c>
      <c r="G11" s="206"/>
      <c r="H11" s="207">
        <f t="shared" si="1"/>
        <v>132.31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v>2010</v>
      </c>
      <c r="C12" s="840"/>
      <c r="D12" s="844">
        <f>'3.면별급수현황'!H79</f>
        <v>362</v>
      </c>
      <c r="E12" s="844"/>
      <c r="F12" s="206">
        <f t="shared" si="0"/>
        <v>211</v>
      </c>
      <c r="G12" s="206"/>
      <c r="H12" s="207">
        <f t="shared" si="1"/>
        <v>139.74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840">
        <v>2011</v>
      </c>
      <c r="C13" s="840"/>
      <c r="D13" s="844">
        <f>'3.면별급수현황'!H80</f>
        <v>123</v>
      </c>
      <c r="E13" s="844"/>
      <c r="F13" s="206">
        <f t="shared" si="0"/>
        <v>-239</v>
      </c>
      <c r="G13" s="206"/>
      <c r="H13" s="207">
        <f t="shared" si="1"/>
        <v>-66.02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840">
        <v>2012</v>
      </c>
      <c r="C14" s="840"/>
      <c r="D14" s="844">
        <f>'3.면별급수현황'!H81</f>
        <v>240</v>
      </c>
      <c r="E14" s="844"/>
      <c r="F14" s="206">
        <f t="shared" si="0"/>
        <v>117</v>
      </c>
      <c r="G14" s="206"/>
      <c r="H14" s="207">
        <f t="shared" si="1"/>
        <v>95.12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840">
        <v>2013</v>
      </c>
      <c r="C15" s="840"/>
      <c r="D15" s="844">
        <f>'3.면별급수현황'!H82</f>
        <v>214</v>
      </c>
      <c r="E15" s="844"/>
      <c r="F15" s="206">
        <f t="shared" si="0"/>
        <v>-26</v>
      </c>
      <c r="G15" s="206"/>
      <c r="H15" s="207">
        <f t="shared" si="1"/>
        <v>-10.83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840">
        <v>2014</v>
      </c>
      <c r="C16" s="840"/>
      <c r="D16" s="844">
        <f>'3.면별급수현황'!H83</f>
        <v>333</v>
      </c>
      <c r="E16" s="844"/>
      <c r="F16" s="206">
        <f t="shared" si="0"/>
        <v>119</v>
      </c>
      <c r="G16" s="206"/>
      <c r="H16" s="207">
        <f t="shared" si="1"/>
        <v>55.61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1624</v>
      </c>
      <c r="E17" s="214"/>
      <c r="F17" s="215"/>
      <c r="G17" s="215"/>
      <c r="H17" s="216">
        <f>SUM(H7:H16)</f>
        <v>293.71999999999997</v>
      </c>
      <c r="I17" s="216"/>
      <c r="J17" s="217">
        <f>ROUND(AVERAGE(H8:H16),1)</f>
        <v>32.6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2">ROUND(E$48+H$48*(B26-$C$4),0)</f>
        <v>333</v>
      </c>
      <c r="E26" s="221"/>
      <c r="F26" s="221">
        <v>0</v>
      </c>
      <c r="G26" s="221"/>
      <c r="H26" s="221">
        <f t="shared" ref="H26:H47" si="3">ROUND(D26*(1+F26),0)</f>
        <v>333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2"/>
        <v>370</v>
      </c>
      <c r="E27" s="269"/>
      <c r="F27" s="269">
        <v>0</v>
      </c>
      <c r="G27" s="269"/>
      <c r="H27" s="269">
        <f t="shared" si="3"/>
        <v>370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2"/>
        <v>407</v>
      </c>
      <c r="E28" s="221"/>
      <c r="F28" s="221">
        <v>0</v>
      </c>
      <c r="G28" s="221"/>
      <c r="H28" s="221">
        <f t="shared" si="3"/>
        <v>407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2"/>
        <v>444</v>
      </c>
      <c r="E29" s="221"/>
      <c r="F29" s="221">
        <v>0</v>
      </c>
      <c r="G29" s="221"/>
      <c r="H29" s="221">
        <f t="shared" si="3"/>
        <v>444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2"/>
        <v>481</v>
      </c>
      <c r="E30" s="221"/>
      <c r="F30" s="221">
        <v>0</v>
      </c>
      <c r="G30" s="221"/>
      <c r="H30" s="221">
        <f t="shared" si="3"/>
        <v>481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2"/>
        <v>518</v>
      </c>
      <c r="E31" s="221"/>
      <c r="F31" s="221">
        <v>0</v>
      </c>
      <c r="G31" s="221"/>
      <c r="H31" s="221">
        <f t="shared" si="3"/>
        <v>518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2"/>
        <v>555</v>
      </c>
      <c r="E32" s="269"/>
      <c r="F32" s="269">
        <v>0</v>
      </c>
      <c r="G32" s="269"/>
      <c r="H32" s="269">
        <f t="shared" si="3"/>
        <v>555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2"/>
        <v>592</v>
      </c>
      <c r="E33" s="221"/>
      <c r="F33" s="221">
        <v>0</v>
      </c>
      <c r="G33" s="221"/>
      <c r="H33" s="221">
        <f t="shared" si="3"/>
        <v>592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2"/>
        <v>629</v>
      </c>
      <c r="E34" s="221"/>
      <c r="F34" s="221">
        <v>0</v>
      </c>
      <c r="G34" s="221"/>
      <c r="H34" s="221">
        <f t="shared" si="3"/>
        <v>629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2"/>
        <v>666</v>
      </c>
      <c r="E35" s="221"/>
      <c r="F35" s="221">
        <v>0</v>
      </c>
      <c r="G35" s="221"/>
      <c r="H35" s="221">
        <f t="shared" si="3"/>
        <v>666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2"/>
        <v>703</v>
      </c>
      <c r="E36" s="221"/>
      <c r="F36" s="221">
        <v>0</v>
      </c>
      <c r="G36" s="221"/>
      <c r="H36" s="221">
        <f t="shared" si="3"/>
        <v>703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2"/>
        <v>740</v>
      </c>
      <c r="E37" s="269"/>
      <c r="F37" s="269">
        <v>0</v>
      </c>
      <c r="G37" s="269"/>
      <c r="H37" s="269">
        <f t="shared" si="3"/>
        <v>740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2"/>
        <v>777</v>
      </c>
      <c r="E38" s="221"/>
      <c r="F38" s="221">
        <v>0</v>
      </c>
      <c r="G38" s="221"/>
      <c r="H38" s="221">
        <f t="shared" si="3"/>
        <v>777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2"/>
        <v>814</v>
      </c>
      <c r="E39" s="221"/>
      <c r="F39" s="221">
        <v>0</v>
      </c>
      <c r="G39" s="221"/>
      <c r="H39" s="221">
        <f t="shared" si="3"/>
        <v>814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2"/>
        <v>851</v>
      </c>
      <c r="E40" s="221"/>
      <c r="F40" s="221">
        <v>0</v>
      </c>
      <c r="G40" s="221"/>
      <c r="H40" s="221">
        <f t="shared" si="3"/>
        <v>851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2"/>
        <v>888</v>
      </c>
      <c r="E41" s="221"/>
      <c r="F41" s="221">
        <v>0</v>
      </c>
      <c r="G41" s="221"/>
      <c r="H41" s="221">
        <f t="shared" si="3"/>
        <v>888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2"/>
        <v>925</v>
      </c>
      <c r="E42" s="269"/>
      <c r="F42" s="269">
        <v>0</v>
      </c>
      <c r="G42" s="269"/>
      <c r="H42" s="269">
        <f t="shared" si="3"/>
        <v>925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2"/>
        <v>962</v>
      </c>
      <c r="E43" s="221"/>
      <c r="F43" s="221">
        <v>0</v>
      </c>
      <c r="G43" s="221"/>
      <c r="H43" s="221">
        <f t="shared" si="3"/>
        <v>962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2"/>
        <v>999</v>
      </c>
      <c r="E44" s="221"/>
      <c r="F44" s="221">
        <v>0</v>
      </c>
      <c r="G44" s="221"/>
      <c r="H44" s="221">
        <f t="shared" si="3"/>
        <v>999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2"/>
        <v>1036</v>
      </c>
      <c r="E45" s="221"/>
      <c r="F45" s="221">
        <v>0</v>
      </c>
      <c r="G45" s="221"/>
      <c r="H45" s="221">
        <f t="shared" si="3"/>
        <v>1036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2"/>
        <v>1073</v>
      </c>
      <c r="E46" s="221"/>
      <c r="F46" s="221">
        <v>0</v>
      </c>
      <c r="G46" s="221"/>
      <c r="H46" s="221">
        <f t="shared" si="3"/>
        <v>1073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2"/>
        <v>1110</v>
      </c>
      <c r="E47" s="269"/>
      <c r="F47" s="269">
        <v>0</v>
      </c>
      <c r="G47" s="269"/>
      <c r="H47" s="269">
        <f t="shared" si="3"/>
        <v>1110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333</v>
      </c>
      <c r="F48" s="226"/>
      <c r="G48" s="224" t="s">
        <v>162</v>
      </c>
      <c r="H48" s="224">
        <f>ROUND((D$16-D$7)/(COUNT(D$7:D$16)-1),1)</f>
        <v>37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4">ROUND(E$82*H$82^(B60-$C$4),0)</f>
        <v>333</v>
      </c>
      <c r="E60" s="221"/>
      <c r="F60" s="221">
        <v>0</v>
      </c>
      <c r="G60" s="221"/>
      <c r="H60" s="221">
        <f t="shared" ref="H60:H81" si="5">ROUND(D60*(1+F60),0)</f>
        <v>333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4"/>
        <v>378</v>
      </c>
      <c r="E61" s="269"/>
      <c r="F61" s="269">
        <v>0</v>
      </c>
      <c r="G61" s="269"/>
      <c r="H61" s="269">
        <f t="shared" si="5"/>
        <v>378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4"/>
        <v>430</v>
      </c>
      <c r="E62" s="221"/>
      <c r="F62" s="221">
        <v>0</v>
      </c>
      <c r="G62" s="221"/>
      <c r="H62" s="221">
        <f t="shared" si="5"/>
        <v>430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4"/>
        <v>489</v>
      </c>
      <c r="E63" s="221"/>
      <c r="F63" s="221">
        <v>0</v>
      </c>
      <c r="G63" s="221"/>
      <c r="H63" s="221">
        <f t="shared" si="5"/>
        <v>489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4"/>
        <v>555</v>
      </c>
      <c r="E64" s="221"/>
      <c r="F64" s="221">
        <v>0</v>
      </c>
      <c r="G64" s="221"/>
      <c r="H64" s="221">
        <f t="shared" si="5"/>
        <v>555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4"/>
        <v>631</v>
      </c>
      <c r="E65" s="221"/>
      <c r="F65" s="221">
        <v>0</v>
      </c>
      <c r="G65" s="221"/>
      <c r="H65" s="221">
        <f t="shared" si="5"/>
        <v>631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4"/>
        <v>717</v>
      </c>
      <c r="E66" s="269"/>
      <c r="F66" s="269">
        <v>0</v>
      </c>
      <c r="G66" s="269"/>
      <c r="H66" s="269">
        <f t="shared" si="5"/>
        <v>717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4"/>
        <v>815</v>
      </c>
      <c r="E67" s="221"/>
      <c r="F67" s="221">
        <v>0</v>
      </c>
      <c r="G67" s="221"/>
      <c r="H67" s="221">
        <f t="shared" si="5"/>
        <v>815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4"/>
        <v>927</v>
      </c>
      <c r="E68" s="221"/>
      <c r="F68" s="221">
        <v>0</v>
      </c>
      <c r="G68" s="221"/>
      <c r="H68" s="221">
        <f t="shared" si="5"/>
        <v>927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4"/>
        <v>1053</v>
      </c>
      <c r="E69" s="221"/>
      <c r="F69" s="221">
        <v>0</v>
      </c>
      <c r="G69" s="221"/>
      <c r="H69" s="221">
        <f t="shared" si="5"/>
        <v>1053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4"/>
        <v>1197</v>
      </c>
      <c r="E70" s="221"/>
      <c r="F70" s="221">
        <v>0</v>
      </c>
      <c r="G70" s="221"/>
      <c r="H70" s="221">
        <f t="shared" si="5"/>
        <v>1197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4"/>
        <v>1360</v>
      </c>
      <c r="E71" s="269"/>
      <c r="F71" s="269">
        <v>0</v>
      </c>
      <c r="G71" s="269"/>
      <c r="H71" s="269">
        <f t="shared" si="5"/>
        <v>1360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4"/>
        <v>1546</v>
      </c>
      <c r="E72" s="221"/>
      <c r="F72" s="221">
        <v>0</v>
      </c>
      <c r="G72" s="221"/>
      <c r="H72" s="221">
        <f t="shared" si="5"/>
        <v>1546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4"/>
        <v>1757</v>
      </c>
      <c r="E73" s="221"/>
      <c r="F73" s="221">
        <v>0</v>
      </c>
      <c r="G73" s="221"/>
      <c r="H73" s="221">
        <f t="shared" si="5"/>
        <v>1757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4"/>
        <v>1996</v>
      </c>
      <c r="E74" s="221"/>
      <c r="F74" s="221">
        <v>0</v>
      </c>
      <c r="G74" s="221"/>
      <c r="H74" s="221">
        <f t="shared" si="5"/>
        <v>1996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4"/>
        <v>2269</v>
      </c>
      <c r="E75" s="221"/>
      <c r="F75" s="221">
        <v>0</v>
      </c>
      <c r="G75" s="221"/>
      <c r="H75" s="221">
        <f t="shared" si="5"/>
        <v>2269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4"/>
        <v>2579</v>
      </c>
      <c r="E76" s="269"/>
      <c r="F76" s="269">
        <v>0</v>
      </c>
      <c r="G76" s="269"/>
      <c r="H76" s="269">
        <f t="shared" si="5"/>
        <v>2579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4"/>
        <v>2930</v>
      </c>
      <c r="E77" s="221"/>
      <c r="F77" s="221">
        <v>0</v>
      </c>
      <c r="G77" s="221"/>
      <c r="H77" s="221">
        <f t="shared" si="5"/>
        <v>2930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4"/>
        <v>3330</v>
      </c>
      <c r="E78" s="221"/>
      <c r="F78" s="221">
        <v>0</v>
      </c>
      <c r="G78" s="221"/>
      <c r="H78" s="221">
        <f t="shared" si="5"/>
        <v>3330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4"/>
        <v>3785</v>
      </c>
      <c r="E79" s="221"/>
      <c r="F79" s="221">
        <v>0</v>
      </c>
      <c r="G79" s="221"/>
      <c r="H79" s="221">
        <f t="shared" si="5"/>
        <v>3785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4"/>
        <v>4301</v>
      </c>
      <c r="E80" s="221"/>
      <c r="F80" s="221">
        <v>0</v>
      </c>
      <c r="G80" s="221"/>
      <c r="H80" s="221">
        <f t="shared" si="5"/>
        <v>4301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4"/>
        <v>4888</v>
      </c>
      <c r="E81" s="269"/>
      <c r="F81" s="269">
        <v>0</v>
      </c>
      <c r="G81" s="269"/>
      <c r="H81" s="269">
        <f t="shared" si="5"/>
        <v>4888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333</v>
      </c>
      <c r="F82" s="226"/>
      <c r="G82" s="224" t="s">
        <v>179</v>
      </c>
      <c r="H82" s="224">
        <f>ROUND((E$82/D$9)^(1/(COUNT(D$9:D$16)-1)),6)</f>
        <v>1.1364700000000001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840">
        <f t="shared" ref="B99:B108" si="6">B7</f>
        <v>2005</v>
      </c>
      <c r="C99" s="840"/>
      <c r="D99" s="208">
        <f t="shared" ref="D99:D108" si="7">VLOOKUP(B99,B$7:E$16,3,FALSE)</f>
        <v>0</v>
      </c>
      <c r="E99" s="229">
        <f t="shared" ref="E99:E108" si="8">((COUNT(B$99:B$108)-1)/2)+(B99-$C$4)</f>
        <v>-4.5</v>
      </c>
      <c r="F99" s="208">
        <f t="shared" ref="F99:F108" si="9">E99^2</f>
        <v>20.25</v>
      </c>
      <c r="G99" s="206"/>
      <c r="H99" s="230">
        <f t="shared" ref="H99:H108" si="10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840">
        <f t="shared" si="6"/>
        <v>2006</v>
      </c>
      <c r="C100" s="840"/>
      <c r="D100" s="208">
        <f t="shared" si="7"/>
        <v>0</v>
      </c>
      <c r="E100" s="229">
        <f t="shared" si="8"/>
        <v>-3.5</v>
      </c>
      <c r="F100" s="208">
        <f t="shared" si="9"/>
        <v>12.25</v>
      </c>
      <c r="G100" s="206"/>
      <c r="H100" s="230">
        <f t="shared" si="10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840">
        <f t="shared" si="6"/>
        <v>2007</v>
      </c>
      <c r="C101" s="840"/>
      <c r="D101" s="208">
        <f t="shared" si="7"/>
        <v>136</v>
      </c>
      <c r="E101" s="229">
        <f t="shared" si="8"/>
        <v>-2.5</v>
      </c>
      <c r="F101" s="208">
        <f>E101^2</f>
        <v>6.25</v>
      </c>
      <c r="G101" s="206"/>
      <c r="H101" s="230">
        <f t="shared" si="10"/>
        <v>-340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840">
        <f t="shared" si="6"/>
        <v>2008</v>
      </c>
      <c r="C102" s="840"/>
      <c r="D102" s="208">
        <f t="shared" si="7"/>
        <v>65</v>
      </c>
      <c r="E102" s="229">
        <f t="shared" si="8"/>
        <v>-1.5</v>
      </c>
      <c r="F102" s="208">
        <f t="shared" si="9"/>
        <v>2.25</v>
      </c>
      <c r="G102" s="206"/>
      <c r="H102" s="230">
        <f t="shared" si="10"/>
        <v>-97.5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840">
        <f t="shared" si="6"/>
        <v>2009</v>
      </c>
      <c r="C103" s="840"/>
      <c r="D103" s="208">
        <f t="shared" si="7"/>
        <v>151</v>
      </c>
      <c r="E103" s="229">
        <f t="shared" si="8"/>
        <v>-0.5</v>
      </c>
      <c r="F103" s="208">
        <f t="shared" si="9"/>
        <v>0.25</v>
      </c>
      <c r="G103" s="206"/>
      <c r="H103" s="230">
        <f t="shared" si="10"/>
        <v>-75.5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840">
        <f t="shared" si="6"/>
        <v>2010</v>
      </c>
      <c r="C104" s="840"/>
      <c r="D104" s="208">
        <f t="shared" si="7"/>
        <v>362</v>
      </c>
      <c r="E104" s="229">
        <f t="shared" si="8"/>
        <v>0.5</v>
      </c>
      <c r="F104" s="208">
        <f t="shared" si="9"/>
        <v>0.25</v>
      </c>
      <c r="G104" s="206"/>
      <c r="H104" s="230">
        <f t="shared" si="10"/>
        <v>181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840">
        <f t="shared" si="6"/>
        <v>2011</v>
      </c>
      <c r="C105" s="840"/>
      <c r="D105" s="208">
        <f t="shared" si="7"/>
        <v>123</v>
      </c>
      <c r="E105" s="229">
        <f t="shared" si="8"/>
        <v>1.5</v>
      </c>
      <c r="F105" s="208">
        <f t="shared" si="9"/>
        <v>2.25</v>
      </c>
      <c r="G105" s="206"/>
      <c r="H105" s="230">
        <f t="shared" si="10"/>
        <v>184.5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840">
        <f t="shared" si="6"/>
        <v>2012</v>
      </c>
      <c r="C106" s="840"/>
      <c r="D106" s="208">
        <f t="shared" si="7"/>
        <v>240</v>
      </c>
      <c r="E106" s="229">
        <f t="shared" si="8"/>
        <v>2.5</v>
      </c>
      <c r="F106" s="208">
        <f t="shared" si="9"/>
        <v>6.25</v>
      </c>
      <c r="G106" s="206"/>
      <c r="H106" s="230">
        <f t="shared" si="10"/>
        <v>600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840">
        <f t="shared" si="6"/>
        <v>2013</v>
      </c>
      <c r="C107" s="840"/>
      <c r="D107" s="208">
        <f t="shared" si="7"/>
        <v>214</v>
      </c>
      <c r="E107" s="229">
        <f t="shared" si="8"/>
        <v>3.5</v>
      </c>
      <c r="F107" s="208">
        <f t="shared" si="9"/>
        <v>12.25</v>
      </c>
      <c r="G107" s="206"/>
      <c r="H107" s="230">
        <f t="shared" si="10"/>
        <v>749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840">
        <f t="shared" si="6"/>
        <v>2014</v>
      </c>
      <c r="C108" s="840"/>
      <c r="D108" s="208">
        <f t="shared" si="7"/>
        <v>333</v>
      </c>
      <c r="E108" s="229">
        <f t="shared" si="8"/>
        <v>4.5</v>
      </c>
      <c r="F108" s="208">
        <f t="shared" si="9"/>
        <v>20.25</v>
      </c>
      <c r="G108" s="206"/>
      <c r="H108" s="230">
        <f t="shared" si="10"/>
        <v>1498.5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1624</v>
      </c>
      <c r="E109" s="215"/>
      <c r="F109" s="233">
        <f>ROUND(SUM(F99:F108),0)</f>
        <v>83</v>
      </c>
      <c r="G109" s="212"/>
      <c r="H109" s="234">
        <f>SUM(H99:H108)</f>
        <v>2700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32.53012048192771</v>
      </c>
      <c r="H110" s="236" t="s">
        <v>199</v>
      </c>
      <c r="I110" s="201"/>
      <c r="J110" s="201"/>
      <c r="K110" s="201">
        <f>ROUND((F109*D109-H109*E109)/(COUNT(B$99:B$108)*F109-E109*E109),0)</f>
        <v>162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1">ROUNDUP(G$110*(B115-B$108+E$108)+K$110,0)</f>
        <v>309</v>
      </c>
      <c r="E115" s="221"/>
      <c r="F115" s="221">
        <v>0</v>
      </c>
      <c r="G115" s="221"/>
      <c r="H115" s="221">
        <f t="shared" ref="H115:H136" si="12">ROUND(D115*(1+F115),0)</f>
        <v>309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1"/>
        <v>341</v>
      </c>
      <c r="E116" s="269"/>
      <c r="F116" s="269">
        <v>0</v>
      </c>
      <c r="G116" s="269"/>
      <c r="H116" s="269">
        <f t="shared" si="12"/>
        <v>341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1"/>
        <v>374</v>
      </c>
      <c r="E117" s="221"/>
      <c r="F117" s="221">
        <v>0</v>
      </c>
      <c r="G117" s="221"/>
      <c r="H117" s="221">
        <f t="shared" si="12"/>
        <v>374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1"/>
        <v>406</v>
      </c>
      <c r="E118" s="221"/>
      <c r="F118" s="221">
        <v>0</v>
      </c>
      <c r="G118" s="221"/>
      <c r="H118" s="221">
        <f t="shared" si="12"/>
        <v>406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1"/>
        <v>439</v>
      </c>
      <c r="E119" s="221"/>
      <c r="F119" s="221">
        <v>0</v>
      </c>
      <c r="G119" s="221"/>
      <c r="H119" s="221">
        <f t="shared" si="12"/>
        <v>439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1"/>
        <v>472</v>
      </c>
      <c r="E120" s="221"/>
      <c r="F120" s="221">
        <v>0</v>
      </c>
      <c r="G120" s="221"/>
      <c r="H120" s="221">
        <f t="shared" si="12"/>
        <v>472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1"/>
        <v>504</v>
      </c>
      <c r="E121" s="269"/>
      <c r="F121" s="269">
        <v>0</v>
      </c>
      <c r="G121" s="269"/>
      <c r="H121" s="269">
        <f t="shared" si="12"/>
        <v>504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1"/>
        <v>537</v>
      </c>
      <c r="E122" s="221"/>
      <c r="F122" s="221">
        <v>0</v>
      </c>
      <c r="G122" s="221"/>
      <c r="H122" s="221">
        <f t="shared" si="12"/>
        <v>537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1"/>
        <v>569</v>
      </c>
      <c r="E123" s="221"/>
      <c r="F123" s="221">
        <v>0</v>
      </c>
      <c r="G123" s="221"/>
      <c r="H123" s="221">
        <f t="shared" si="12"/>
        <v>569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1"/>
        <v>602</v>
      </c>
      <c r="E124" s="221"/>
      <c r="F124" s="221">
        <v>0</v>
      </c>
      <c r="G124" s="221"/>
      <c r="H124" s="221">
        <f t="shared" si="12"/>
        <v>602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1"/>
        <v>634</v>
      </c>
      <c r="E125" s="221"/>
      <c r="F125" s="221">
        <v>0</v>
      </c>
      <c r="G125" s="221"/>
      <c r="H125" s="221">
        <f t="shared" si="12"/>
        <v>634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1"/>
        <v>667</v>
      </c>
      <c r="E126" s="269"/>
      <c r="F126" s="269">
        <v>0</v>
      </c>
      <c r="G126" s="269"/>
      <c r="H126" s="269">
        <f t="shared" si="12"/>
        <v>667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1"/>
        <v>699</v>
      </c>
      <c r="E127" s="221"/>
      <c r="F127" s="221">
        <v>0</v>
      </c>
      <c r="G127" s="221"/>
      <c r="H127" s="221">
        <f t="shared" si="12"/>
        <v>699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1"/>
        <v>732</v>
      </c>
      <c r="E128" s="221"/>
      <c r="F128" s="221">
        <v>0</v>
      </c>
      <c r="G128" s="221"/>
      <c r="H128" s="221">
        <f t="shared" si="12"/>
        <v>732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1"/>
        <v>764</v>
      </c>
      <c r="E129" s="221"/>
      <c r="F129" s="221">
        <v>0</v>
      </c>
      <c r="G129" s="221"/>
      <c r="H129" s="221">
        <f t="shared" si="12"/>
        <v>764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1"/>
        <v>797</v>
      </c>
      <c r="E130" s="221"/>
      <c r="F130" s="221">
        <v>0</v>
      </c>
      <c r="G130" s="221"/>
      <c r="H130" s="221">
        <f t="shared" si="12"/>
        <v>797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1"/>
        <v>829</v>
      </c>
      <c r="E131" s="269"/>
      <c r="F131" s="269">
        <v>0</v>
      </c>
      <c r="G131" s="269"/>
      <c r="H131" s="269">
        <f t="shared" si="12"/>
        <v>829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1"/>
        <v>862</v>
      </c>
      <c r="E132" s="221"/>
      <c r="F132" s="221">
        <v>0</v>
      </c>
      <c r="G132" s="221"/>
      <c r="H132" s="221">
        <f t="shared" si="12"/>
        <v>862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1"/>
        <v>894</v>
      </c>
      <c r="E133" s="221"/>
      <c r="F133" s="221">
        <v>0</v>
      </c>
      <c r="G133" s="221"/>
      <c r="H133" s="221">
        <f t="shared" si="12"/>
        <v>894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1"/>
        <v>927</v>
      </c>
      <c r="E134" s="221"/>
      <c r="F134" s="221">
        <v>0</v>
      </c>
      <c r="G134" s="221"/>
      <c r="H134" s="221">
        <f t="shared" si="12"/>
        <v>927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1"/>
        <v>959</v>
      </c>
      <c r="E135" s="221"/>
      <c r="F135" s="221">
        <v>0</v>
      </c>
      <c r="G135" s="221"/>
      <c r="H135" s="221">
        <f t="shared" si="12"/>
        <v>959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1"/>
        <v>992</v>
      </c>
      <c r="E136" s="269"/>
      <c r="F136" s="269">
        <v>0</v>
      </c>
      <c r="G136" s="269"/>
      <c r="H136" s="269">
        <f t="shared" si="12"/>
        <v>992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840">
        <f t="shared" ref="B146:B155" si="13">B99</f>
        <v>2005</v>
      </c>
      <c r="C146" s="840"/>
      <c r="D146" s="208">
        <f t="shared" ref="D146:D155" si="14">VLOOKUP(B146,B$7:E$16,3,FALSE)</f>
        <v>0</v>
      </c>
      <c r="E146" s="244">
        <f t="shared" ref="E146:E155" si="15">IF(G$140=FALSE,"",((COUNT(B$99:B$108)-1))+(B146-$C$4))</f>
        <v>0</v>
      </c>
      <c r="F146" s="245">
        <f>IF(E146=0,0,"")</f>
        <v>0</v>
      </c>
      <c r="G146" s="246">
        <f t="shared" ref="G146:G155" si="16">IF(F146="","",F146^2)</f>
        <v>0</v>
      </c>
      <c r="H146" s="231">
        <f t="shared" ref="H146:H155" si="17">IF(G146="","",ABS(D146-D$146))</f>
        <v>0</v>
      </c>
      <c r="I146" s="231"/>
      <c r="J146" s="245">
        <f>IF(H146=0,0,"")</f>
        <v>0</v>
      </c>
      <c r="K146" s="247">
        <f t="shared" ref="K146:K155" si="18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840">
        <f t="shared" si="13"/>
        <v>2006</v>
      </c>
      <c r="C147" s="840"/>
      <c r="D147" s="208">
        <f t="shared" si="14"/>
        <v>0</v>
      </c>
      <c r="E147" s="244">
        <f t="shared" si="15"/>
        <v>1</v>
      </c>
      <c r="F147" s="245">
        <f t="shared" ref="F147:F155" si="19">IF(E147="","",LOG(E147))</f>
        <v>0</v>
      </c>
      <c r="G147" s="246">
        <f t="shared" si="16"/>
        <v>0</v>
      </c>
      <c r="H147" s="231">
        <f t="shared" si="17"/>
        <v>0</v>
      </c>
      <c r="I147" s="231"/>
      <c r="J147" s="245">
        <f>IF(H147=0,0,"")</f>
        <v>0</v>
      </c>
      <c r="K147" s="247">
        <f t="shared" si="18"/>
        <v>0</v>
      </c>
      <c r="L147" s="203"/>
      <c r="M147" s="203"/>
      <c r="N147" s="203"/>
      <c r="O147" s="203"/>
    </row>
    <row r="148" spans="1:15" ht="15" customHeight="1">
      <c r="A148" s="203"/>
      <c r="B148" s="840">
        <f t="shared" si="13"/>
        <v>2007</v>
      </c>
      <c r="C148" s="840"/>
      <c r="D148" s="208">
        <f t="shared" si="14"/>
        <v>136</v>
      </c>
      <c r="E148" s="244">
        <f t="shared" si="15"/>
        <v>2</v>
      </c>
      <c r="F148" s="245">
        <f t="shared" si="19"/>
        <v>0.3010299956639812</v>
      </c>
      <c r="G148" s="246">
        <f t="shared" si="16"/>
        <v>9.0619058289456544E-2</v>
      </c>
      <c r="H148" s="231">
        <f t="shared" si="17"/>
        <v>136</v>
      </c>
      <c r="I148" s="231"/>
      <c r="J148" s="247">
        <f t="shared" ref="J148:J155" si="20">IF(H148="","",LOG(H148))</f>
        <v>2.1335389083702174</v>
      </c>
      <c r="K148" s="247">
        <f t="shared" si="18"/>
        <v>0.64225920833562178</v>
      </c>
      <c r="L148" s="203"/>
      <c r="M148" s="203"/>
      <c r="N148" s="203"/>
      <c r="O148" s="203"/>
    </row>
    <row r="149" spans="1:15" ht="15" customHeight="1">
      <c r="A149" s="203"/>
      <c r="B149" s="840">
        <f t="shared" si="13"/>
        <v>2008</v>
      </c>
      <c r="C149" s="840"/>
      <c r="D149" s="208">
        <f t="shared" si="14"/>
        <v>65</v>
      </c>
      <c r="E149" s="244">
        <f t="shared" si="15"/>
        <v>3</v>
      </c>
      <c r="F149" s="245">
        <f t="shared" si="19"/>
        <v>0.47712125471966244</v>
      </c>
      <c r="G149" s="246">
        <f t="shared" si="16"/>
        <v>0.227644691705265</v>
      </c>
      <c r="H149" s="231">
        <f t="shared" si="17"/>
        <v>65</v>
      </c>
      <c r="I149" s="231"/>
      <c r="J149" s="247">
        <f t="shared" si="20"/>
        <v>1.8129133566428555</v>
      </c>
      <c r="K149" s="247">
        <f t="shared" si="18"/>
        <v>0.86497949541947405</v>
      </c>
      <c r="L149" s="203"/>
      <c r="M149" s="203"/>
      <c r="N149" s="203"/>
      <c r="O149" s="203"/>
    </row>
    <row r="150" spans="1:15" ht="15" customHeight="1">
      <c r="A150" s="203"/>
      <c r="B150" s="840">
        <f t="shared" si="13"/>
        <v>2009</v>
      </c>
      <c r="C150" s="840"/>
      <c r="D150" s="208">
        <f t="shared" si="14"/>
        <v>151</v>
      </c>
      <c r="E150" s="244">
        <f t="shared" si="15"/>
        <v>4</v>
      </c>
      <c r="F150" s="245">
        <f t="shared" si="19"/>
        <v>0.6020599913279624</v>
      </c>
      <c r="G150" s="246">
        <f t="shared" si="16"/>
        <v>0.36247623315782618</v>
      </c>
      <c r="H150" s="231">
        <f t="shared" si="17"/>
        <v>151</v>
      </c>
      <c r="I150" s="231"/>
      <c r="J150" s="247">
        <f t="shared" si="20"/>
        <v>2.1789769472931693</v>
      </c>
      <c r="K150" s="247">
        <f t="shared" si="18"/>
        <v>1.3118748419911554</v>
      </c>
      <c r="L150" s="203"/>
      <c r="M150" s="203"/>
      <c r="N150" s="203"/>
      <c r="O150" s="203"/>
    </row>
    <row r="151" spans="1:15" ht="15" customHeight="1">
      <c r="A151" s="203"/>
      <c r="B151" s="840">
        <f t="shared" si="13"/>
        <v>2010</v>
      </c>
      <c r="C151" s="840"/>
      <c r="D151" s="208">
        <f t="shared" si="14"/>
        <v>362</v>
      </c>
      <c r="E151" s="244">
        <f t="shared" si="15"/>
        <v>5</v>
      </c>
      <c r="F151" s="245">
        <f t="shared" si="19"/>
        <v>0.69897000433601886</v>
      </c>
      <c r="G151" s="246">
        <f t="shared" si="16"/>
        <v>0.4885590669614942</v>
      </c>
      <c r="H151" s="231">
        <f t="shared" si="17"/>
        <v>362</v>
      </c>
      <c r="I151" s="231"/>
      <c r="J151" s="247">
        <f t="shared" si="20"/>
        <v>2.5587085705331658</v>
      </c>
      <c r="K151" s="247">
        <f t="shared" si="18"/>
        <v>1.7884605406401755</v>
      </c>
      <c r="L151" s="203"/>
      <c r="M151" s="203"/>
      <c r="N151" s="203"/>
      <c r="O151" s="203"/>
    </row>
    <row r="152" spans="1:15" ht="15" customHeight="1">
      <c r="A152" s="203"/>
      <c r="B152" s="840">
        <f t="shared" si="13"/>
        <v>2011</v>
      </c>
      <c r="C152" s="840"/>
      <c r="D152" s="208">
        <f t="shared" si="14"/>
        <v>123</v>
      </c>
      <c r="E152" s="244">
        <f t="shared" si="15"/>
        <v>6</v>
      </c>
      <c r="F152" s="245">
        <f t="shared" si="19"/>
        <v>0.77815125038364363</v>
      </c>
      <c r="G152" s="246">
        <f t="shared" si="16"/>
        <v>0.60551936847362808</v>
      </c>
      <c r="H152" s="231">
        <f t="shared" si="17"/>
        <v>123</v>
      </c>
      <c r="I152" s="231"/>
      <c r="J152" s="247">
        <f t="shared" si="20"/>
        <v>2.0899051114393981</v>
      </c>
      <c r="K152" s="247">
        <f t="shared" si="18"/>
        <v>1.6262622756497356</v>
      </c>
      <c r="L152" s="203"/>
      <c r="M152" s="203"/>
      <c r="N152" s="203"/>
      <c r="O152" s="203"/>
    </row>
    <row r="153" spans="1:15" ht="15" customHeight="1">
      <c r="A153" s="203"/>
      <c r="B153" s="840">
        <f t="shared" si="13"/>
        <v>2012</v>
      </c>
      <c r="C153" s="840"/>
      <c r="D153" s="208">
        <f t="shared" si="14"/>
        <v>240</v>
      </c>
      <c r="E153" s="244">
        <f t="shared" si="15"/>
        <v>7</v>
      </c>
      <c r="F153" s="245">
        <f t="shared" si="19"/>
        <v>0.84509804001425681</v>
      </c>
      <c r="G153" s="246">
        <f t="shared" si="16"/>
        <v>0.71419069723593842</v>
      </c>
      <c r="H153" s="231">
        <f t="shared" si="17"/>
        <v>240</v>
      </c>
      <c r="I153" s="231"/>
      <c r="J153" s="247">
        <f t="shared" si="20"/>
        <v>2.3802112417116059</v>
      </c>
      <c r="K153" s="247">
        <f t="shared" si="18"/>
        <v>2.0115118551903786</v>
      </c>
      <c r="L153" s="203"/>
      <c r="M153" s="203"/>
      <c r="N153" s="203"/>
      <c r="O153" s="203"/>
    </row>
    <row r="154" spans="1:15" ht="15" customHeight="1">
      <c r="A154" s="203"/>
      <c r="B154" s="840">
        <f t="shared" si="13"/>
        <v>2013</v>
      </c>
      <c r="C154" s="840"/>
      <c r="D154" s="208">
        <f t="shared" si="14"/>
        <v>214</v>
      </c>
      <c r="E154" s="244">
        <f t="shared" si="15"/>
        <v>8</v>
      </c>
      <c r="F154" s="245">
        <f t="shared" si="19"/>
        <v>0.90308998699194354</v>
      </c>
      <c r="G154" s="246">
        <f t="shared" si="16"/>
        <v>0.81557152460510873</v>
      </c>
      <c r="H154" s="231">
        <f t="shared" si="17"/>
        <v>214</v>
      </c>
      <c r="I154" s="231"/>
      <c r="J154" s="247">
        <f t="shared" si="20"/>
        <v>2.330413773349191</v>
      </c>
      <c r="K154" s="247">
        <f t="shared" si="18"/>
        <v>2.1045733442597667</v>
      </c>
      <c r="L154" s="203"/>
      <c r="M154" s="203"/>
      <c r="N154" s="203"/>
      <c r="O154" s="203"/>
    </row>
    <row r="155" spans="1:15" ht="15" customHeight="1">
      <c r="A155" s="203"/>
      <c r="B155" s="840">
        <f t="shared" si="13"/>
        <v>2014</v>
      </c>
      <c r="C155" s="840"/>
      <c r="D155" s="208">
        <f t="shared" si="14"/>
        <v>333</v>
      </c>
      <c r="E155" s="244">
        <f t="shared" si="15"/>
        <v>9</v>
      </c>
      <c r="F155" s="245">
        <f t="shared" si="19"/>
        <v>0.95424250943932487</v>
      </c>
      <c r="G155" s="246">
        <f t="shared" si="16"/>
        <v>0.91057876682105998</v>
      </c>
      <c r="H155" s="231">
        <f t="shared" si="17"/>
        <v>333</v>
      </c>
      <c r="I155" s="231"/>
      <c r="J155" s="247">
        <f t="shared" si="20"/>
        <v>2.5224442335063197</v>
      </c>
      <c r="K155" s="247">
        <f t="shared" si="18"/>
        <v>2.4070235153018249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18.007112142845923</v>
      </c>
      <c r="K156" s="253">
        <f>IF(K155="","",SUM(K146:K155))</f>
        <v>12.756945076788133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5.110460077929381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2.09199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1">IF(J$157=0,0,ROUNDUP(D$146+E$157*(B162-B$146)^J$157,0))</f>
        <v>507</v>
      </c>
      <c r="E162" s="257"/>
      <c r="F162" s="844">
        <v>0</v>
      </c>
      <c r="G162" s="844"/>
      <c r="H162" s="844">
        <f t="shared" ref="H162:H183" si="22">ROUND(D162*(1+F162),0)</f>
        <v>507</v>
      </c>
      <c r="I162" s="844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1"/>
        <v>632</v>
      </c>
      <c r="E163" s="271"/>
      <c r="F163" s="272">
        <v>0</v>
      </c>
      <c r="G163" s="272"/>
      <c r="H163" s="272">
        <f t="shared" si="22"/>
        <v>632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1"/>
        <v>771</v>
      </c>
      <c r="E164" s="257"/>
      <c r="F164" s="258">
        <v>0</v>
      </c>
      <c r="G164" s="258"/>
      <c r="H164" s="258">
        <f t="shared" si="22"/>
        <v>771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1"/>
        <v>925</v>
      </c>
      <c r="E165" s="257"/>
      <c r="F165" s="258">
        <v>0</v>
      </c>
      <c r="G165" s="258"/>
      <c r="H165" s="258">
        <f t="shared" si="22"/>
        <v>925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1"/>
        <v>1094</v>
      </c>
      <c r="E166" s="257"/>
      <c r="F166" s="258">
        <v>0</v>
      </c>
      <c r="G166" s="258"/>
      <c r="H166" s="258">
        <f t="shared" si="22"/>
        <v>1094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1"/>
        <v>1277</v>
      </c>
      <c r="E167" s="257"/>
      <c r="F167" s="258">
        <v>0</v>
      </c>
      <c r="G167" s="258"/>
      <c r="H167" s="258">
        <f t="shared" si="22"/>
        <v>1277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1"/>
        <v>1476</v>
      </c>
      <c r="E168" s="271"/>
      <c r="F168" s="272">
        <v>0</v>
      </c>
      <c r="G168" s="272"/>
      <c r="H168" s="272">
        <f t="shared" si="22"/>
        <v>1476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1"/>
        <v>1689</v>
      </c>
      <c r="E169" s="257"/>
      <c r="F169" s="258">
        <v>0</v>
      </c>
      <c r="G169" s="258"/>
      <c r="H169" s="258">
        <f t="shared" si="22"/>
        <v>1689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1"/>
        <v>1917</v>
      </c>
      <c r="E170" s="257"/>
      <c r="F170" s="258">
        <v>0</v>
      </c>
      <c r="G170" s="258"/>
      <c r="H170" s="258">
        <f t="shared" si="22"/>
        <v>1917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1"/>
        <v>2161</v>
      </c>
      <c r="E171" s="257"/>
      <c r="F171" s="258">
        <v>0</v>
      </c>
      <c r="G171" s="258"/>
      <c r="H171" s="258">
        <f t="shared" si="22"/>
        <v>2161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1"/>
        <v>2419</v>
      </c>
      <c r="E172" s="257"/>
      <c r="F172" s="258">
        <v>0</v>
      </c>
      <c r="G172" s="258"/>
      <c r="H172" s="258">
        <f t="shared" si="22"/>
        <v>2419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1"/>
        <v>2693</v>
      </c>
      <c r="E173" s="271"/>
      <c r="F173" s="272">
        <v>0</v>
      </c>
      <c r="G173" s="272"/>
      <c r="H173" s="272">
        <f t="shared" si="22"/>
        <v>2693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1"/>
        <v>2983</v>
      </c>
      <c r="E174" s="257"/>
      <c r="F174" s="258">
        <v>0</v>
      </c>
      <c r="G174" s="258"/>
      <c r="H174" s="258">
        <f t="shared" si="22"/>
        <v>2983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1"/>
        <v>3287</v>
      </c>
      <c r="E175" s="257"/>
      <c r="F175" s="258">
        <v>0</v>
      </c>
      <c r="G175" s="258"/>
      <c r="H175" s="258">
        <f t="shared" si="22"/>
        <v>3287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1"/>
        <v>3608</v>
      </c>
      <c r="E176" s="257"/>
      <c r="F176" s="258">
        <v>0</v>
      </c>
      <c r="G176" s="258"/>
      <c r="H176" s="258">
        <f t="shared" si="22"/>
        <v>3608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1"/>
        <v>3944</v>
      </c>
      <c r="E177" s="257"/>
      <c r="F177" s="258">
        <v>0</v>
      </c>
      <c r="G177" s="258"/>
      <c r="H177" s="258">
        <f t="shared" si="22"/>
        <v>3944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1"/>
        <v>4295</v>
      </c>
      <c r="E178" s="271"/>
      <c r="F178" s="272">
        <v>0</v>
      </c>
      <c r="G178" s="272"/>
      <c r="H178" s="272">
        <f t="shared" si="22"/>
        <v>4295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1"/>
        <v>4662</v>
      </c>
      <c r="E179" s="257"/>
      <c r="F179" s="258">
        <v>0</v>
      </c>
      <c r="G179" s="258"/>
      <c r="H179" s="258">
        <f t="shared" si="22"/>
        <v>4662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1"/>
        <v>5045</v>
      </c>
      <c r="E180" s="257"/>
      <c r="F180" s="258">
        <v>0</v>
      </c>
      <c r="G180" s="258"/>
      <c r="H180" s="258">
        <f t="shared" si="22"/>
        <v>5045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1"/>
        <v>5444</v>
      </c>
      <c r="E181" s="257"/>
      <c r="F181" s="258">
        <v>0</v>
      </c>
      <c r="G181" s="258"/>
      <c r="H181" s="258">
        <f t="shared" si="22"/>
        <v>5444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1"/>
        <v>5859</v>
      </c>
      <c r="E182" s="257"/>
      <c r="F182" s="258">
        <v>0</v>
      </c>
      <c r="G182" s="258"/>
      <c r="H182" s="258">
        <f t="shared" si="22"/>
        <v>5859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1"/>
        <v>6290</v>
      </c>
      <c r="E183" s="271"/>
      <c r="F183" s="272">
        <v>0</v>
      </c>
      <c r="G183" s="272"/>
      <c r="H183" s="272">
        <f t="shared" si="22"/>
        <v>6290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1000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840">
        <f t="shared" ref="B195:B204" si="23">B146</f>
        <v>2005</v>
      </c>
      <c r="C195" s="840"/>
      <c r="D195" s="208">
        <f t="shared" ref="D195:D204" si="24">VLOOKUP(B195,B$7:E$16,3,FALSE)</f>
        <v>0</v>
      </c>
      <c r="E195" s="244">
        <f t="shared" ref="E195:E204" si="25">((COUNT(B$195:B$204)-1)/2)+(B195-$C$4)</f>
        <v>-4.5</v>
      </c>
      <c r="F195" s="206">
        <f t="shared" ref="F195:F204" si="26">E195^2</f>
        <v>20.25</v>
      </c>
      <c r="G195" s="844">
        <f t="shared" ref="G195:G204" si="27">E$192-D195</f>
        <v>1000</v>
      </c>
      <c r="H195" s="259">
        <v>0</v>
      </c>
      <c r="I195" s="245">
        <f t="shared" ref="I195:I204" si="28">LOG(G195)</f>
        <v>3</v>
      </c>
      <c r="J195" s="246">
        <f>ROUND(H195-I195,6)</f>
        <v>-3</v>
      </c>
      <c r="K195" s="246">
        <f t="shared" ref="K195:K204" si="29">E195*J195</f>
        <v>13.5</v>
      </c>
      <c r="L195" s="203"/>
      <c r="M195" s="203"/>
      <c r="N195" s="203"/>
      <c r="O195" s="203"/>
    </row>
    <row r="196" spans="1:15" ht="15" customHeight="1">
      <c r="A196" s="203"/>
      <c r="B196" s="840">
        <f t="shared" si="23"/>
        <v>2006</v>
      </c>
      <c r="C196" s="840"/>
      <c r="D196" s="208">
        <f t="shared" si="24"/>
        <v>0</v>
      </c>
      <c r="E196" s="244">
        <f t="shared" si="25"/>
        <v>-3.5</v>
      </c>
      <c r="F196" s="206">
        <f t="shared" si="26"/>
        <v>12.25</v>
      </c>
      <c r="G196" s="844">
        <f t="shared" si="27"/>
        <v>1000</v>
      </c>
      <c r="H196" s="259">
        <v>0</v>
      </c>
      <c r="I196" s="245">
        <f t="shared" si="28"/>
        <v>3</v>
      </c>
      <c r="J196" s="246">
        <f t="shared" ref="J196:J204" si="30">H196-I196</f>
        <v>-3</v>
      </c>
      <c r="K196" s="246">
        <f t="shared" si="29"/>
        <v>10.5</v>
      </c>
      <c r="L196" s="203"/>
      <c r="M196" s="203"/>
      <c r="N196" s="203"/>
      <c r="O196" s="203"/>
    </row>
    <row r="197" spans="1:15" ht="15" customHeight="1">
      <c r="A197" s="203"/>
      <c r="B197" s="840">
        <f t="shared" si="23"/>
        <v>2007</v>
      </c>
      <c r="C197" s="840"/>
      <c r="D197" s="208">
        <f t="shared" si="24"/>
        <v>136</v>
      </c>
      <c r="E197" s="244">
        <f t="shared" si="25"/>
        <v>-2.5</v>
      </c>
      <c r="F197" s="206">
        <f t="shared" si="26"/>
        <v>6.25</v>
      </c>
      <c r="G197" s="844">
        <f t="shared" si="27"/>
        <v>864</v>
      </c>
      <c r="H197" s="259">
        <f t="shared" ref="H197:H204" si="31">LOG(D197)</f>
        <v>2.1335389083702174</v>
      </c>
      <c r="I197" s="245">
        <f t="shared" si="28"/>
        <v>2.9365137424788932</v>
      </c>
      <c r="J197" s="246">
        <f t="shared" si="30"/>
        <v>-0.80297483410867576</v>
      </c>
      <c r="K197" s="246">
        <f t="shared" si="29"/>
        <v>2.0074370852716896</v>
      </c>
      <c r="L197" s="203"/>
      <c r="M197" s="203"/>
      <c r="N197" s="203"/>
      <c r="O197" s="203"/>
    </row>
    <row r="198" spans="1:15" ht="15" customHeight="1">
      <c r="A198" s="203"/>
      <c r="B198" s="840">
        <f t="shared" si="23"/>
        <v>2008</v>
      </c>
      <c r="C198" s="840"/>
      <c r="D198" s="208">
        <f t="shared" si="24"/>
        <v>65</v>
      </c>
      <c r="E198" s="244">
        <f t="shared" si="25"/>
        <v>-1.5</v>
      </c>
      <c r="F198" s="206">
        <f t="shared" si="26"/>
        <v>2.25</v>
      </c>
      <c r="G198" s="844">
        <f t="shared" si="27"/>
        <v>935</v>
      </c>
      <c r="H198" s="259">
        <f t="shared" si="31"/>
        <v>1.8129133566428555</v>
      </c>
      <c r="I198" s="245">
        <f t="shared" si="28"/>
        <v>2.9708116108725178</v>
      </c>
      <c r="J198" s="246">
        <f t="shared" si="30"/>
        <v>-1.1578982542296623</v>
      </c>
      <c r="K198" s="246">
        <f t="shared" si="29"/>
        <v>1.7368473813444933</v>
      </c>
      <c r="L198" s="203"/>
      <c r="M198" s="203"/>
      <c r="N198" s="203"/>
      <c r="O198" s="203"/>
    </row>
    <row r="199" spans="1:15" ht="15" customHeight="1">
      <c r="A199" s="203"/>
      <c r="B199" s="840">
        <f t="shared" si="23"/>
        <v>2009</v>
      </c>
      <c r="C199" s="840"/>
      <c r="D199" s="208">
        <f t="shared" si="24"/>
        <v>151</v>
      </c>
      <c r="E199" s="244">
        <f t="shared" si="25"/>
        <v>-0.5</v>
      </c>
      <c r="F199" s="206">
        <f t="shared" si="26"/>
        <v>0.25</v>
      </c>
      <c r="G199" s="844">
        <f t="shared" si="27"/>
        <v>849</v>
      </c>
      <c r="H199" s="259">
        <f t="shared" si="31"/>
        <v>2.1789769472931693</v>
      </c>
      <c r="I199" s="245">
        <f t="shared" si="28"/>
        <v>2.9289076902439528</v>
      </c>
      <c r="J199" s="246">
        <f t="shared" si="30"/>
        <v>-0.74993074295078355</v>
      </c>
      <c r="K199" s="246">
        <f t="shared" si="29"/>
        <v>0.37496537147539177</v>
      </c>
      <c r="L199" s="203"/>
      <c r="M199" s="203"/>
      <c r="N199" s="203"/>
      <c r="O199" s="203"/>
    </row>
    <row r="200" spans="1:15" ht="15" customHeight="1">
      <c r="A200" s="203"/>
      <c r="B200" s="840">
        <f t="shared" si="23"/>
        <v>2010</v>
      </c>
      <c r="C200" s="840"/>
      <c r="D200" s="208">
        <f t="shared" si="24"/>
        <v>362</v>
      </c>
      <c r="E200" s="244">
        <f t="shared" si="25"/>
        <v>0.5</v>
      </c>
      <c r="F200" s="206">
        <f t="shared" si="26"/>
        <v>0.25</v>
      </c>
      <c r="G200" s="844">
        <f t="shared" si="27"/>
        <v>638</v>
      </c>
      <c r="H200" s="259">
        <f t="shared" si="31"/>
        <v>2.5587085705331658</v>
      </c>
      <c r="I200" s="245">
        <f t="shared" si="28"/>
        <v>2.8048206787211623</v>
      </c>
      <c r="J200" s="246">
        <f t="shared" si="30"/>
        <v>-0.24611210818799645</v>
      </c>
      <c r="K200" s="246">
        <f t="shared" si="29"/>
        <v>-0.12305605409399822</v>
      </c>
      <c r="L200" s="203"/>
      <c r="M200" s="203"/>
      <c r="N200" s="203"/>
      <c r="O200" s="203"/>
    </row>
    <row r="201" spans="1:15" ht="15" customHeight="1">
      <c r="A201" s="203"/>
      <c r="B201" s="840">
        <f t="shared" si="23"/>
        <v>2011</v>
      </c>
      <c r="C201" s="840"/>
      <c r="D201" s="208">
        <f t="shared" si="24"/>
        <v>123</v>
      </c>
      <c r="E201" s="244">
        <f t="shared" si="25"/>
        <v>1.5</v>
      </c>
      <c r="F201" s="206">
        <f t="shared" si="26"/>
        <v>2.25</v>
      </c>
      <c r="G201" s="844">
        <f t="shared" si="27"/>
        <v>877</v>
      </c>
      <c r="H201" s="259">
        <f t="shared" si="31"/>
        <v>2.0899051114393981</v>
      </c>
      <c r="I201" s="245">
        <f t="shared" si="28"/>
        <v>2.9429995933660407</v>
      </c>
      <c r="J201" s="246">
        <f t="shared" si="30"/>
        <v>-0.85309448192664261</v>
      </c>
      <c r="K201" s="246">
        <f t="shared" si="29"/>
        <v>-1.2796417228899639</v>
      </c>
      <c r="L201" s="203"/>
      <c r="M201" s="203"/>
      <c r="N201" s="203"/>
      <c r="O201" s="203"/>
    </row>
    <row r="202" spans="1:15" ht="15" customHeight="1">
      <c r="A202" s="203"/>
      <c r="B202" s="840">
        <f t="shared" si="23"/>
        <v>2012</v>
      </c>
      <c r="C202" s="840"/>
      <c r="D202" s="208">
        <f t="shared" si="24"/>
        <v>240</v>
      </c>
      <c r="E202" s="244">
        <f t="shared" si="25"/>
        <v>2.5</v>
      </c>
      <c r="F202" s="206">
        <f t="shared" si="26"/>
        <v>6.25</v>
      </c>
      <c r="G202" s="844">
        <f t="shared" si="27"/>
        <v>760</v>
      </c>
      <c r="H202" s="259">
        <f t="shared" si="31"/>
        <v>2.3802112417116059</v>
      </c>
      <c r="I202" s="245">
        <f t="shared" si="28"/>
        <v>2.8808135922807914</v>
      </c>
      <c r="J202" s="246">
        <f t="shared" si="30"/>
        <v>-0.50060235056918545</v>
      </c>
      <c r="K202" s="246">
        <f t="shared" si="29"/>
        <v>-1.2515058764229636</v>
      </c>
      <c r="L202" s="203"/>
      <c r="M202" s="203"/>
      <c r="N202" s="203"/>
      <c r="O202" s="203"/>
    </row>
    <row r="203" spans="1:15" ht="15" customHeight="1">
      <c r="A203" s="203"/>
      <c r="B203" s="840">
        <f t="shared" si="23"/>
        <v>2013</v>
      </c>
      <c r="C203" s="840"/>
      <c r="D203" s="208">
        <f t="shared" si="24"/>
        <v>214</v>
      </c>
      <c r="E203" s="244">
        <f t="shared" si="25"/>
        <v>3.5</v>
      </c>
      <c r="F203" s="206">
        <f t="shared" si="26"/>
        <v>12.25</v>
      </c>
      <c r="G203" s="844">
        <f t="shared" si="27"/>
        <v>786</v>
      </c>
      <c r="H203" s="259">
        <f t="shared" si="31"/>
        <v>2.330413773349191</v>
      </c>
      <c r="I203" s="245">
        <f t="shared" si="28"/>
        <v>2.8954225460394079</v>
      </c>
      <c r="J203" s="246">
        <f t="shared" si="30"/>
        <v>-0.56500877269021688</v>
      </c>
      <c r="K203" s="246">
        <f t="shared" si="29"/>
        <v>-1.9775307044157591</v>
      </c>
      <c r="L203" s="203"/>
      <c r="M203" s="203"/>
      <c r="N203" s="203"/>
      <c r="O203" s="203"/>
    </row>
    <row r="204" spans="1:15" ht="15" customHeight="1">
      <c r="A204" s="203"/>
      <c r="B204" s="840">
        <f t="shared" si="23"/>
        <v>2014</v>
      </c>
      <c r="C204" s="840"/>
      <c r="D204" s="208">
        <f t="shared" si="24"/>
        <v>333</v>
      </c>
      <c r="E204" s="244">
        <f t="shared" si="25"/>
        <v>4.5</v>
      </c>
      <c r="F204" s="206">
        <f t="shared" si="26"/>
        <v>20.25</v>
      </c>
      <c r="G204" s="844">
        <f t="shared" si="27"/>
        <v>667</v>
      </c>
      <c r="H204" s="259">
        <f t="shared" si="31"/>
        <v>2.5224442335063197</v>
      </c>
      <c r="I204" s="245">
        <f t="shared" si="28"/>
        <v>2.8241258339165491</v>
      </c>
      <c r="J204" s="246">
        <f t="shared" si="30"/>
        <v>-0.3016816004102294</v>
      </c>
      <c r="K204" s="246">
        <f t="shared" si="29"/>
        <v>-1.3575672018460323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1624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-11.177303145073395</v>
      </c>
      <c r="K205" s="263">
        <f>SUM(K195:K204)</f>
        <v>22.129948278422859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2.5736699999999999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0.61392899999999995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2">ROUNDUP(E$192/(1+EXP(1)^(H$207-K$208*(B212-B$200+0.5))),0)</f>
        <v>548</v>
      </c>
      <c r="E212" s="208"/>
      <c r="F212" s="208">
        <v>0</v>
      </c>
      <c r="G212" s="208"/>
      <c r="H212" s="208">
        <f t="shared" ref="H212:H233" si="33">ROUND(D212*(1+F212),0)</f>
        <v>548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2"/>
        <v>691</v>
      </c>
      <c r="E213" s="269"/>
      <c r="F213" s="269">
        <v>0</v>
      </c>
      <c r="G213" s="269"/>
      <c r="H213" s="269">
        <f t="shared" si="33"/>
        <v>691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2"/>
        <v>805</v>
      </c>
      <c r="E214" s="221"/>
      <c r="F214" s="221">
        <v>0</v>
      </c>
      <c r="G214" s="221"/>
      <c r="H214" s="221">
        <f t="shared" si="33"/>
        <v>805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2"/>
        <v>884</v>
      </c>
      <c r="E215" s="221"/>
      <c r="F215" s="221">
        <v>0</v>
      </c>
      <c r="G215" s="221"/>
      <c r="H215" s="221">
        <f t="shared" si="33"/>
        <v>884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2"/>
        <v>934</v>
      </c>
      <c r="E216" s="221"/>
      <c r="F216" s="221">
        <v>0</v>
      </c>
      <c r="G216" s="221"/>
      <c r="H216" s="221">
        <f t="shared" si="33"/>
        <v>934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2"/>
        <v>963</v>
      </c>
      <c r="E217" s="221"/>
      <c r="F217" s="221">
        <v>0</v>
      </c>
      <c r="G217" s="221"/>
      <c r="H217" s="221">
        <f t="shared" si="33"/>
        <v>963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2"/>
        <v>980</v>
      </c>
      <c r="E218" s="269"/>
      <c r="F218" s="269">
        <v>0</v>
      </c>
      <c r="G218" s="269"/>
      <c r="H218" s="269">
        <f t="shared" si="33"/>
        <v>980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2"/>
        <v>989</v>
      </c>
      <c r="E219" s="221"/>
      <c r="F219" s="221">
        <v>0</v>
      </c>
      <c r="G219" s="221"/>
      <c r="H219" s="221">
        <f t="shared" si="33"/>
        <v>989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2"/>
        <v>994</v>
      </c>
      <c r="E220" s="221"/>
      <c r="F220" s="221">
        <v>0</v>
      </c>
      <c r="G220" s="221"/>
      <c r="H220" s="221">
        <f t="shared" si="33"/>
        <v>994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2"/>
        <v>997</v>
      </c>
      <c r="E221" s="221"/>
      <c r="F221" s="221">
        <v>0</v>
      </c>
      <c r="G221" s="221"/>
      <c r="H221" s="221">
        <f t="shared" si="33"/>
        <v>997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2"/>
        <v>999</v>
      </c>
      <c r="E222" s="221"/>
      <c r="F222" s="221">
        <v>0</v>
      </c>
      <c r="G222" s="221"/>
      <c r="H222" s="221">
        <f t="shared" si="33"/>
        <v>999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2"/>
        <v>1000</v>
      </c>
      <c r="E223" s="269"/>
      <c r="F223" s="269">
        <v>0</v>
      </c>
      <c r="G223" s="269"/>
      <c r="H223" s="269">
        <f t="shared" si="33"/>
        <v>1000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2"/>
        <v>1000</v>
      </c>
      <c r="E224" s="221"/>
      <c r="F224" s="221">
        <v>0</v>
      </c>
      <c r="G224" s="221"/>
      <c r="H224" s="221">
        <f t="shared" si="33"/>
        <v>1000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2"/>
        <v>1000</v>
      </c>
      <c r="E225" s="221"/>
      <c r="F225" s="221">
        <v>0</v>
      </c>
      <c r="G225" s="221"/>
      <c r="H225" s="221">
        <f t="shared" si="33"/>
        <v>1000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2"/>
        <v>1000</v>
      </c>
      <c r="E226" s="221"/>
      <c r="F226" s="221">
        <v>0</v>
      </c>
      <c r="G226" s="221"/>
      <c r="H226" s="221">
        <f t="shared" si="33"/>
        <v>1000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2"/>
        <v>1000</v>
      </c>
      <c r="E227" s="221"/>
      <c r="F227" s="221">
        <v>0</v>
      </c>
      <c r="G227" s="221"/>
      <c r="H227" s="221">
        <f t="shared" si="33"/>
        <v>1000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2"/>
        <v>1000</v>
      </c>
      <c r="E228" s="269"/>
      <c r="F228" s="269">
        <v>0</v>
      </c>
      <c r="G228" s="269"/>
      <c r="H228" s="269">
        <f t="shared" si="33"/>
        <v>1000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2"/>
        <v>1000</v>
      </c>
      <c r="E229" s="221"/>
      <c r="F229" s="221">
        <v>0</v>
      </c>
      <c r="G229" s="221"/>
      <c r="H229" s="221">
        <f t="shared" si="33"/>
        <v>1000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2"/>
        <v>1000</v>
      </c>
      <c r="E230" s="221"/>
      <c r="F230" s="221">
        <v>0</v>
      </c>
      <c r="G230" s="221"/>
      <c r="H230" s="221">
        <f t="shared" si="33"/>
        <v>1000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2"/>
        <v>1000</v>
      </c>
      <c r="E231" s="221"/>
      <c r="F231" s="221">
        <v>0</v>
      </c>
      <c r="G231" s="221"/>
      <c r="H231" s="221">
        <f t="shared" si="33"/>
        <v>1000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2"/>
        <v>1000</v>
      </c>
      <c r="E232" s="221"/>
      <c r="F232" s="221">
        <v>0</v>
      </c>
      <c r="G232" s="221"/>
      <c r="H232" s="221">
        <f t="shared" si="33"/>
        <v>1000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2"/>
        <v>1000</v>
      </c>
      <c r="E233" s="269"/>
      <c r="F233" s="269">
        <v>0</v>
      </c>
      <c r="G233" s="269"/>
      <c r="H233" s="269">
        <f t="shared" si="33"/>
        <v>1000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333</v>
      </c>
      <c r="E241" s="257">
        <f t="array" ref="E241">IF(B60=B241,H60)</f>
        <v>333</v>
      </c>
      <c r="F241" s="257">
        <f t="array" ref="F241">IF(B115=B241,H115)</f>
        <v>309</v>
      </c>
      <c r="G241" s="257">
        <f t="array" ref="G241">IF(B162=B241,H162)</f>
        <v>507</v>
      </c>
      <c r="H241" s="257">
        <f t="array" ref="H241">IF(B212=B241,H212)</f>
        <v>548</v>
      </c>
      <c r="I241" s="257">
        <f t="shared" ref="I241:I262" si="34">IF(G241=0,AVERAGE(D241,E241,F241,H241),AVERAGE(D241:H241))</f>
        <v>406</v>
      </c>
      <c r="J241" s="266">
        <f t="shared" ref="J241:J262" si="35">ROUND(AVERAGE(D241,F241:G241),0)</f>
        <v>383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370</v>
      </c>
      <c r="E242" s="271">
        <f t="array" ref="E242">IF(B61=B242,H61)</f>
        <v>378</v>
      </c>
      <c r="F242" s="271">
        <f t="array" ref="F242">IF(B116=B242,H116)</f>
        <v>341</v>
      </c>
      <c r="G242" s="271">
        <f t="array" ref="G242">IF(B163=B242,H163)</f>
        <v>632</v>
      </c>
      <c r="H242" s="271">
        <f t="array" ref="H242">IF(B213=B242,H213)</f>
        <v>691</v>
      </c>
      <c r="I242" s="271">
        <f t="shared" si="34"/>
        <v>482.4</v>
      </c>
      <c r="J242" s="273">
        <f t="shared" si="35"/>
        <v>448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407</v>
      </c>
      <c r="E243" s="257">
        <f t="array" ref="E243">IF(B62=B243,H62)</f>
        <v>430</v>
      </c>
      <c r="F243" s="257">
        <f t="array" ref="F243">IF(B117=B243,H117)</f>
        <v>374</v>
      </c>
      <c r="G243" s="257">
        <f t="array" ref="G243">IF(B164=B243,H164)</f>
        <v>771</v>
      </c>
      <c r="H243" s="257">
        <f t="array" ref="H243">IF(B214=B243,H214)</f>
        <v>805</v>
      </c>
      <c r="I243" s="257">
        <f t="shared" si="34"/>
        <v>557.4</v>
      </c>
      <c r="J243" s="266">
        <f t="shared" si="35"/>
        <v>517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444</v>
      </c>
      <c r="E244" s="257">
        <f t="array" ref="E244">IF(B63=B244,H63)</f>
        <v>489</v>
      </c>
      <c r="F244" s="257">
        <f t="array" ref="F244">IF(B118=B244,H118)</f>
        <v>406</v>
      </c>
      <c r="G244" s="257">
        <f t="array" ref="G244">IF(B165=B244,H165)</f>
        <v>925</v>
      </c>
      <c r="H244" s="257">
        <f t="array" ref="H244">IF(B215=B244,H215)</f>
        <v>884</v>
      </c>
      <c r="I244" s="257">
        <f t="shared" si="34"/>
        <v>629.6</v>
      </c>
      <c r="J244" s="266">
        <f t="shared" si="35"/>
        <v>592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481</v>
      </c>
      <c r="E245" s="257">
        <f t="array" ref="E245">IF(B64=B245,H64)</f>
        <v>555</v>
      </c>
      <c r="F245" s="257">
        <f t="array" ref="F245">IF(B119=B245,H119)</f>
        <v>439</v>
      </c>
      <c r="G245" s="257">
        <f t="array" ref="G245">IF(B166=B245,H166)</f>
        <v>1094</v>
      </c>
      <c r="H245" s="257">
        <f t="array" ref="H245">IF(B216=B245,H216)</f>
        <v>934</v>
      </c>
      <c r="I245" s="257">
        <f t="shared" si="34"/>
        <v>700.6</v>
      </c>
      <c r="J245" s="266">
        <f t="shared" si="35"/>
        <v>671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518</v>
      </c>
      <c r="E246" s="257">
        <f t="array" ref="E246">IF(B65=B246,H65)</f>
        <v>631</v>
      </c>
      <c r="F246" s="257">
        <f t="array" ref="F246">IF(B120=B246,H120)</f>
        <v>472</v>
      </c>
      <c r="G246" s="257">
        <f t="array" ref="G246">IF(B167=B246,H167)</f>
        <v>1277</v>
      </c>
      <c r="H246" s="257">
        <f t="array" ref="H246">IF(B217=B246,H217)</f>
        <v>963</v>
      </c>
      <c r="I246" s="257">
        <f t="shared" si="34"/>
        <v>772.2</v>
      </c>
      <c r="J246" s="266">
        <f t="shared" si="35"/>
        <v>756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555</v>
      </c>
      <c r="E247" s="271">
        <f t="array" ref="E247">IF(B66=B247,H66)</f>
        <v>717</v>
      </c>
      <c r="F247" s="271">
        <f t="array" ref="F247">IF(B121=B247,H121)</f>
        <v>504</v>
      </c>
      <c r="G247" s="271">
        <f t="array" ref="G247">IF(B168=B247,H168)</f>
        <v>1476</v>
      </c>
      <c r="H247" s="271">
        <f t="array" ref="H247">IF(B218=B247,H218)</f>
        <v>980</v>
      </c>
      <c r="I247" s="271">
        <f t="shared" si="34"/>
        <v>846.4</v>
      </c>
      <c r="J247" s="273">
        <f t="shared" si="35"/>
        <v>845</v>
      </c>
      <c r="K247" s="272"/>
      <c r="L247" s="203"/>
      <c r="M247" s="203"/>
      <c r="N247" s="203"/>
      <c r="O247" s="203"/>
    </row>
    <row r="248" spans="1:15" ht="15" customHeight="1">
      <c r="A248" s="203"/>
      <c r="B248" s="220">
        <v>2021</v>
      </c>
      <c r="C248" s="221"/>
      <c r="D248" s="257">
        <f t="array" ref="D248">IF(B33=B248,H33)</f>
        <v>592</v>
      </c>
      <c r="E248" s="257">
        <f t="array" ref="E248">IF(B67=B248,H67)</f>
        <v>815</v>
      </c>
      <c r="F248" s="257">
        <f t="array" ref="F248">IF(B122=B248,H122)</f>
        <v>537</v>
      </c>
      <c r="G248" s="257">
        <f t="array" ref="G248">IF(B169=B248,H169)</f>
        <v>1689</v>
      </c>
      <c r="H248" s="257">
        <f t="array" ref="H248">IF(B219=B248,H219)</f>
        <v>989</v>
      </c>
      <c r="I248" s="257">
        <f t="shared" si="34"/>
        <v>924.4</v>
      </c>
      <c r="J248" s="266">
        <f t="shared" si="35"/>
        <v>939</v>
      </c>
      <c r="K248" s="258"/>
      <c r="L248" s="203"/>
      <c r="M248" s="203"/>
      <c r="N248" s="203"/>
      <c r="O248" s="203"/>
    </row>
    <row r="249" spans="1:15" ht="15" customHeight="1">
      <c r="A249" s="203"/>
      <c r="B249" s="220">
        <v>2022</v>
      </c>
      <c r="C249" s="221"/>
      <c r="D249" s="257">
        <f t="array" ref="D249">IF(B34=B249,H34)</f>
        <v>629</v>
      </c>
      <c r="E249" s="257">
        <f t="array" ref="E249">IF(B68=B249,H68)</f>
        <v>927</v>
      </c>
      <c r="F249" s="257">
        <f t="array" ref="F249">IF(B123=B249,H123)</f>
        <v>569</v>
      </c>
      <c r="G249" s="257">
        <f t="array" ref="G249">IF(B170=B249,H170)</f>
        <v>1917</v>
      </c>
      <c r="H249" s="257">
        <f t="array" ref="H249">IF(B220=B249,H220)</f>
        <v>994</v>
      </c>
      <c r="I249" s="257">
        <f t="shared" si="34"/>
        <v>1007.2</v>
      </c>
      <c r="J249" s="266">
        <f t="shared" si="35"/>
        <v>1038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666</v>
      </c>
      <c r="E250" s="257">
        <f t="array" ref="E250">IF(B69=B250,H69)</f>
        <v>1053</v>
      </c>
      <c r="F250" s="257">
        <f t="array" ref="F250">IF(B124=B250,H124)</f>
        <v>602</v>
      </c>
      <c r="G250" s="257">
        <f t="array" ref="G250">IF(B171=B250,H171)</f>
        <v>2161</v>
      </c>
      <c r="H250" s="257">
        <f t="array" ref="H250">IF(B221=B250,H221)</f>
        <v>997</v>
      </c>
      <c r="I250" s="257">
        <f t="shared" si="34"/>
        <v>1095.8</v>
      </c>
      <c r="J250" s="266">
        <f t="shared" si="35"/>
        <v>1143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703</v>
      </c>
      <c r="E251" s="257">
        <f t="array" ref="E251">IF(B70=B251,H70)</f>
        <v>1197</v>
      </c>
      <c r="F251" s="257">
        <f t="array" ref="F251">IF(B125=B251,H125)</f>
        <v>634</v>
      </c>
      <c r="G251" s="257">
        <f t="array" ref="G251">IF(B172=B251,H172)</f>
        <v>2419</v>
      </c>
      <c r="H251" s="257">
        <f t="array" ref="H251">IF(B222=B251,H222)</f>
        <v>999</v>
      </c>
      <c r="I251" s="257">
        <f t="shared" si="34"/>
        <v>1190.4000000000001</v>
      </c>
      <c r="J251" s="266">
        <f t="shared" si="35"/>
        <v>1252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740</v>
      </c>
      <c r="E252" s="271">
        <f t="array" ref="E252">IF(B71=B252,H71)</f>
        <v>1360</v>
      </c>
      <c r="F252" s="271">
        <f t="array" ref="F252">IF(B126=B252,H126)</f>
        <v>667</v>
      </c>
      <c r="G252" s="271">
        <f t="array" ref="G252">IF(B173=B252,H173)</f>
        <v>2693</v>
      </c>
      <c r="H252" s="271">
        <f t="array" ref="H252">IF(B223=B252,H223)</f>
        <v>1000</v>
      </c>
      <c r="I252" s="271">
        <f t="shared" si="34"/>
        <v>1292</v>
      </c>
      <c r="J252" s="273">
        <f t="shared" si="35"/>
        <v>1367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777</v>
      </c>
      <c r="E253" s="257">
        <f t="array" ref="E253">IF(B72=B253,H72)</f>
        <v>1546</v>
      </c>
      <c r="F253" s="257">
        <f t="array" ref="F253">IF(B127=B253,H127)</f>
        <v>699</v>
      </c>
      <c r="G253" s="257">
        <f t="array" ref="G253">IF(B174=B253,H174)</f>
        <v>2983</v>
      </c>
      <c r="H253" s="257">
        <f t="array" ref="H253">IF(B224=B253,H224)</f>
        <v>1000</v>
      </c>
      <c r="I253" s="257">
        <f t="shared" si="34"/>
        <v>1401</v>
      </c>
      <c r="J253" s="266">
        <f t="shared" si="35"/>
        <v>1486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814</v>
      </c>
      <c r="E254" s="257">
        <f t="array" ref="E254">IF(B73=B254,H73)</f>
        <v>1757</v>
      </c>
      <c r="F254" s="257">
        <f t="array" ref="F254">IF(B128=B254,H128)</f>
        <v>732</v>
      </c>
      <c r="G254" s="257">
        <f t="array" ref="G254">IF(B175=B254,H175)</f>
        <v>3287</v>
      </c>
      <c r="H254" s="257">
        <f t="array" ref="H254">IF(B225=B254,H225)</f>
        <v>1000</v>
      </c>
      <c r="I254" s="257">
        <f t="shared" si="34"/>
        <v>1518</v>
      </c>
      <c r="J254" s="266">
        <f t="shared" si="35"/>
        <v>1611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851</v>
      </c>
      <c r="E255" s="257">
        <f t="array" ref="E255">IF(B74=B255,H74)</f>
        <v>1996</v>
      </c>
      <c r="F255" s="257">
        <f t="array" ref="F255">IF(B129=B255,H129)</f>
        <v>764</v>
      </c>
      <c r="G255" s="257">
        <f t="array" ref="G255">IF(B176=B255,H176)</f>
        <v>3608</v>
      </c>
      <c r="H255" s="257">
        <f t="array" ref="H255">IF(B226=B255,H226)</f>
        <v>1000</v>
      </c>
      <c r="I255" s="257">
        <f t="shared" si="34"/>
        <v>1643.8</v>
      </c>
      <c r="J255" s="266">
        <f t="shared" si="35"/>
        <v>1741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888</v>
      </c>
      <c r="E256" s="257">
        <f t="array" ref="E256">IF(B75=B256,H75)</f>
        <v>2269</v>
      </c>
      <c r="F256" s="257">
        <f t="array" ref="F256">IF(B130=B256,H130)</f>
        <v>797</v>
      </c>
      <c r="G256" s="257">
        <f t="array" ref="G256">IF(B177=B256,H177)</f>
        <v>3944</v>
      </c>
      <c r="H256" s="257">
        <f t="array" ref="H256">IF(B227=B256,H227)</f>
        <v>1000</v>
      </c>
      <c r="I256" s="257">
        <f t="shared" si="34"/>
        <v>1779.6</v>
      </c>
      <c r="J256" s="266">
        <f t="shared" si="35"/>
        <v>1876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925</v>
      </c>
      <c r="E257" s="271">
        <f t="array" ref="E257">IF(B76=B257,H76)</f>
        <v>2579</v>
      </c>
      <c r="F257" s="271">
        <f t="array" ref="F257">IF(B131=B257,H131)</f>
        <v>829</v>
      </c>
      <c r="G257" s="271">
        <f t="array" ref="G257">IF(B178=B257,H178)</f>
        <v>4295</v>
      </c>
      <c r="H257" s="271">
        <f t="array" ref="H257">IF(B228=B257,H228)</f>
        <v>1000</v>
      </c>
      <c r="I257" s="271">
        <f t="shared" si="34"/>
        <v>1925.6</v>
      </c>
      <c r="J257" s="273">
        <f t="shared" si="35"/>
        <v>2016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962</v>
      </c>
      <c r="E258" s="257">
        <f t="array" ref="E258">IF(B77=B258,H77)</f>
        <v>2930</v>
      </c>
      <c r="F258" s="257">
        <f t="array" ref="F258">IF(B132=B258,H132)</f>
        <v>862</v>
      </c>
      <c r="G258" s="257">
        <f t="array" ref="G258">IF(B179=B258,H179)</f>
        <v>4662</v>
      </c>
      <c r="H258" s="257">
        <f t="array" ref="H258">IF(B229=B258,H229)</f>
        <v>1000</v>
      </c>
      <c r="I258" s="257">
        <f t="shared" si="34"/>
        <v>2083.1999999999998</v>
      </c>
      <c r="J258" s="266">
        <f t="shared" si="35"/>
        <v>2162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999</v>
      </c>
      <c r="E259" s="257">
        <f t="array" ref="E259">IF(B78=B259,H78)</f>
        <v>3330</v>
      </c>
      <c r="F259" s="257">
        <f t="array" ref="F259">IF(B133=B259,H133)</f>
        <v>894</v>
      </c>
      <c r="G259" s="257">
        <f t="array" ref="G259">IF(B180=B259,H180)</f>
        <v>5045</v>
      </c>
      <c r="H259" s="257">
        <f t="array" ref="H259">IF(B230=B259,H230)</f>
        <v>1000</v>
      </c>
      <c r="I259" s="257">
        <f t="shared" si="34"/>
        <v>2253.6</v>
      </c>
      <c r="J259" s="266">
        <f t="shared" si="35"/>
        <v>2313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1036</v>
      </c>
      <c r="E260" s="257">
        <f t="array" ref="E260">IF(B79=B260,H79)</f>
        <v>3785</v>
      </c>
      <c r="F260" s="257">
        <f t="array" ref="F260">IF(B134=B260,H134)</f>
        <v>927</v>
      </c>
      <c r="G260" s="257">
        <f t="array" ref="G260">IF(B181=B260,H181)</f>
        <v>5444</v>
      </c>
      <c r="H260" s="257">
        <f t="array" ref="H260">IF(B231=B260,H231)</f>
        <v>1000</v>
      </c>
      <c r="I260" s="257">
        <f t="shared" si="34"/>
        <v>2438.4</v>
      </c>
      <c r="J260" s="266">
        <f t="shared" si="35"/>
        <v>2469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1073</v>
      </c>
      <c r="E261" s="257">
        <f t="array" ref="E261">IF(B80=B261,H80)</f>
        <v>4301</v>
      </c>
      <c r="F261" s="257">
        <f t="array" ref="F261">IF(B135=B261,H135)</f>
        <v>959</v>
      </c>
      <c r="G261" s="257">
        <f t="array" ref="G261">IF(B182=B261,H182)</f>
        <v>5859</v>
      </c>
      <c r="H261" s="257">
        <f t="array" ref="H261">IF(B232=B261,H232)</f>
        <v>1000</v>
      </c>
      <c r="I261" s="257">
        <f t="shared" si="34"/>
        <v>2638.4</v>
      </c>
      <c r="J261" s="266">
        <f t="shared" si="35"/>
        <v>2630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1110</v>
      </c>
      <c r="E262" s="271">
        <f t="array" ref="E262">IF(B81=B262,H81)</f>
        <v>4888</v>
      </c>
      <c r="F262" s="271">
        <f t="array" ref="F262">IF(B136=B262,H136)</f>
        <v>992</v>
      </c>
      <c r="G262" s="271">
        <f t="array" ref="G262">IF(B183=B262,H183)</f>
        <v>6290</v>
      </c>
      <c r="H262" s="271">
        <f t="array" ref="H262">IF(B233=B262,H233)</f>
        <v>1000</v>
      </c>
      <c r="I262" s="271">
        <f t="shared" si="34"/>
        <v>2856</v>
      </c>
      <c r="J262" s="273">
        <f t="shared" si="35"/>
        <v>2797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2251" t="s">
        <v>1325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2010</v>
      </c>
      <c r="C7" s="840"/>
      <c r="D7" s="844">
        <f>+'생극면(10년)'!D12</f>
        <v>443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840">
        <v>2011</v>
      </c>
      <c r="C8" s="840"/>
      <c r="D8" s="844">
        <f>+'생극면(10년)'!D13</f>
        <v>380</v>
      </c>
      <c r="E8" s="844"/>
      <c r="F8" s="206">
        <f>D8-D7</f>
        <v>-63</v>
      </c>
      <c r="G8" s="206"/>
      <c r="H8" s="207">
        <f>ROUND(F8/D7*100,2)</f>
        <v>-14.22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v>2012</v>
      </c>
      <c r="C9" s="840"/>
      <c r="D9" s="844">
        <f>+'생극면(10년)'!D14</f>
        <v>286</v>
      </c>
      <c r="E9" s="844"/>
      <c r="F9" s="206">
        <f>D9-D8</f>
        <v>-94</v>
      </c>
      <c r="G9" s="206"/>
      <c r="H9" s="207">
        <f>ROUND(F9/D8*100,2)</f>
        <v>-24.74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v>2013</v>
      </c>
      <c r="C10" s="840"/>
      <c r="D10" s="844">
        <f>+'생극면(10년)'!D15</f>
        <v>269</v>
      </c>
      <c r="E10" s="844"/>
      <c r="F10" s="206">
        <f>D10-D9</f>
        <v>-17</v>
      </c>
      <c r="G10" s="206"/>
      <c r="H10" s="207">
        <f>ROUND(F10/D9*100,2)</f>
        <v>-5.94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v>2014</v>
      </c>
      <c r="C11" s="840"/>
      <c r="D11" s="844">
        <f>+'생극면(10년)'!D16</f>
        <v>284</v>
      </c>
      <c r="E11" s="844"/>
      <c r="F11" s="206">
        <f>D11-D10</f>
        <v>15</v>
      </c>
      <c r="G11" s="206"/>
      <c r="H11" s="207">
        <f>ROUND(F11/D10*100,2)</f>
        <v>5.58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1662</v>
      </c>
      <c r="E12" s="214"/>
      <c r="F12" s="215"/>
      <c r="G12" s="215"/>
      <c r="H12" s="216">
        <f>SUM(H7:H11)</f>
        <v>-39.32</v>
      </c>
      <c r="I12" s="216"/>
      <c r="J12" s="217">
        <f>ROUND(AVERAGE(H7:H11),1)</f>
        <v>-7.9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284</v>
      </c>
      <c r="E21" s="221"/>
      <c r="F21" s="221">
        <v>0</v>
      </c>
      <c r="G21" s="221"/>
      <c r="H21" s="221">
        <f t="shared" ref="H21:H42" si="1">ROUND(D21*(1+F21),0)</f>
        <v>284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244</v>
      </c>
      <c r="E22" s="269"/>
      <c r="F22" s="269">
        <v>0</v>
      </c>
      <c r="G22" s="269"/>
      <c r="H22" s="269">
        <f t="shared" si="1"/>
        <v>244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204</v>
      </c>
      <c r="E23" s="221"/>
      <c r="F23" s="221">
        <v>0</v>
      </c>
      <c r="G23" s="221"/>
      <c r="H23" s="221">
        <f t="shared" si="1"/>
        <v>204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165</v>
      </c>
      <c r="E24" s="221"/>
      <c r="F24" s="221">
        <v>0</v>
      </c>
      <c r="G24" s="221"/>
      <c r="H24" s="221">
        <f t="shared" si="1"/>
        <v>165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125</v>
      </c>
      <c r="E25" s="221"/>
      <c r="F25" s="221">
        <v>0</v>
      </c>
      <c r="G25" s="221"/>
      <c r="H25" s="221">
        <f t="shared" si="1"/>
        <v>125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85</v>
      </c>
      <c r="E26" s="221"/>
      <c r="F26" s="221">
        <v>0</v>
      </c>
      <c r="G26" s="221"/>
      <c r="H26" s="221">
        <f t="shared" si="1"/>
        <v>85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45</v>
      </c>
      <c r="E27" s="269"/>
      <c r="F27" s="269">
        <v>0</v>
      </c>
      <c r="G27" s="269"/>
      <c r="H27" s="269">
        <f t="shared" si="1"/>
        <v>45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5</v>
      </c>
      <c r="E28" s="221"/>
      <c r="F28" s="221">
        <v>0</v>
      </c>
      <c r="G28" s="221"/>
      <c r="H28" s="221">
        <f t="shared" si="1"/>
        <v>5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-34</v>
      </c>
      <c r="E29" s="221"/>
      <c r="F29" s="221">
        <v>0</v>
      </c>
      <c r="G29" s="221"/>
      <c r="H29" s="221">
        <f t="shared" si="1"/>
        <v>-34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-74</v>
      </c>
      <c r="E30" s="221"/>
      <c r="F30" s="221">
        <v>0</v>
      </c>
      <c r="G30" s="221"/>
      <c r="H30" s="221">
        <f t="shared" si="1"/>
        <v>-74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-114</v>
      </c>
      <c r="E31" s="221"/>
      <c r="F31" s="221">
        <v>0</v>
      </c>
      <c r="G31" s="221"/>
      <c r="H31" s="221">
        <f t="shared" si="1"/>
        <v>-114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-154</v>
      </c>
      <c r="E32" s="269"/>
      <c r="F32" s="269">
        <v>0</v>
      </c>
      <c r="G32" s="269"/>
      <c r="H32" s="269">
        <f t="shared" si="1"/>
        <v>-154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-194</v>
      </c>
      <c r="E33" s="221"/>
      <c r="F33" s="221">
        <v>0</v>
      </c>
      <c r="G33" s="221"/>
      <c r="H33" s="221">
        <f t="shared" si="1"/>
        <v>-194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-233</v>
      </c>
      <c r="E34" s="221"/>
      <c r="F34" s="221">
        <v>0</v>
      </c>
      <c r="G34" s="221"/>
      <c r="H34" s="221">
        <f t="shared" si="1"/>
        <v>-233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-273</v>
      </c>
      <c r="E35" s="221"/>
      <c r="F35" s="221">
        <v>0</v>
      </c>
      <c r="G35" s="221"/>
      <c r="H35" s="221">
        <f t="shared" si="1"/>
        <v>-273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-313</v>
      </c>
      <c r="E36" s="221"/>
      <c r="F36" s="221">
        <v>0</v>
      </c>
      <c r="G36" s="221"/>
      <c r="H36" s="221">
        <f t="shared" si="1"/>
        <v>-313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-353</v>
      </c>
      <c r="E37" s="269"/>
      <c r="F37" s="269">
        <v>0</v>
      </c>
      <c r="G37" s="269"/>
      <c r="H37" s="269">
        <f t="shared" si="1"/>
        <v>-353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-393</v>
      </c>
      <c r="E38" s="221"/>
      <c r="F38" s="221">
        <v>0</v>
      </c>
      <c r="G38" s="221"/>
      <c r="H38" s="221">
        <f t="shared" si="1"/>
        <v>-393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-432</v>
      </c>
      <c r="E39" s="221"/>
      <c r="F39" s="221">
        <v>0</v>
      </c>
      <c r="G39" s="221"/>
      <c r="H39" s="221">
        <f t="shared" si="1"/>
        <v>-432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-472</v>
      </c>
      <c r="E40" s="221"/>
      <c r="F40" s="221">
        <v>0</v>
      </c>
      <c r="G40" s="221"/>
      <c r="H40" s="221">
        <f t="shared" si="1"/>
        <v>-472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-512</v>
      </c>
      <c r="E41" s="221"/>
      <c r="F41" s="221">
        <v>0</v>
      </c>
      <c r="G41" s="221"/>
      <c r="H41" s="221">
        <f t="shared" si="1"/>
        <v>-512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-552</v>
      </c>
      <c r="E42" s="269"/>
      <c r="F42" s="269">
        <v>0</v>
      </c>
      <c r="G42" s="269"/>
      <c r="H42" s="269">
        <f t="shared" si="1"/>
        <v>-552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284</v>
      </c>
      <c r="F43" s="226"/>
      <c r="G43" s="224" t="s">
        <v>162</v>
      </c>
      <c r="H43" s="224">
        <f>ROUND((D$11-D$7)/(COUNT(D$7:D$11)-1),1)</f>
        <v>-39.799999999999997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284</v>
      </c>
      <c r="E55" s="221"/>
      <c r="F55" s="221">
        <v>0</v>
      </c>
      <c r="G55" s="221"/>
      <c r="H55" s="221">
        <f t="shared" ref="H55:H76" si="3">ROUND(D55*(1+F55),0)</f>
        <v>284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254</v>
      </c>
      <c r="E56" s="269"/>
      <c r="F56" s="269">
        <v>0</v>
      </c>
      <c r="G56" s="269"/>
      <c r="H56" s="269">
        <f t="shared" si="3"/>
        <v>254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227</v>
      </c>
      <c r="E57" s="221"/>
      <c r="F57" s="221">
        <v>0</v>
      </c>
      <c r="G57" s="221"/>
      <c r="H57" s="221">
        <f t="shared" si="3"/>
        <v>227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203</v>
      </c>
      <c r="E58" s="221"/>
      <c r="F58" s="221">
        <v>0</v>
      </c>
      <c r="G58" s="221"/>
      <c r="H58" s="221">
        <f t="shared" si="3"/>
        <v>203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182</v>
      </c>
      <c r="E59" s="221"/>
      <c r="F59" s="221">
        <v>0</v>
      </c>
      <c r="G59" s="221"/>
      <c r="H59" s="221">
        <f t="shared" si="3"/>
        <v>182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163</v>
      </c>
      <c r="E60" s="221"/>
      <c r="F60" s="221">
        <v>0</v>
      </c>
      <c r="G60" s="221"/>
      <c r="H60" s="221">
        <f t="shared" si="3"/>
        <v>163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146</v>
      </c>
      <c r="E61" s="269"/>
      <c r="F61" s="269">
        <v>0</v>
      </c>
      <c r="G61" s="269"/>
      <c r="H61" s="269">
        <f t="shared" si="3"/>
        <v>146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130</v>
      </c>
      <c r="E62" s="221"/>
      <c r="F62" s="221">
        <v>0</v>
      </c>
      <c r="G62" s="221"/>
      <c r="H62" s="221">
        <f t="shared" si="3"/>
        <v>130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117</v>
      </c>
      <c r="E63" s="221"/>
      <c r="F63" s="221">
        <v>0</v>
      </c>
      <c r="G63" s="221"/>
      <c r="H63" s="221">
        <f t="shared" si="3"/>
        <v>117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104</v>
      </c>
      <c r="E64" s="221"/>
      <c r="F64" s="221">
        <v>0</v>
      </c>
      <c r="G64" s="221"/>
      <c r="H64" s="221">
        <f t="shared" si="3"/>
        <v>104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93</v>
      </c>
      <c r="E65" s="221"/>
      <c r="F65" s="221">
        <v>0</v>
      </c>
      <c r="G65" s="221"/>
      <c r="H65" s="221">
        <f t="shared" si="3"/>
        <v>93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84</v>
      </c>
      <c r="E66" s="269"/>
      <c r="F66" s="269">
        <v>0</v>
      </c>
      <c r="G66" s="269"/>
      <c r="H66" s="269">
        <f t="shared" si="3"/>
        <v>84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75</v>
      </c>
      <c r="E67" s="221"/>
      <c r="F67" s="221">
        <v>0</v>
      </c>
      <c r="G67" s="221"/>
      <c r="H67" s="221">
        <f t="shared" si="3"/>
        <v>75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67</v>
      </c>
      <c r="E68" s="221"/>
      <c r="F68" s="221">
        <v>0</v>
      </c>
      <c r="G68" s="221"/>
      <c r="H68" s="221">
        <f t="shared" si="3"/>
        <v>67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60</v>
      </c>
      <c r="E69" s="221"/>
      <c r="F69" s="221">
        <v>0</v>
      </c>
      <c r="G69" s="221"/>
      <c r="H69" s="221">
        <f t="shared" si="3"/>
        <v>60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54</v>
      </c>
      <c r="E70" s="221"/>
      <c r="F70" s="221">
        <v>0</v>
      </c>
      <c r="G70" s="221"/>
      <c r="H70" s="221">
        <f t="shared" si="3"/>
        <v>54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48</v>
      </c>
      <c r="E71" s="269"/>
      <c r="F71" s="269">
        <v>0</v>
      </c>
      <c r="G71" s="269"/>
      <c r="H71" s="269">
        <f t="shared" si="3"/>
        <v>48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43</v>
      </c>
      <c r="E72" s="221"/>
      <c r="F72" s="221">
        <v>0</v>
      </c>
      <c r="G72" s="221"/>
      <c r="H72" s="221">
        <f t="shared" si="3"/>
        <v>43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38</v>
      </c>
      <c r="E73" s="221"/>
      <c r="F73" s="221">
        <v>0</v>
      </c>
      <c r="G73" s="221"/>
      <c r="H73" s="221">
        <f t="shared" si="3"/>
        <v>38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34</v>
      </c>
      <c r="E74" s="221"/>
      <c r="F74" s="221">
        <v>0</v>
      </c>
      <c r="G74" s="221"/>
      <c r="H74" s="221">
        <f t="shared" si="3"/>
        <v>34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31</v>
      </c>
      <c r="E75" s="221"/>
      <c r="F75" s="221">
        <v>0</v>
      </c>
      <c r="G75" s="221"/>
      <c r="H75" s="221">
        <f t="shared" si="3"/>
        <v>31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28</v>
      </c>
      <c r="E76" s="269"/>
      <c r="F76" s="269">
        <v>0</v>
      </c>
      <c r="G76" s="269"/>
      <c r="H76" s="269">
        <f t="shared" si="3"/>
        <v>28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284</v>
      </c>
      <c r="F77" s="226"/>
      <c r="G77" s="224" t="s">
        <v>179</v>
      </c>
      <c r="H77" s="224">
        <f>ROUND((E$77/D$7)^(1/(COUNT(D$7:D$11)-1)),6)</f>
        <v>0.89480599999999999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840">
        <f>B7</f>
        <v>2010</v>
      </c>
      <c r="C94" s="840"/>
      <c r="D94" s="208">
        <f>VLOOKUP(B94,B$7:E$11,3,FALSE)</f>
        <v>443</v>
      </c>
      <c r="E94" s="840">
        <f>((COUNT(B$94:B$98)-1)/2)+(B94-$C$4)</f>
        <v>-2</v>
      </c>
      <c r="F94" s="208">
        <f>E94^2</f>
        <v>4</v>
      </c>
      <c r="G94" s="206"/>
      <c r="H94" s="230">
        <f>ROUND(D94*E94,2)</f>
        <v>-886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>B8</f>
        <v>2011</v>
      </c>
      <c r="C95" s="840"/>
      <c r="D95" s="208">
        <f>VLOOKUP(B95,B$7:E$11,3,FALSE)</f>
        <v>380</v>
      </c>
      <c r="E95" s="840">
        <f>((COUNT(B$94:B$98)-1)/2)+(B95-$C$4)</f>
        <v>-1</v>
      </c>
      <c r="F95" s="208">
        <f>E95^2</f>
        <v>1</v>
      </c>
      <c r="G95" s="206"/>
      <c r="H95" s="230">
        <f>ROUND(D95*E95,2)</f>
        <v>-380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>B9</f>
        <v>2012</v>
      </c>
      <c r="C96" s="840"/>
      <c r="D96" s="208">
        <f>VLOOKUP(B96,B$7:E$11,3,FALSE)</f>
        <v>286</v>
      </c>
      <c r="E96" s="840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840">
        <f>B10</f>
        <v>2013</v>
      </c>
      <c r="C97" s="840"/>
      <c r="D97" s="208">
        <f>VLOOKUP(B97,B$7:E$11,3,FALSE)</f>
        <v>269</v>
      </c>
      <c r="E97" s="840">
        <f>((COUNT(B$94:B$98)-1)/2)+(B97-$C$4)</f>
        <v>1</v>
      </c>
      <c r="F97" s="208">
        <f>E97^2</f>
        <v>1</v>
      </c>
      <c r="G97" s="206"/>
      <c r="H97" s="230">
        <f>ROUND(D97*E97,2)</f>
        <v>269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840">
        <f>B11</f>
        <v>2014</v>
      </c>
      <c r="C98" s="840"/>
      <c r="D98" s="208">
        <f>VLOOKUP(B98,B$7:E$11,3,FALSE)</f>
        <v>284</v>
      </c>
      <c r="E98" s="840">
        <f>((COUNT(B$94:B$98)-1)/2)+(B98-$C$4)</f>
        <v>2</v>
      </c>
      <c r="F98" s="208">
        <f>E98^2</f>
        <v>4</v>
      </c>
      <c r="G98" s="206"/>
      <c r="H98" s="230">
        <f>ROUND(D98*E98,2)</f>
        <v>568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1662</v>
      </c>
      <c r="E99" s="215"/>
      <c r="F99" s="233">
        <f>ROUND(SUM(F94:F98),0)</f>
        <v>10</v>
      </c>
      <c r="G99" s="212"/>
      <c r="H99" s="211">
        <f>SUM(H94:H98)</f>
        <v>-429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-42.9</v>
      </c>
      <c r="H100" s="236" t="s">
        <v>199</v>
      </c>
      <c r="I100" s="201"/>
      <c r="J100" s="201"/>
      <c r="K100" s="201">
        <f>ROUND((F99*D99-H99*E99)/(COUNT(B$94:B$98)*F99-E99*E99),0)</f>
        <v>332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247</v>
      </c>
      <c r="E105" s="221"/>
      <c r="F105" s="221">
        <v>0</v>
      </c>
      <c r="G105" s="221"/>
      <c r="H105" s="221">
        <f t="shared" ref="H105:H126" si="5">ROUND(D105*(1+F105),0)</f>
        <v>247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204</v>
      </c>
      <c r="E106" s="269"/>
      <c r="F106" s="269">
        <v>0</v>
      </c>
      <c r="G106" s="269"/>
      <c r="H106" s="269">
        <f t="shared" si="5"/>
        <v>204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161</v>
      </c>
      <c r="E107" s="221"/>
      <c r="F107" s="221">
        <v>0</v>
      </c>
      <c r="G107" s="221"/>
      <c r="H107" s="221">
        <f t="shared" si="5"/>
        <v>161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118</v>
      </c>
      <c r="E108" s="221"/>
      <c r="F108" s="221">
        <v>0</v>
      </c>
      <c r="G108" s="221"/>
      <c r="H108" s="221">
        <f t="shared" si="5"/>
        <v>118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75</v>
      </c>
      <c r="E109" s="221"/>
      <c r="F109" s="221">
        <v>0</v>
      </c>
      <c r="G109" s="221"/>
      <c r="H109" s="221">
        <f t="shared" si="5"/>
        <v>75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32</v>
      </c>
      <c r="E110" s="221"/>
      <c r="F110" s="221">
        <v>0</v>
      </c>
      <c r="G110" s="221"/>
      <c r="H110" s="221">
        <f t="shared" si="5"/>
        <v>32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-12</v>
      </c>
      <c r="E111" s="269"/>
      <c r="F111" s="269">
        <v>0</v>
      </c>
      <c r="G111" s="269"/>
      <c r="H111" s="269">
        <f t="shared" si="5"/>
        <v>-12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-55</v>
      </c>
      <c r="E112" s="221"/>
      <c r="F112" s="221">
        <v>0</v>
      </c>
      <c r="G112" s="221"/>
      <c r="H112" s="221">
        <f t="shared" si="5"/>
        <v>-55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-97</v>
      </c>
      <c r="E113" s="221"/>
      <c r="F113" s="221">
        <v>0</v>
      </c>
      <c r="G113" s="221"/>
      <c r="H113" s="221">
        <f t="shared" si="5"/>
        <v>-97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-140</v>
      </c>
      <c r="E114" s="221"/>
      <c r="F114" s="221">
        <v>0</v>
      </c>
      <c r="G114" s="221"/>
      <c r="H114" s="221">
        <f t="shared" si="5"/>
        <v>-140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-183</v>
      </c>
      <c r="E115" s="221"/>
      <c r="F115" s="221">
        <v>0</v>
      </c>
      <c r="G115" s="221"/>
      <c r="H115" s="221">
        <f t="shared" si="5"/>
        <v>-183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-226</v>
      </c>
      <c r="E116" s="269"/>
      <c r="F116" s="269">
        <v>0</v>
      </c>
      <c r="G116" s="269"/>
      <c r="H116" s="269">
        <f t="shared" si="5"/>
        <v>-226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-269</v>
      </c>
      <c r="E117" s="221"/>
      <c r="F117" s="221">
        <v>0</v>
      </c>
      <c r="G117" s="221"/>
      <c r="H117" s="221">
        <f t="shared" si="5"/>
        <v>-269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-312</v>
      </c>
      <c r="E118" s="221"/>
      <c r="F118" s="221">
        <v>0</v>
      </c>
      <c r="G118" s="221"/>
      <c r="H118" s="221">
        <f t="shared" si="5"/>
        <v>-312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-355</v>
      </c>
      <c r="E119" s="221"/>
      <c r="F119" s="221">
        <v>0</v>
      </c>
      <c r="G119" s="221"/>
      <c r="H119" s="221">
        <f t="shared" si="5"/>
        <v>-355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-398</v>
      </c>
      <c r="E120" s="221"/>
      <c r="F120" s="221">
        <v>0</v>
      </c>
      <c r="G120" s="221"/>
      <c r="H120" s="221">
        <f t="shared" si="5"/>
        <v>-398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-441</v>
      </c>
      <c r="E121" s="269"/>
      <c r="F121" s="269">
        <v>0</v>
      </c>
      <c r="G121" s="269"/>
      <c r="H121" s="269">
        <f t="shared" si="5"/>
        <v>-441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-484</v>
      </c>
      <c r="E122" s="221"/>
      <c r="F122" s="221">
        <v>0</v>
      </c>
      <c r="G122" s="221"/>
      <c r="H122" s="221">
        <f t="shared" si="5"/>
        <v>-484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-526</v>
      </c>
      <c r="E123" s="221"/>
      <c r="F123" s="221">
        <v>0</v>
      </c>
      <c r="G123" s="221"/>
      <c r="H123" s="221">
        <f t="shared" si="5"/>
        <v>-526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-569</v>
      </c>
      <c r="E124" s="221"/>
      <c r="F124" s="221">
        <v>0</v>
      </c>
      <c r="G124" s="221"/>
      <c r="H124" s="221">
        <f t="shared" si="5"/>
        <v>-569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-612</v>
      </c>
      <c r="E125" s="221"/>
      <c r="F125" s="221">
        <v>0</v>
      </c>
      <c r="G125" s="221"/>
      <c r="H125" s="221">
        <f t="shared" si="5"/>
        <v>-612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-655</v>
      </c>
      <c r="E126" s="269"/>
      <c r="F126" s="269">
        <v>0</v>
      </c>
      <c r="G126" s="269"/>
      <c r="H126" s="269">
        <f t="shared" si="5"/>
        <v>-655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840">
        <f>B94</f>
        <v>2010</v>
      </c>
      <c r="C136" s="840"/>
      <c r="D136" s="208">
        <f>VLOOKUP(B136,B$7:E$11,3,FALSE)</f>
        <v>443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840">
        <f>B95</f>
        <v>2011</v>
      </c>
      <c r="C137" s="840"/>
      <c r="D137" s="208">
        <f>VLOOKUP(B137,B$7:E$11,3,FALSE)</f>
        <v>380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63</v>
      </c>
      <c r="I137" s="231"/>
      <c r="J137" s="247">
        <f>IF(H137="","",LOG(H137))</f>
        <v>1.7993405494535817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840">
        <f>B96</f>
        <v>2012</v>
      </c>
      <c r="C138" s="840"/>
      <c r="D138" s="208">
        <f>VLOOKUP(B138,B$7:E$11,3,FALSE)</f>
        <v>286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157</v>
      </c>
      <c r="I138" s="231"/>
      <c r="J138" s="247">
        <f>IF(H138="","",LOG(H138))</f>
        <v>2.1958996524092336</v>
      </c>
      <c r="K138" s="247">
        <f>IF(J138="","",J138*F138)</f>
        <v>0.6610316628432894</v>
      </c>
      <c r="L138" s="203"/>
      <c r="M138" s="203"/>
      <c r="N138" s="203"/>
      <c r="O138" s="203"/>
    </row>
    <row r="139" spans="1:15" ht="15" customHeight="1">
      <c r="A139" s="203"/>
      <c r="B139" s="840">
        <f>B97</f>
        <v>2013</v>
      </c>
      <c r="C139" s="840"/>
      <c r="D139" s="208">
        <f>VLOOKUP(B139,B$7:E$11,3,FALSE)</f>
        <v>269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174</v>
      </c>
      <c r="I139" s="231"/>
      <c r="J139" s="247">
        <f>IF(H139="","",LOG(H139))</f>
        <v>2.2405492482825999</v>
      </c>
      <c r="K139" s="247">
        <f>IF(J139="","",J139*F139)</f>
        <v>1.0690136686017906</v>
      </c>
      <c r="L139" s="203"/>
      <c r="M139" s="203"/>
      <c r="N139" s="203"/>
      <c r="O139" s="203"/>
    </row>
    <row r="140" spans="1:15" ht="15" customHeight="1">
      <c r="A140" s="203"/>
      <c r="B140" s="840">
        <f>B98</f>
        <v>2014</v>
      </c>
      <c r="C140" s="840"/>
      <c r="D140" s="208">
        <f>VLOOKUP(B140,B$7:E$11,3,FALSE)</f>
        <v>284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159</v>
      </c>
      <c r="I140" s="231"/>
      <c r="J140" s="247">
        <f>IF(H140="","",LOG(H140))</f>
        <v>2.2013971243204513</v>
      </c>
      <c r="K140" s="247">
        <f>IF(J140="","",J140*F140)</f>
        <v>1.3253731335777723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8.4371865744658656</v>
      </c>
      <c r="K141" s="253">
        <f>IF(K140="","",SUM(K136:K140))</f>
        <v>3.0554184650228522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20.152732751824779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0.70487999999999995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497</v>
      </c>
      <c r="E147" s="257"/>
      <c r="F147" s="844">
        <v>0</v>
      </c>
      <c r="G147" s="844"/>
      <c r="H147" s="844">
        <f t="shared" ref="H147:H168" si="7">ROUND(D147*(1+F147),0)</f>
        <v>497</v>
      </c>
      <c r="I147" s="844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506</v>
      </c>
      <c r="E148" s="271"/>
      <c r="F148" s="272">
        <v>0</v>
      </c>
      <c r="G148" s="272"/>
      <c r="H148" s="272">
        <f t="shared" si="7"/>
        <v>506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515</v>
      </c>
      <c r="E149" s="257"/>
      <c r="F149" s="258">
        <v>0</v>
      </c>
      <c r="G149" s="258"/>
      <c r="H149" s="258">
        <f t="shared" si="7"/>
        <v>515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523</v>
      </c>
      <c r="E150" s="257"/>
      <c r="F150" s="258">
        <v>0</v>
      </c>
      <c r="G150" s="258"/>
      <c r="H150" s="258">
        <f t="shared" si="7"/>
        <v>523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531</v>
      </c>
      <c r="E151" s="257"/>
      <c r="F151" s="258">
        <v>0</v>
      </c>
      <c r="G151" s="258"/>
      <c r="H151" s="258">
        <f t="shared" si="7"/>
        <v>531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538</v>
      </c>
      <c r="E152" s="257"/>
      <c r="F152" s="258">
        <v>0</v>
      </c>
      <c r="G152" s="258"/>
      <c r="H152" s="258">
        <f t="shared" si="7"/>
        <v>538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546</v>
      </c>
      <c r="E153" s="271"/>
      <c r="F153" s="272">
        <v>0</v>
      </c>
      <c r="G153" s="272"/>
      <c r="H153" s="272">
        <f t="shared" si="7"/>
        <v>546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553</v>
      </c>
      <c r="E154" s="257"/>
      <c r="F154" s="258">
        <v>0</v>
      </c>
      <c r="G154" s="258"/>
      <c r="H154" s="258">
        <f t="shared" si="7"/>
        <v>553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560</v>
      </c>
      <c r="E155" s="257"/>
      <c r="F155" s="258">
        <v>0</v>
      </c>
      <c r="G155" s="258"/>
      <c r="H155" s="258">
        <f t="shared" si="7"/>
        <v>560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566</v>
      </c>
      <c r="E156" s="257"/>
      <c r="F156" s="258">
        <v>0</v>
      </c>
      <c r="G156" s="258"/>
      <c r="H156" s="258">
        <f t="shared" si="7"/>
        <v>566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573</v>
      </c>
      <c r="E157" s="257"/>
      <c r="F157" s="258">
        <v>0</v>
      </c>
      <c r="G157" s="258"/>
      <c r="H157" s="258">
        <f t="shared" si="7"/>
        <v>573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579</v>
      </c>
      <c r="E158" s="271"/>
      <c r="F158" s="272">
        <v>0</v>
      </c>
      <c r="G158" s="272"/>
      <c r="H158" s="272">
        <f t="shared" si="7"/>
        <v>579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586</v>
      </c>
      <c r="E159" s="257"/>
      <c r="F159" s="258">
        <v>0</v>
      </c>
      <c r="G159" s="258"/>
      <c r="H159" s="258">
        <f t="shared" si="7"/>
        <v>586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592</v>
      </c>
      <c r="E160" s="257"/>
      <c r="F160" s="258">
        <v>0</v>
      </c>
      <c r="G160" s="258"/>
      <c r="H160" s="258">
        <f t="shared" si="7"/>
        <v>592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598</v>
      </c>
      <c r="E161" s="257"/>
      <c r="F161" s="258">
        <v>0</v>
      </c>
      <c r="G161" s="258"/>
      <c r="H161" s="258">
        <f t="shared" si="7"/>
        <v>598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604</v>
      </c>
      <c r="E162" s="257"/>
      <c r="F162" s="258">
        <v>0</v>
      </c>
      <c r="G162" s="258"/>
      <c r="H162" s="258">
        <f t="shared" si="7"/>
        <v>604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610</v>
      </c>
      <c r="E163" s="271"/>
      <c r="F163" s="272">
        <v>0</v>
      </c>
      <c r="G163" s="272"/>
      <c r="H163" s="272">
        <f t="shared" si="7"/>
        <v>610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616</v>
      </c>
      <c r="E164" s="257"/>
      <c r="F164" s="258">
        <v>0</v>
      </c>
      <c r="G164" s="258"/>
      <c r="H164" s="258">
        <f t="shared" si="7"/>
        <v>616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622</v>
      </c>
      <c r="E165" s="257"/>
      <c r="F165" s="258">
        <v>0</v>
      </c>
      <c r="G165" s="258"/>
      <c r="H165" s="258">
        <f t="shared" si="7"/>
        <v>622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627</v>
      </c>
      <c r="E166" s="257"/>
      <c r="F166" s="258">
        <v>0</v>
      </c>
      <c r="G166" s="258"/>
      <c r="H166" s="258">
        <f t="shared" si="7"/>
        <v>627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633</v>
      </c>
      <c r="E167" s="257"/>
      <c r="F167" s="258">
        <v>0</v>
      </c>
      <c r="G167" s="258"/>
      <c r="H167" s="258">
        <f t="shared" si="7"/>
        <v>633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638</v>
      </c>
      <c r="E168" s="271"/>
      <c r="F168" s="272">
        <v>0</v>
      </c>
      <c r="G168" s="272"/>
      <c r="H168" s="272">
        <f t="shared" si="7"/>
        <v>638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1000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840">
        <f>B136</f>
        <v>2010</v>
      </c>
      <c r="C180" s="840"/>
      <c r="D180" s="208">
        <f>VLOOKUP(B180,B$7:E$11,3,FALSE)</f>
        <v>443</v>
      </c>
      <c r="E180" s="244">
        <f>((COUNT(B$180:B$184)-1)/2)+(B180-$C$4)</f>
        <v>-2</v>
      </c>
      <c r="F180" s="206">
        <f>E180^2</f>
        <v>4</v>
      </c>
      <c r="G180" s="844">
        <f>E$177-D180</f>
        <v>557</v>
      </c>
      <c r="H180" s="259">
        <f>LOG(D180)</f>
        <v>2.6464037262230695</v>
      </c>
      <c r="I180" s="245">
        <f>LOG(G180)</f>
        <v>2.7458551951737289</v>
      </c>
      <c r="J180" s="246">
        <f>H180-I180</f>
        <v>-9.9451468950659372E-2</v>
      </c>
      <c r="K180" s="246">
        <f>E180*J180</f>
        <v>0.19890293790131874</v>
      </c>
      <c r="L180" s="203"/>
      <c r="M180" s="203"/>
      <c r="N180" s="203"/>
      <c r="O180" s="203"/>
    </row>
    <row r="181" spans="1:15" ht="15" customHeight="1">
      <c r="A181" s="203"/>
      <c r="B181" s="840">
        <f>B137</f>
        <v>2011</v>
      </c>
      <c r="C181" s="840"/>
      <c r="D181" s="208">
        <f>VLOOKUP(B181,B$7:E$11,3,FALSE)</f>
        <v>380</v>
      </c>
      <c r="E181" s="244">
        <f>((COUNT(B$180:B$184)-1)/2)+(B181-$C$4)</f>
        <v>-1</v>
      </c>
      <c r="F181" s="206">
        <f>E181^2</f>
        <v>1</v>
      </c>
      <c r="G181" s="844">
        <f>E$177-D181</f>
        <v>620</v>
      </c>
      <c r="H181" s="259">
        <f>LOG(D181)</f>
        <v>2.5797835966168101</v>
      </c>
      <c r="I181" s="245">
        <f>LOG(G181)</f>
        <v>2.7923916894982539</v>
      </c>
      <c r="J181" s="246">
        <f>H181-I181</f>
        <v>-0.21260809288144378</v>
      </c>
      <c r="K181" s="246">
        <f>E181*J181</f>
        <v>0.21260809288144378</v>
      </c>
      <c r="L181" s="203"/>
      <c r="M181" s="203"/>
      <c r="N181" s="203"/>
      <c r="O181" s="203"/>
    </row>
    <row r="182" spans="1:15" ht="15" customHeight="1">
      <c r="A182" s="203"/>
      <c r="B182" s="840">
        <f>B138</f>
        <v>2012</v>
      </c>
      <c r="C182" s="840"/>
      <c r="D182" s="208">
        <f>VLOOKUP(B182,B$7:E$11,3,FALSE)</f>
        <v>286</v>
      </c>
      <c r="E182" s="244">
        <f>((COUNT(B$180:B$184)-1)/2)+(B182-$C$4)</f>
        <v>0</v>
      </c>
      <c r="F182" s="206">
        <f>E182^2</f>
        <v>0</v>
      </c>
      <c r="G182" s="844">
        <f>E$177-D182</f>
        <v>714</v>
      </c>
      <c r="H182" s="259">
        <f>LOG(D182)</f>
        <v>2.4563660331290431</v>
      </c>
      <c r="I182" s="245">
        <f>LOG(G182)</f>
        <v>2.8536982117761744</v>
      </c>
      <c r="J182" s="246">
        <f>H182-I182</f>
        <v>-0.39733217864713133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840">
        <f>B139</f>
        <v>2013</v>
      </c>
      <c r="C183" s="840"/>
      <c r="D183" s="208">
        <f>VLOOKUP(B183,B$7:E$11,3,FALSE)</f>
        <v>269</v>
      </c>
      <c r="E183" s="244">
        <f>((COUNT(B$180:B$184)-1)/2)+(B183-$C$4)</f>
        <v>1</v>
      </c>
      <c r="F183" s="206">
        <f>E183^2</f>
        <v>1</v>
      </c>
      <c r="G183" s="844">
        <f>E$177-D183</f>
        <v>731</v>
      </c>
      <c r="H183" s="259">
        <f>LOG(D183)</f>
        <v>2.4297522800024081</v>
      </c>
      <c r="I183" s="245">
        <f>LOG(G183)</f>
        <v>2.8639173769578603</v>
      </c>
      <c r="J183" s="246">
        <f>H183-I183</f>
        <v>-0.43416509695545225</v>
      </c>
      <c r="K183" s="246">
        <f>E183*J183</f>
        <v>-0.43416509695545225</v>
      </c>
      <c r="L183" s="203"/>
      <c r="M183" s="203"/>
      <c r="N183" s="203"/>
      <c r="O183" s="203"/>
    </row>
    <row r="184" spans="1:15" ht="15" customHeight="1">
      <c r="A184" s="203"/>
      <c r="B184" s="840">
        <f>B140</f>
        <v>2014</v>
      </c>
      <c r="C184" s="840"/>
      <c r="D184" s="208">
        <f>VLOOKUP(B184,B$7:E$11,3,FALSE)</f>
        <v>284</v>
      </c>
      <c r="E184" s="244">
        <f>((COUNT(B$180:B$184)-1)/2)+(B184-$C$4)</f>
        <v>2</v>
      </c>
      <c r="F184" s="206">
        <f>E184^2</f>
        <v>4</v>
      </c>
      <c r="G184" s="844">
        <f>E$177-D184</f>
        <v>716</v>
      </c>
      <c r="H184" s="259">
        <f>LOG(D184)</f>
        <v>2.4533183400470375</v>
      </c>
      <c r="I184" s="245">
        <f>LOG(G184)</f>
        <v>2.8549130223078554</v>
      </c>
      <c r="J184" s="246">
        <f>H184-I184</f>
        <v>-0.40159468226081785</v>
      </c>
      <c r="K184" s="246">
        <f>E184*J184</f>
        <v>-0.8031893645216357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1662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-1.5451515196955046</v>
      </c>
      <c r="K185" s="263">
        <f>SUM(K180:K184)</f>
        <v>-0.82584343069432542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0.71157000000000004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-0.19015699999999999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173</v>
      </c>
      <c r="E192" s="208"/>
      <c r="F192" s="208">
        <v>0</v>
      </c>
      <c r="G192" s="208"/>
      <c r="H192" s="208">
        <f t="shared" ref="H192:H213" si="9">ROUND(D192*(1+F192),0)</f>
        <v>173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148</v>
      </c>
      <c r="E193" s="269"/>
      <c r="F193" s="269">
        <v>0</v>
      </c>
      <c r="G193" s="269"/>
      <c r="H193" s="269">
        <f t="shared" si="9"/>
        <v>148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125</v>
      </c>
      <c r="E194" s="221"/>
      <c r="F194" s="221">
        <v>0</v>
      </c>
      <c r="G194" s="221"/>
      <c r="H194" s="221">
        <f t="shared" si="9"/>
        <v>125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106</v>
      </c>
      <c r="E195" s="221"/>
      <c r="F195" s="221">
        <v>0</v>
      </c>
      <c r="G195" s="221"/>
      <c r="H195" s="221">
        <f t="shared" si="9"/>
        <v>106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89</v>
      </c>
      <c r="E196" s="221"/>
      <c r="F196" s="221">
        <v>0</v>
      </c>
      <c r="G196" s="221"/>
      <c r="H196" s="221">
        <f t="shared" si="9"/>
        <v>89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75</v>
      </c>
      <c r="E197" s="221"/>
      <c r="F197" s="221">
        <v>0</v>
      </c>
      <c r="G197" s="221"/>
      <c r="H197" s="221">
        <f t="shared" si="9"/>
        <v>75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63</v>
      </c>
      <c r="E198" s="269"/>
      <c r="F198" s="269">
        <v>0</v>
      </c>
      <c r="G198" s="269"/>
      <c r="H198" s="269">
        <f t="shared" si="9"/>
        <v>63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53</v>
      </c>
      <c r="E199" s="221"/>
      <c r="F199" s="221">
        <v>0</v>
      </c>
      <c r="G199" s="221"/>
      <c r="H199" s="221">
        <f t="shared" si="9"/>
        <v>53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44</v>
      </c>
      <c r="E200" s="221"/>
      <c r="F200" s="221">
        <v>0</v>
      </c>
      <c r="G200" s="221"/>
      <c r="H200" s="221">
        <f t="shared" si="9"/>
        <v>44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37</v>
      </c>
      <c r="E201" s="221"/>
      <c r="F201" s="221">
        <v>0</v>
      </c>
      <c r="G201" s="221"/>
      <c r="H201" s="221">
        <f t="shared" si="9"/>
        <v>37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31</v>
      </c>
      <c r="E202" s="221"/>
      <c r="F202" s="221">
        <v>0</v>
      </c>
      <c r="G202" s="221"/>
      <c r="H202" s="221">
        <f t="shared" si="9"/>
        <v>31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26</v>
      </c>
      <c r="E203" s="269"/>
      <c r="F203" s="269">
        <v>0</v>
      </c>
      <c r="G203" s="269"/>
      <c r="H203" s="269">
        <f t="shared" si="9"/>
        <v>26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21</v>
      </c>
      <c r="E204" s="221"/>
      <c r="F204" s="221">
        <v>0</v>
      </c>
      <c r="G204" s="221"/>
      <c r="H204" s="221">
        <f t="shared" si="9"/>
        <v>21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18</v>
      </c>
      <c r="E205" s="221"/>
      <c r="F205" s="221">
        <v>0</v>
      </c>
      <c r="G205" s="221"/>
      <c r="H205" s="221">
        <f t="shared" si="9"/>
        <v>18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15</v>
      </c>
      <c r="E206" s="221"/>
      <c r="F206" s="221">
        <v>0</v>
      </c>
      <c r="G206" s="221"/>
      <c r="H206" s="221">
        <f t="shared" si="9"/>
        <v>15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12</v>
      </c>
      <c r="E207" s="221"/>
      <c r="F207" s="221">
        <v>0</v>
      </c>
      <c r="G207" s="221"/>
      <c r="H207" s="221">
        <f t="shared" si="9"/>
        <v>12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10</v>
      </c>
      <c r="E208" s="269"/>
      <c r="F208" s="269">
        <v>0</v>
      </c>
      <c r="G208" s="269"/>
      <c r="H208" s="269">
        <f t="shared" si="9"/>
        <v>10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9</v>
      </c>
      <c r="E209" s="221"/>
      <c r="F209" s="221">
        <v>0</v>
      </c>
      <c r="G209" s="221"/>
      <c r="H209" s="221">
        <f t="shared" si="9"/>
        <v>9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7</v>
      </c>
      <c r="E210" s="221"/>
      <c r="F210" s="221">
        <v>0</v>
      </c>
      <c r="G210" s="221"/>
      <c r="H210" s="221">
        <f t="shared" si="9"/>
        <v>7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6</v>
      </c>
      <c r="E211" s="221"/>
      <c r="F211" s="221">
        <v>0</v>
      </c>
      <c r="G211" s="221"/>
      <c r="H211" s="221">
        <f t="shared" si="9"/>
        <v>6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5</v>
      </c>
      <c r="E212" s="221"/>
      <c r="F212" s="221">
        <v>0</v>
      </c>
      <c r="G212" s="221"/>
      <c r="H212" s="221">
        <f t="shared" si="9"/>
        <v>5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4</v>
      </c>
      <c r="E213" s="269"/>
      <c r="F213" s="269">
        <v>0</v>
      </c>
      <c r="G213" s="269"/>
      <c r="H213" s="269">
        <f t="shared" si="9"/>
        <v>4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284</v>
      </c>
      <c r="E221" s="257">
        <f t="array" ref="E221">IF(B55=B221,H55)</f>
        <v>284</v>
      </c>
      <c r="F221" s="257">
        <f t="array" ref="F221">IF(B105=B221,H105)</f>
        <v>247</v>
      </c>
      <c r="G221" s="257">
        <f t="array" ref="G221">IF(B147=B221,H147)</f>
        <v>497</v>
      </c>
      <c r="H221" s="257">
        <f t="array" ref="H221">IF(B192=B221,H192)</f>
        <v>173</v>
      </c>
      <c r="I221" s="257">
        <f t="shared" ref="I221:I242" si="10">IF(G221=0,AVERAGE(D221,E221,F221,H221),AVERAGE(D221:H221))</f>
        <v>297</v>
      </c>
      <c r="J221" s="266">
        <f t="shared" ref="J221:J242" si="11">ROUND(AVERAGE(D221,F221:G221),0)</f>
        <v>343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244</v>
      </c>
      <c r="E222" s="271">
        <f t="array" ref="E222">IF(B56=B222,H56)</f>
        <v>254</v>
      </c>
      <c r="F222" s="271">
        <f t="array" ref="F222">IF(B106=B222,H106)</f>
        <v>204</v>
      </c>
      <c r="G222" s="271">
        <f t="array" ref="G222">IF(B148=B222,H148)</f>
        <v>506</v>
      </c>
      <c r="H222" s="271">
        <f t="array" ref="H222">IF(B193=B222,H193)</f>
        <v>148</v>
      </c>
      <c r="I222" s="271">
        <f t="shared" si="10"/>
        <v>271.2</v>
      </c>
      <c r="J222" s="273">
        <f t="shared" si="11"/>
        <v>318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204</v>
      </c>
      <c r="E223" s="257">
        <f t="array" ref="E223">IF(B57=B223,H57)</f>
        <v>227</v>
      </c>
      <c r="F223" s="257">
        <f t="array" ref="F223">IF(B107=B223,H107)</f>
        <v>161</v>
      </c>
      <c r="G223" s="257">
        <f t="array" ref="G223">IF(B149=B223,H149)</f>
        <v>515</v>
      </c>
      <c r="H223" s="257">
        <f t="array" ref="H223">IF(B194=B223,H194)</f>
        <v>125</v>
      </c>
      <c r="I223" s="257">
        <f t="shared" si="10"/>
        <v>246.4</v>
      </c>
      <c r="J223" s="266">
        <f t="shared" si="11"/>
        <v>293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165</v>
      </c>
      <c r="E224" s="257">
        <f t="array" ref="E224">IF(B58=B224,H58)</f>
        <v>203</v>
      </c>
      <c r="F224" s="257">
        <f t="array" ref="F224">IF(B108=B224,H108)</f>
        <v>118</v>
      </c>
      <c r="G224" s="257">
        <f t="array" ref="G224">IF(B150=B224,H150)</f>
        <v>523</v>
      </c>
      <c r="H224" s="257">
        <f t="array" ref="H224">IF(B195=B224,H195)</f>
        <v>106</v>
      </c>
      <c r="I224" s="257">
        <f t="shared" si="10"/>
        <v>223</v>
      </c>
      <c r="J224" s="266">
        <f t="shared" si="11"/>
        <v>269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125</v>
      </c>
      <c r="E225" s="257">
        <f t="array" ref="E225">IF(B59=B225,H59)</f>
        <v>182</v>
      </c>
      <c r="F225" s="257">
        <f t="array" ref="F225">IF(B109=B225,H109)</f>
        <v>75</v>
      </c>
      <c r="G225" s="257">
        <f t="array" ref="G225">IF(B151=B225,H151)</f>
        <v>531</v>
      </c>
      <c r="H225" s="257">
        <f t="array" ref="H225">IF(B196=B225,H196)</f>
        <v>89</v>
      </c>
      <c r="I225" s="257">
        <f t="shared" si="10"/>
        <v>200.4</v>
      </c>
      <c r="J225" s="266">
        <f t="shared" si="11"/>
        <v>244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85</v>
      </c>
      <c r="E226" s="257">
        <f t="array" ref="E226">IF(B60=B226,H60)</f>
        <v>163</v>
      </c>
      <c r="F226" s="257">
        <f t="array" ref="F226">IF(B110=B226,H110)</f>
        <v>32</v>
      </c>
      <c r="G226" s="257">
        <f t="array" ref="G226">IF(B152=B226,H152)</f>
        <v>538</v>
      </c>
      <c r="H226" s="257">
        <f t="array" ref="H226">IF(B197=B226,H197)</f>
        <v>75</v>
      </c>
      <c r="I226" s="257">
        <f t="shared" si="10"/>
        <v>178.6</v>
      </c>
      <c r="J226" s="266">
        <f t="shared" si="11"/>
        <v>218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45</v>
      </c>
      <c r="E227" s="271">
        <f t="array" ref="E227">IF(B61=B227,H61)</f>
        <v>146</v>
      </c>
      <c r="F227" s="271">
        <f t="array" ref="F227">IF(B111=B227,H111)</f>
        <v>-12</v>
      </c>
      <c r="G227" s="271">
        <f t="array" ref="G227">IF(B153=B227,H153)</f>
        <v>546</v>
      </c>
      <c r="H227" s="271">
        <f t="array" ref="H227">IF(B198=B227,H198)</f>
        <v>63</v>
      </c>
      <c r="I227" s="271">
        <f t="shared" si="10"/>
        <v>157.6</v>
      </c>
      <c r="J227" s="273">
        <f t="shared" si="11"/>
        <v>193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5</v>
      </c>
      <c r="E228" s="257">
        <f t="array" ref="E228">IF(B62=B228,H62)</f>
        <v>130</v>
      </c>
      <c r="F228" s="257">
        <f t="array" ref="F228">IF(B112=B228,H112)</f>
        <v>-55</v>
      </c>
      <c r="G228" s="257">
        <f t="array" ref="G228">IF(B154=B228,H154)</f>
        <v>553</v>
      </c>
      <c r="H228" s="257">
        <f t="array" ref="H228">IF(B199=B228,H199)</f>
        <v>53</v>
      </c>
      <c r="I228" s="257">
        <f t="shared" si="10"/>
        <v>137.19999999999999</v>
      </c>
      <c r="J228" s="266">
        <f t="shared" si="11"/>
        <v>168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-34</v>
      </c>
      <c r="E229" s="257">
        <f t="array" ref="E229">IF(B63=B229,H63)</f>
        <v>117</v>
      </c>
      <c r="F229" s="257">
        <f t="array" ref="F229">IF(B113=B229,H113)</f>
        <v>-97</v>
      </c>
      <c r="G229" s="257">
        <f t="array" ref="G229">IF(B155=B229,H155)</f>
        <v>560</v>
      </c>
      <c r="H229" s="257">
        <f t="array" ref="H229">IF(B200=B229,H200)</f>
        <v>44</v>
      </c>
      <c r="I229" s="257">
        <f t="shared" si="10"/>
        <v>118</v>
      </c>
      <c r="J229" s="266">
        <f t="shared" si="11"/>
        <v>143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-74</v>
      </c>
      <c r="E230" s="257">
        <f t="array" ref="E230">IF(B64=B230,H64)</f>
        <v>104</v>
      </c>
      <c r="F230" s="257">
        <f t="array" ref="F230">IF(B114=B230,H114)</f>
        <v>-140</v>
      </c>
      <c r="G230" s="257">
        <f t="array" ref="G230">IF(B156=B230,H156)</f>
        <v>566</v>
      </c>
      <c r="H230" s="257">
        <f t="array" ref="H230">IF(B201=B230,H201)</f>
        <v>37</v>
      </c>
      <c r="I230" s="257">
        <f t="shared" si="10"/>
        <v>98.6</v>
      </c>
      <c r="J230" s="266">
        <f t="shared" si="11"/>
        <v>117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-114</v>
      </c>
      <c r="E231" s="257">
        <f t="array" ref="E231">IF(B65=B231,H65)</f>
        <v>93</v>
      </c>
      <c r="F231" s="257">
        <f t="array" ref="F231">IF(B115=B231,H115)</f>
        <v>-183</v>
      </c>
      <c r="G231" s="257">
        <f t="array" ref="G231">IF(B157=B231,H157)</f>
        <v>573</v>
      </c>
      <c r="H231" s="257">
        <f t="array" ref="H231">IF(B202=B231,H202)</f>
        <v>31</v>
      </c>
      <c r="I231" s="257">
        <f t="shared" si="10"/>
        <v>80</v>
      </c>
      <c r="J231" s="266">
        <f t="shared" si="11"/>
        <v>92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-154</v>
      </c>
      <c r="E232" s="271">
        <f t="array" ref="E232">IF(B66=B232,H66)</f>
        <v>84</v>
      </c>
      <c r="F232" s="271">
        <f t="array" ref="F232">IF(B116=B232,H116)</f>
        <v>-226</v>
      </c>
      <c r="G232" s="271">
        <f t="array" ref="G232">IF(B158=B232,H158)</f>
        <v>579</v>
      </c>
      <c r="H232" s="271">
        <f t="array" ref="H232">IF(B203=B232,H203)</f>
        <v>26</v>
      </c>
      <c r="I232" s="271">
        <f t="shared" si="10"/>
        <v>61.8</v>
      </c>
      <c r="J232" s="273">
        <f t="shared" si="11"/>
        <v>66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-194</v>
      </c>
      <c r="E233" s="257">
        <f t="array" ref="E233">IF(B67=B233,H67)</f>
        <v>75</v>
      </c>
      <c r="F233" s="257">
        <f t="array" ref="F233">IF(B117=B233,H117)</f>
        <v>-269</v>
      </c>
      <c r="G233" s="257">
        <f t="array" ref="G233">IF(B159=B233,H159)</f>
        <v>586</v>
      </c>
      <c r="H233" s="257">
        <f t="array" ref="H233">IF(B204=B233,H204)</f>
        <v>21</v>
      </c>
      <c r="I233" s="257">
        <f t="shared" si="10"/>
        <v>43.8</v>
      </c>
      <c r="J233" s="266">
        <f t="shared" si="11"/>
        <v>41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-233</v>
      </c>
      <c r="E234" s="257">
        <f t="array" ref="E234">IF(B68=B234,H68)</f>
        <v>67</v>
      </c>
      <c r="F234" s="257">
        <f t="array" ref="F234">IF(B118=B234,H118)</f>
        <v>-312</v>
      </c>
      <c r="G234" s="257">
        <f t="array" ref="G234">IF(B160=B234,H160)</f>
        <v>592</v>
      </c>
      <c r="H234" s="257">
        <f t="array" ref="H234">IF(B205=B234,H205)</f>
        <v>18</v>
      </c>
      <c r="I234" s="257">
        <f t="shared" si="10"/>
        <v>26.4</v>
      </c>
      <c r="J234" s="266">
        <f t="shared" si="11"/>
        <v>16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-273</v>
      </c>
      <c r="E235" s="257">
        <f t="array" ref="E235">IF(B69=B235,H69)</f>
        <v>60</v>
      </c>
      <c r="F235" s="257">
        <f t="array" ref="F235">IF(B119=B235,H119)</f>
        <v>-355</v>
      </c>
      <c r="G235" s="257">
        <f t="array" ref="G235">IF(B161=B235,H161)</f>
        <v>598</v>
      </c>
      <c r="H235" s="257">
        <f t="array" ref="H235">IF(B206=B235,H206)</f>
        <v>15</v>
      </c>
      <c r="I235" s="257">
        <f t="shared" si="10"/>
        <v>9</v>
      </c>
      <c r="J235" s="266">
        <f t="shared" si="11"/>
        <v>-10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-313</v>
      </c>
      <c r="E236" s="257">
        <f t="array" ref="E236">IF(B70=B236,H70)</f>
        <v>54</v>
      </c>
      <c r="F236" s="257">
        <f t="array" ref="F236">IF(B120=B236,H120)</f>
        <v>-398</v>
      </c>
      <c r="G236" s="257">
        <f t="array" ref="G236">IF(B162=B236,H162)</f>
        <v>604</v>
      </c>
      <c r="H236" s="257">
        <f t="array" ref="H236">IF(B207=B236,H207)</f>
        <v>12</v>
      </c>
      <c r="I236" s="257">
        <f t="shared" si="10"/>
        <v>-8.1999999999999993</v>
      </c>
      <c r="J236" s="266">
        <f t="shared" si="11"/>
        <v>-36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-353</v>
      </c>
      <c r="E237" s="271">
        <f t="array" ref="E237">IF(B71=B237,H71)</f>
        <v>48</v>
      </c>
      <c r="F237" s="271">
        <f t="array" ref="F237">IF(B121=B237,H121)</f>
        <v>-441</v>
      </c>
      <c r="G237" s="271">
        <f t="array" ref="G237">IF(B163=B237,H163)</f>
        <v>610</v>
      </c>
      <c r="H237" s="271">
        <f t="array" ref="H237">IF(B208=B237,H208)</f>
        <v>10</v>
      </c>
      <c r="I237" s="271">
        <f t="shared" si="10"/>
        <v>-25.2</v>
      </c>
      <c r="J237" s="273">
        <f t="shared" si="11"/>
        <v>-61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-393</v>
      </c>
      <c r="E238" s="257">
        <f t="array" ref="E238">IF(B72=B238,H72)</f>
        <v>43</v>
      </c>
      <c r="F238" s="257">
        <f t="array" ref="F238">IF(B122=B238,H122)</f>
        <v>-484</v>
      </c>
      <c r="G238" s="257">
        <f t="array" ref="G238">IF(B164=B238,H164)</f>
        <v>616</v>
      </c>
      <c r="H238" s="257">
        <f t="array" ref="H238">IF(B209=B238,H209)</f>
        <v>9</v>
      </c>
      <c r="I238" s="257">
        <f t="shared" si="10"/>
        <v>-41.8</v>
      </c>
      <c r="J238" s="266">
        <f t="shared" si="11"/>
        <v>-87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-432</v>
      </c>
      <c r="E239" s="257">
        <f t="array" ref="E239">IF(B73=B239,H73)</f>
        <v>38</v>
      </c>
      <c r="F239" s="257">
        <f t="array" ref="F239">IF(B123=B239,H123)</f>
        <v>-526</v>
      </c>
      <c r="G239" s="257">
        <f t="array" ref="G239">IF(B165=B239,H165)</f>
        <v>622</v>
      </c>
      <c r="H239" s="257">
        <f t="array" ref="H239">IF(B210=B239,H210)</f>
        <v>7</v>
      </c>
      <c r="I239" s="257">
        <f t="shared" si="10"/>
        <v>-58.2</v>
      </c>
      <c r="J239" s="266">
        <f t="shared" si="11"/>
        <v>-112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-472</v>
      </c>
      <c r="E240" s="257">
        <f t="array" ref="E240">IF(B74=B240,H74)</f>
        <v>34</v>
      </c>
      <c r="F240" s="257">
        <f t="array" ref="F240">IF(B124=B240,H124)</f>
        <v>-569</v>
      </c>
      <c r="G240" s="257">
        <f t="array" ref="G240">IF(B166=B240,H166)</f>
        <v>627</v>
      </c>
      <c r="H240" s="257">
        <f t="array" ref="H240">IF(B211=B240,H211)</f>
        <v>6</v>
      </c>
      <c r="I240" s="257">
        <f t="shared" si="10"/>
        <v>-74.8</v>
      </c>
      <c r="J240" s="266">
        <f t="shared" si="11"/>
        <v>-138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-512</v>
      </c>
      <c r="E241" s="257">
        <f t="array" ref="E241">IF(B75=B241,H75)</f>
        <v>31</v>
      </c>
      <c r="F241" s="257">
        <f t="array" ref="F241">IF(B125=B241,H125)</f>
        <v>-612</v>
      </c>
      <c r="G241" s="257">
        <f t="array" ref="G241">IF(B167=B241,H167)</f>
        <v>633</v>
      </c>
      <c r="H241" s="257">
        <f t="array" ref="H241">IF(B212=B241,H212)</f>
        <v>5</v>
      </c>
      <c r="I241" s="257">
        <f t="shared" si="10"/>
        <v>-91</v>
      </c>
      <c r="J241" s="266">
        <f t="shared" si="11"/>
        <v>-164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-552</v>
      </c>
      <c r="E242" s="271">
        <f t="array" ref="E242">IF(B76=B242,H76)</f>
        <v>28</v>
      </c>
      <c r="F242" s="271">
        <f t="array" ref="F242">IF(B126=B242,H126)</f>
        <v>-655</v>
      </c>
      <c r="G242" s="271">
        <f t="array" ref="G242">IF(B168=B242,H168)</f>
        <v>638</v>
      </c>
      <c r="H242" s="271">
        <f t="array" ref="H242">IF(B213=B242,H213)</f>
        <v>4</v>
      </c>
      <c r="I242" s="271">
        <f t="shared" si="10"/>
        <v>-107.4</v>
      </c>
      <c r="J242" s="273">
        <f t="shared" si="11"/>
        <v>-190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2">
    <mergeCell ref="A2:K2"/>
    <mergeCell ref="E177:F177"/>
  </mergeCells>
  <phoneticPr fontId="7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381" t="s">
        <v>1407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2013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2004</v>
      </c>
      <c r="C7" s="204"/>
      <c r="D7" s="844">
        <f>'3.면별급수현황'!H94</f>
        <v>0</v>
      </c>
      <c r="E7" s="205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2000</v>
      </c>
      <c r="L7" s="203"/>
      <c r="M7" s="203"/>
      <c r="N7" s="203"/>
      <c r="O7" s="203"/>
    </row>
    <row r="8" spans="1:15" ht="15" customHeight="1">
      <c r="A8" s="203"/>
      <c r="B8" s="204">
        <v>2005</v>
      </c>
      <c r="C8" s="204"/>
      <c r="D8" s="844">
        <f>'3.면별급수현황'!H95</f>
        <v>0</v>
      </c>
      <c r="E8" s="205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v>2006</v>
      </c>
      <c r="C9" s="204"/>
      <c r="D9" s="844">
        <f>'3.면별급수현황'!H96</f>
        <v>376</v>
      </c>
      <c r="E9" s="205"/>
      <c r="F9" s="206">
        <f t="shared" si="0"/>
        <v>376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v>2007</v>
      </c>
      <c r="C10" s="204"/>
      <c r="D10" s="844">
        <f>'3.면별급수현황'!H97</f>
        <v>353</v>
      </c>
      <c r="E10" s="205"/>
      <c r="F10" s="206">
        <f t="shared" si="0"/>
        <v>-23</v>
      </c>
      <c r="G10" s="206"/>
      <c r="H10" s="207">
        <f t="shared" ref="H10:H16" si="1">ROUND(F10/D9*100,2)</f>
        <v>-6.12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v>2008</v>
      </c>
      <c r="C11" s="204"/>
      <c r="D11" s="844">
        <f>'3.면별급수현황'!H98</f>
        <v>304</v>
      </c>
      <c r="E11" s="205"/>
      <c r="F11" s="206">
        <f t="shared" si="0"/>
        <v>-49</v>
      </c>
      <c r="G11" s="206"/>
      <c r="H11" s="207">
        <f t="shared" si="1"/>
        <v>-13.88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204">
        <v>2009</v>
      </c>
      <c r="C12" s="204"/>
      <c r="D12" s="844">
        <f>'3.면별급수현황'!H99</f>
        <v>365</v>
      </c>
      <c r="E12" s="205"/>
      <c r="F12" s="206">
        <f t="shared" si="0"/>
        <v>61</v>
      </c>
      <c r="G12" s="206"/>
      <c r="H12" s="207">
        <f t="shared" si="1"/>
        <v>20.07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204">
        <v>2010</v>
      </c>
      <c r="C13" s="204"/>
      <c r="D13" s="844">
        <f>'3.면별급수현황'!H100</f>
        <v>248</v>
      </c>
      <c r="E13" s="205"/>
      <c r="F13" s="206">
        <f t="shared" si="0"/>
        <v>-117</v>
      </c>
      <c r="G13" s="206"/>
      <c r="H13" s="207">
        <f t="shared" si="1"/>
        <v>-32.049999999999997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204">
        <v>2011</v>
      </c>
      <c r="C14" s="204"/>
      <c r="D14" s="844">
        <f>'3.면별급수현황'!H101</f>
        <v>242</v>
      </c>
      <c r="E14" s="205"/>
      <c r="F14" s="206">
        <f t="shared" si="0"/>
        <v>-6</v>
      </c>
      <c r="G14" s="206"/>
      <c r="H14" s="207">
        <f t="shared" si="1"/>
        <v>-2.42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204">
        <v>2012</v>
      </c>
      <c r="C15" s="204"/>
      <c r="D15" s="844">
        <f>'3.면별급수현황'!H102</f>
        <v>249</v>
      </c>
      <c r="E15" s="205"/>
      <c r="F15" s="206">
        <f t="shared" si="0"/>
        <v>7</v>
      </c>
      <c r="G15" s="206"/>
      <c r="H15" s="207">
        <f t="shared" si="1"/>
        <v>2.89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204">
        <v>2013</v>
      </c>
      <c r="C16" s="204"/>
      <c r="D16" s="844">
        <f>'3.면별급수현황'!H103</f>
        <v>492</v>
      </c>
      <c r="E16" s="205"/>
      <c r="F16" s="206">
        <f t="shared" si="0"/>
        <v>243</v>
      </c>
      <c r="G16" s="206"/>
      <c r="H16" s="207">
        <f t="shared" si="1"/>
        <v>97.59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2629</v>
      </c>
      <c r="E17" s="214"/>
      <c r="F17" s="215"/>
      <c r="G17" s="215"/>
      <c r="H17" s="216">
        <f>SUM(H7:H16)</f>
        <v>66.080000000000013</v>
      </c>
      <c r="I17" s="216"/>
      <c r="J17" s="217">
        <f>ROUND(AVERAGE(H8:H16),1)</f>
        <v>7.3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2">ROUND(E$48+H$48*(B26-$C$4),0)</f>
        <v>547</v>
      </c>
      <c r="E26" s="221"/>
      <c r="F26" s="221">
        <v>0</v>
      </c>
      <c r="G26" s="221"/>
      <c r="H26" s="221">
        <f t="shared" ref="H26:H47" si="3">ROUND(D26*(1+F26),0)</f>
        <v>547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2"/>
        <v>601</v>
      </c>
      <c r="E27" s="269"/>
      <c r="F27" s="269">
        <v>0</v>
      </c>
      <c r="G27" s="269"/>
      <c r="H27" s="269">
        <f t="shared" si="3"/>
        <v>601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2"/>
        <v>656</v>
      </c>
      <c r="E28" s="221"/>
      <c r="F28" s="221">
        <v>0</v>
      </c>
      <c r="G28" s="221"/>
      <c r="H28" s="221">
        <f t="shared" si="3"/>
        <v>656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2"/>
        <v>711</v>
      </c>
      <c r="E29" s="221"/>
      <c r="F29" s="221">
        <v>0</v>
      </c>
      <c r="G29" s="221"/>
      <c r="H29" s="221">
        <f t="shared" si="3"/>
        <v>711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2"/>
        <v>766</v>
      </c>
      <c r="E30" s="221"/>
      <c r="F30" s="221">
        <v>0</v>
      </c>
      <c r="G30" s="221"/>
      <c r="H30" s="221">
        <f t="shared" si="3"/>
        <v>766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2"/>
        <v>820</v>
      </c>
      <c r="E31" s="221"/>
      <c r="F31" s="221">
        <v>0</v>
      </c>
      <c r="G31" s="221"/>
      <c r="H31" s="221">
        <f t="shared" si="3"/>
        <v>820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2"/>
        <v>875</v>
      </c>
      <c r="E32" s="269"/>
      <c r="F32" s="269">
        <v>0</v>
      </c>
      <c r="G32" s="269"/>
      <c r="H32" s="269">
        <f t="shared" si="3"/>
        <v>875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2"/>
        <v>930</v>
      </c>
      <c r="E33" s="221"/>
      <c r="F33" s="221">
        <v>0</v>
      </c>
      <c r="G33" s="221"/>
      <c r="H33" s="221">
        <f t="shared" si="3"/>
        <v>930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2"/>
        <v>984</v>
      </c>
      <c r="E34" s="221"/>
      <c r="F34" s="221">
        <v>0</v>
      </c>
      <c r="G34" s="221"/>
      <c r="H34" s="221">
        <f t="shared" si="3"/>
        <v>984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2"/>
        <v>1039</v>
      </c>
      <c r="E35" s="221"/>
      <c r="F35" s="221">
        <v>0</v>
      </c>
      <c r="G35" s="221"/>
      <c r="H35" s="221">
        <f t="shared" si="3"/>
        <v>1039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2"/>
        <v>1094</v>
      </c>
      <c r="E36" s="221"/>
      <c r="F36" s="221">
        <v>0</v>
      </c>
      <c r="G36" s="221"/>
      <c r="H36" s="221">
        <f t="shared" si="3"/>
        <v>1094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2"/>
        <v>1148</v>
      </c>
      <c r="E37" s="269"/>
      <c r="F37" s="269">
        <v>0</v>
      </c>
      <c r="G37" s="269"/>
      <c r="H37" s="269">
        <f t="shared" si="3"/>
        <v>1148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2"/>
        <v>1203</v>
      </c>
      <c r="E38" s="221"/>
      <c r="F38" s="221">
        <v>0</v>
      </c>
      <c r="G38" s="221"/>
      <c r="H38" s="221">
        <f t="shared" si="3"/>
        <v>1203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2"/>
        <v>1258</v>
      </c>
      <c r="E39" s="221"/>
      <c r="F39" s="221">
        <v>0</v>
      </c>
      <c r="G39" s="221"/>
      <c r="H39" s="221">
        <f t="shared" si="3"/>
        <v>1258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2"/>
        <v>1313</v>
      </c>
      <c r="E40" s="221"/>
      <c r="F40" s="221">
        <v>0</v>
      </c>
      <c r="G40" s="221"/>
      <c r="H40" s="221">
        <f t="shared" si="3"/>
        <v>1313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2"/>
        <v>1367</v>
      </c>
      <c r="E41" s="221"/>
      <c r="F41" s="221">
        <v>0</v>
      </c>
      <c r="G41" s="221"/>
      <c r="H41" s="221">
        <f t="shared" si="3"/>
        <v>1367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2"/>
        <v>1422</v>
      </c>
      <c r="E42" s="269"/>
      <c r="F42" s="269">
        <v>0</v>
      </c>
      <c r="G42" s="269"/>
      <c r="H42" s="269">
        <f t="shared" si="3"/>
        <v>1422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2"/>
        <v>1477</v>
      </c>
      <c r="E43" s="221"/>
      <c r="F43" s="221">
        <v>0</v>
      </c>
      <c r="G43" s="221"/>
      <c r="H43" s="221">
        <f t="shared" si="3"/>
        <v>1477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2"/>
        <v>1531</v>
      </c>
      <c r="E44" s="221"/>
      <c r="F44" s="221">
        <v>0</v>
      </c>
      <c r="G44" s="221"/>
      <c r="H44" s="221">
        <f t="shared" si="3"/>
        <v>1531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2"/>
        <v>1586</v>
      </c>
      <c r="E45" s="221"/>
      <c r="F45" s="221">
        <v>0</v>
      </c>
      <c r="G45" s="221"/>
      <c r="H45" s="221">
        <f t="shared" si="3"/>
        <v>1586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2"/>
        <v>1641</v>
      </c>
      <c r="E46" s="221"/>
      <c r="F46" s="221">
        <v>0</v>
      </c>
      <c r="G46" s="221"/>
      <c r="H46" s="221">
        <f t="shared" si="3"/>
        <v>1641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2"/>
        <v>1695</v>
      </c>
      <c r="E47" s="269"/>
      <c r="F47" s="269">
        <v>0</v>
      </c>
      <c r="G47" s="269"/>
      <c r="H47" s="269">
        <f t="shared" si="3"/>
        <v>1695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492</v>
      </c>
      <c r="F48" s="226"/>
      <c r="G48" s="224" t="s">
        <v>162</v>
      </c>
      <c r="H48" s="224">
        <f>ROUND((D$16-D$7)/(COUNT(D$7:D$16)-1),1)</f>
        <v>54.7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4">ROUND(E$82*H$82^(B60-$C$4),0)</f>
        <v>511</v>
      </c>
      <c r="E60" s="221"/>
      <c r="F60" s="221">
        <v>0</v>
      </c>
      <c r="G60" s="221"/>
      <c r="H60" s="221">
        <f t="shared" ref="H60:H81" si="5">ROUND(D60*(1+F60),0)</f>
        <v>511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4"/>
        <v>531</v>
      </c>
      <c r="E61" s="269"/>
      <c r="F61" s="269">
        <v>0</v>
      </c>
      <c r="G61" s="269"/>
      <c r="H61" s="269">
        <f t="shared" si="5"/>
        <v>531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4"/>
        <v>552</v>
      </c>
      <c r="E62" s="221"/>
      <c r="F62" s="221">
        <v>0</v>
      </c>
      <c r="G62" s="221"/>
      <c r="H62" s="221">
        <f t="shared" si="5"/>
        <v>552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4"/>
        <v>574</v>
      </c>
      <c r="E63" s="221"/>
      <c r="F63" s="221">
        <v>0</v>
      </c>
      <c r="G63" s="221"/>
      <c r="H63" s="221">
        <f t="shared" si="5"/>
        <v>574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4"/>
        <v>596</v>
      </c>
      <c r="E64" s="221"/>
      <c r="F64" s="221">
        <v>0</v>
      </c>
      <c r="G64" s="221"/>
      <c r="H64" s="221">
        <f t="shared" si="5"/>
        <v>596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4"/>
        <v>620</v>
      </c>
      <c r="E65" s="221"/>
      <c r="F65" s="221">
        <v>0</v>
      </c>
      <c r="G65" s="221"/>
      <c r="H65" s="221">
        <f t="shared" si="5"/>
        <v>620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4"/>
        <v>644</v>
      </c>
      <c r="E66" s="269"/>
      <c r="F66" s="269">
        <v>0</v>
      </c>
      <c r="G66" s="269"/>
      <c r="H66" s="269">
        <f t="shared" si="5"/>
        <v>644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4"/>
        <v>669</v>
      </c>
      <c r="E67" s="221"/>
      <c r="F67" s="221">
        <v>0</v>
      </c>
      <c r="G67" s="221"/>
      <c r="H67" s="221">
        <f t="shared" si="5"/>
        <v>669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4"/>
        <v>695</v>
      </c>
      <c r="E68" s="221"/>
      <c r="F68" s="221">
        <v>0</v>
      </c>
      <c r="G68" s="221"/>
      <c r="H68" s="221">
        <f t="shared" si="5"/>
        <v>695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4"/>
        <v>722</v>
      </c>
      <c r="E69" s="221"/>
      <c r="F69" s="221">
        <v>0</v>
      </c>
      <c r="G69" s="221"/>
      <c r="H69" s="221">
        <f t="shared" si="5"/>
        <v>722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4"/>
        <v>751</v>
      </c>
      <c r="E70" s="221"/>
      <c r="F70" s="221">
        <v>0</v>
      </c>
      <c r="G70" s="221"/>
      <c r="H70" s="221">
        <f t="shared" si="5"/>
        <v>751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4"/>
        <v>780</v>
      </c>
      <c r="E71" s="269"/>
      <c r="F71" s="269">
        <v>0</v>
      </c>
      <c r="G71" s="269"/>
      <c r="H71" s="269">
        <f t="shared" si="5"/>
        <v>780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4"/>
        <v>811</v>
      </c>
      <c r="E72" s="221"/>
      <c r="F72" s="221">
        <v>0</v>
      </c>
      <c r="G72" s="221"/>
      <c r="H72" s="221">
        <f t="shared" si="5"/>
        <v>811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4"/>
        <v>842</v>
      </c>
      <c r="E73" s="221"/>
      <c r="F73" s="221">
        <v>0</v>
      </c>
      <c r="G73" s="221"/>
      <c r="H73" s="221">
        <f t="shared" si="5"/>
        <v>842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4"/>
        <v>875</v>
      </c>
      <c r="E74" s="221"/>
      <c r="F74" s="221">
        <v>0</v>
      </c>
      <c r="G74" s="221"/>
      <c r="H74" s="221">
        <f t="shared" si="5"/>
        <v>875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4"/>
        <v>910</v>
      </c>
      <c r="E75" s="221"/>
      <c r="F75" s="221">
        <v>0</v>
      </c>
      <c r="G75" s="221"/>
      <c r="H75" s="221">
        <f t="shared" si="5"/>
        <v>910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4"/>
        <v>945</v>
      </c>
      <c r="E76" s="269"/>
      <c r="F76" s="269">
        <v>0</v>
      </c>
      <c r="G76" s="269"/>
      <c r="H76" s="269">
        <f t="shared" si="5"/>
        <v>945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4"/>
        <v>982</v>
      </c>
      <c r="E77" s="221"/>
      <c r="F77" s="221">
        <v>0</v>
      </c>
      <c r="G77" s="221"/>
      <c r="H77" s="221">
        <f t="shared" si="5"/>
        <v>982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4"/>
        <v>1021</v>
      </c>
      <c r="E78" s="221"/>
      <c r="F78" s="221">
        <v>0</v>
      </c>
      <c r="G78" s="221"/>
      <c r="H78" s="221">
        <f t="shared" si="5"/>
        <v>1021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4"/>
        <v>1061</v>
      </c>
      <c r="E79" s="221"/>
      <c r="F79" s="221">
        <v>0</v>
      </c>
      <c r="G79" s="221"/>
      <c r="H79" s="221">
        <f t="shared" si="5"/>
        <v>1061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4"/>
        <v>1102</v>
      </c>
      <c r="E80" s="221"/>
      <c r="F80" s="221">
        <v>0</v>
      </c>
      <c r="G80" s="221"/>
      <c r="H80" s="221">
        <f t="shared" si="5"/>
        <v>1102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4"/>
        <v>1145</v>
      </c>
      <c r="E81" s="269"/>
      <c r="F81" s="269">
        <v>0</v>
      </c>
      <c r="G81" s="269"/>
      <c r="H81" s="269">
        <f t="shared" si="5"/>
        <v>1145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492</v>
      </c>
      <c r="F82" s="226"/>
      <c r="G82" s="224" t="s">
        <v>179</v>
      </c>
      <c r="H82" s="224">
        <f>ROUND((E$82/D$9)^(1/(COUNT(D$9:D$16)-1)),6)</f>
        <v>1.0391600000000001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204">
        <f t="shared" ref="B99:B108" si="6">B7</f>
        <v>2004</v>
      </c>
      <c r="C99" s="204"/>
      <c r="D99" s="208">
        <f t="shared" ref="D99:D108" si="7">VLOOKUP(B99,B$7:E$16,3,FALSE)</f>
        <v>0</v>
      </c>
      <c r="E99" s="229">
        <f t="shared" ref="E99:E108" si="8">((COUNT(B$99:B$108)-1)/2)+(B99-$C$4)</f>
        <v>-4.5</v>
      </c>
      <c r="F99" s="208">
        <f t="shared" ref="F99:F108" si="9">E99^2</f>
        <v>20.25</v>
      </c>
      <c r="G99" s="206"/>
      <c r="H99" s="230">
        <f t="shared" ref="H99:H108" si="10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204">
        <f t="shared" si="6"/>
        <v>2005</v>
      </c>
      <c r="C100" s="204"/>
      <c r="D100" s="208">
        <f t="shared" si="7"/>
        <v>0</v>
      </c>
      <c r="E100" s="229">
        <f t="shared" si="8"/>
        <v>-3.5</v>
      </c>
      <c r="F100" s="208">
        <f t="shared" si="9"/>
        <v>12.25</v>
      </c>
      <c r="G100" s="206"/>
      <c r="H100" s="230">
        <f t="shared" si="10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204">
        <f t="shared" si="6"/>
        <v>2006</v>
      </c>
      <c r="C101" s="204"/>
      <c r="D101" s="208">
        <f t="shared" si="7"/>
        <v>376</v>
      </c>
      <c r="E101" s="229">
        <f t="shared" si="8"/>
        <v>-2.5</v>
      </c>
      <c r="F101" s="208">
        <f>E101^2</f>
        <v>6.25</v>
      </c>
      <c r="G101" s="206"/>
      <c r="H101" s="230">
        <f t="shared" si="10"/>
        <v>-940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204">
        <f t="shared" si="6"/>
        <v>2007</v>
      </c>
      <c r="C102" s="204"/>
      <c r="D102" s="208">
        <f t="shared" si="7"/>
        <v>353</v>
      </c>
      <c r="E102" s="229">
        <f t="shared" si="8"/>
        <v>-1.5</v>
      </c>
      <c r="F102" s="208">
        <f t="shared" si="9"/>
        <v>2.25</v>
      </c>
      <c r="G102" s="206"/>
      <c r="H102" s="230">
        <f t="shared" si="10"/>
        <v>-529.5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204">
        <f t="shared" si="6"/>
        <v>2008</v>
      </c>
      <c r="C103" s="204"/>
      <c r="D103" s="208">
        <f t="shared" si="7"/>
        <v>304</v>
      </c>
      <c r="E103" s="229">
        <f t="shared" si="8"/>
        <v>-0.5</v>
      </c>
      <c r="F103" s="208">
        <f t="shared" si="9"/>
        <v>0.25</v>
      </c>
      <c r="G103" s="206"/>
      <c r="H103" s="230">
        <f t="shared" si="10"/>
        <v>-152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204">
        <f t="shared" si="6"/>
        <v>2009</v>
      </c>
      <c r="C104" s="204"/>
      <c r="D104" s="208">
        <f t="shared" si="7"/>
        <v>365</v>
      </c>
      <c r="E104" s="229">
        <f t="shared" si="8"/>
        <v>0.5</v>
      </c>
      <c r="F104" s="208">
        <f t="shared" si="9"/>
        <v>0.25</v>
      </c>
      <c r="G104" s="206"/>
      <c r="H104" s="230">
        <f t="shared" si="10"/>
        <v>182.5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204">
        <f t="shared" si="6"/>
        <v>2010</v>
      </c>
      <c r="C105" s="204"/>
      <c r="D105" s="208">
        <f t="shared" si="7"/>
        <v>248</v>
      </c>
      <c r="E105" s="229">
        <f t="shared" si="8"/>
        <v>1.5</v>
      </c>
      <c r="F105" s="208">
        <f t="shared" si="9"/>
        <v>2.25</v>
      </c>
      <c r="G105" s="206"/>
      <c r="H105" s="230">
        <f t="shared" si="10"/>
        <v>372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204">
        <f t="shared" si="6"/>
        <v>2011</v>
      </c>
      <c r="C106" s="204"/>
      <c r="D106" s="208">
        <f t="shared" si="7"/>
        <v>242</v>
      </c>
      <c r="E106" s="229">
        <f t="shared" si="8"/>
        <v>2.5</v>
      </c>
      <c r="F106" s="208">
        <f t="shared" si="9"/>
        <v>6.25</v>
      </c>
      <c r="G106" s="206"/>
      <c r="H106" s="230">
        <f t="shared" si="10"/>
        <v>605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204">
        <f t="shared" si="6"/>
        <v>2012</v>
      </c>
      <c r="C107" s="204"/>
      <c r="D107" s="208">
        <f t="shared" si="7"/>
        <v>249</v>
      </c>
      <c r="E107" s="229">
        <f t="shared" si="8"/>
        <v>3.5</v>
      </c>
      <c r="F107" s="208">
        <f t="shared" si="9"/>
        <v>12.25</v>
      </c>
      <c r="G107" s="206"/>
      <c r="H107" s="230">
        <f t="shared" si="10"/>
        <v>871.5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204">
        <f t="shared" si="6"/>
        <v>2013</v>
      </c>
      <c r="C108" s="204"/>
      <c r="D108" s="208">
        <f t="shared" si="7"/>
        <v>492</v>
      </c>
      <c r="E108" s="229">
        <f t="shared" si="8"/>
        <v>4.5</v>
      </c>
      <c r="F108" s="208">
        <f t="shared" si="9"/>
        <v>20.25</v>
      </c>
      <c r="G108" s="206"/>
      <c r="H108" s="230">
        <f t="shared" si="10"/>
        <v>2214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2629</v>
      </c>
      <c r="E109" s="215"/>
      <c r="F109" s="233">
        <f>ROUND(SUM(F99:F108),0)</f>
        <v>83</v>
      </c>
      <c r="G109" s="212"/>
      <c r="H109" s="234">
        <f>SUM(H99:H108)</f>
        <v>2623.5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31.608433734939759</v>
      </c>
      <c r="H110" s="236" t="s">
        <v>199</v>
      </c>
      <c r="I110" s="201"/>
      <c r="J110" s="201"/>
      <c r="K110" s="201">
        <f>ROUND((F109*D109-H109*E109)/(COUNT(B$99:B$108)*F109-E109*E109),0)</f>
        <v>263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1">ROUNDUP(G$110*(B115-B$108+E$108)+K$110,0)</f>
        <v>437</v>
      </c>
      <c r="E115" s="221"/>
      <c r="F115" s="221">
        <v>0</v>
      </c>
      <c r="G115" s="221"/>
      <c r="H115" s="221">
        <f t="shared" ref="H115:H136" si="12">ROUND(D115*(1+F115),0)</f>
        <v>437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1"/>
        <v>469</v>
      </c>
      <c r="E116" s="269"/>
      <c r="F116" s="269">
        <v>0</v>
      </c>
      <c r="G116" s="269"/>
      <c r="H116" s="269">
        <f t="shared" si="12"/>
        <v>469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1"/>
        <v>501</v>
      </c>
      <c r="E117" s="221"/>
      <c r="F117" s="221">
        <v>0</v>
      </c>
      <c r="G117" s="221"/>
      <c r="H117" s="221">
        <f t="shared" si="12"/>
        <v>501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1"/>
        <v>532</v>
      </c>
      <c r="E118" s="221"/>
      <c r="F118" s="221">
        <v>0</v>
      </c>
      <c r="G118" s="221"/>
      <c r="H118" s="221">
        <f t="shared" si="12"/>
        <v>532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1"/>
        <v>564</v>
      </c>
      <c r="E119" s="221"/>
      <c r="F119" s="221">
        <v>0</v>
      </c>
      <c r="G119" s="221"/>
      <c r="H119" s="221">
        <f t="shared" si="12"/>
        <v>564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1"/>
        <v>595</v>
      </c>
      <c r="E120" s="221"/>
      <c r="F120" s="221">
        <v>0</v>
      </c>
      <c r="G120" s="221"/>
      <c r="H120" s="221">
        <f t="shared" si="12"/>
        <v>595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1"/>
        <v>627</v>
      </c>
      <c r="E121" s="269"/>
      <c r="F121" s="269">
        <v>0</v>
      </c>
      <c r="G121" s="269"/>
      <c r="H121" s="269">
        <f t="shared" si="12"/>
        <v>627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1"/>
        <v>659</v>
      </c>
      <c r="E122" s="221"/>
      <c r="F122" s="221">
        <v>0</v>
      </c>
      <c r="G122" s="221"/>
      <c r="H122" s="221">
        <f t="shared" si="12"/>
        <v>659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1"/>
        <v>690</v>
      </c>
      <c r="E123" s="221"/>
      <c r="F123" s="221">
        <v>0</v>
      </c>
      <c r="G123" s="221"/>
      <c r="H123" s="221">
        <f t="shared" si="12"/>
        <v>690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1"/>
        <v>722</v>
      </c>
      <c r="E124" s="221"/>
      <c r="F124" s="221">
        <v>0</v>
      </c>
      <c r="G124" s="221"/>
      <c r="H124" s="221">
        <f t="shared" si="12"/>
        <v>722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1"/>
        <v>753</v>
      </c>
      <c r="E125" s="221"/>
      <c r="F125" s="221">
        <v>0</v>
      </c>
      <c r="G125" s="221"/>
      <c r="H125" s="221">
        <f t="shared" si="12"/>
        <v>753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1"/>
        <v>785</v>
      </c>
      <c r="E126" s="269"/>
      <c r="F126" s="269">
        <v>0</v>
      </c>
      <c r="G126" s="269"/>
      <c r="H126" s="269">
        <f t="shared" si="12"/>
        <v>785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1"/>
        <v>817</v>
      </c>
      <c r="E127" s="221"/>
      <c r="F127" s="221">
        <v>0</v>
      </c>
      <c r="G127" s="221"/>
      <c r="H127" s="221">
        <f t="shared" si="12"/>
        <v>817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1"/>
        <v>848</v>
      </c>
      <c r="E128" s="221"/>
      <c r="F128" s="221">
        <v>0</v>
      </c>
      <c r="G128" s="221"/>
      <c r="H128" s="221">
        <f t="shared" si="12"/>
        <v>848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1"/>
        <v>880</v>
      </c>
      <c r="E129" s="221"/>
      <c r="F129" s="221">
        <v>0</v>
      </c>
      <c r="G129" s="221"/>
      <c r="H129" s="221">
        <f t="shared" si="12"/>
        <v>880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1"/>
        <v>911</v>
      </c>
      <c r="E130" s="221"/>
      <c r="F130" s="221">
        <v>0</v>
      </c>
      <c r="G130" s="221"/>
      <c r="H130" s="221">
        <f t="shared" si="12"/>
        <v>911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1"/>
        <v>943</v>
      </c>
      <c r="E131" s="269"/>
      <c r="F131" s="269">
        <v>0</v>
      </c>
      <c r="G131" s="269"/>
      <c r="H131" s="269">
        <f t="shared" si="12"/>
        <v>943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1"/>
        <v>975</v>
      </c>
      <c r="E132" s="221"/>
      <c r="F132" s="221">
        <v>0</v>
      </c>
      <c r="G132" s="221"/>
      <c r="H132" s="221">
        <f t="shared" si="12"/>
        <v>975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1"/>
        <v>1006</v>
      </c>
      <c r="E133" s="221"/>
      <c r="F133" s="221">
        <v>0</v>
      </c>
      <c r="G133" s="221"/>
      <c r="H133" s="221">
        <f t="shared" si="12"/>
        <v>1006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1"/>
        <v>1038</v>
      </c>
      <c r="E134" s="221"/>
      <c r="F134" s="221">
        <v>0</v>
      </c>
      <c r="G134" s="221"/>
      <c r="H134" s="221">
        <f t="shared" si="12"/>
        <v>1038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1"/>
        <v>1070</v>
      </c>
      <c r="E135" s="221"/>
      <c r="F135" s="221">
        <v>0</v>
      </c>
      <c r="G135" s="221"/>
      <c r="H135" s="221">
        <f t="shared" si="12"/>
        <v>1070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1"/>
        <v>1101</v>
      </c>
      <c r="E136" s="269"/>
      <c r="F136" s="269">
        <v>0</v>
      </c>
      <c r="G136" s="269"/>
      <c r="H136" s="269">
        <f t="shared" si="12"/>
        <v>1101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204">
        <f t="shared" ref="B146:B155" si="13">B99</f>
        <v>2004</v>
      </c>
      <c r="C146" s="204"/>
      <c r="D146" s="208">
        <f t="shared" ref="D146:D155" si="14">VLOOKUP(B146,B$7:E$16,3,FALSE)</f>
        <v>0</v>
      </c>
      <c r="E146" s="244">
        <f t="shared" ref="E146:E155" si="15">IF(G$140=FALSE,"",((COUNT(B$99:B$108)-1))+(B146-$C$4))</f>
        <v>0</v>
      </c>
      <c r="F146" s="245">
        <f>IF(E146=0,0,"")</f>
        <v>0</v>
      </c>
      <c r="G146" s="246">
        <f t="shared" ref="G146:G155" si="16">IF(F146="","",F146^2)</f>
        <v>0</v>
      </c>
      <c r="H146" s="231">
        <f t="shared" ref="H146:H155" si="17">IF(G146="","",ABS(D146-D$146))</f>
        <v>0</v>
      </c>
      <c r="I146" s="231"/>
      <c r="J146" s="245">
        <f>IF(H146=0,0,"")</f>
        <v>0</v>
      </c>
      <c r="K146" s="247">
        <f t="shared" ref="K146:K155" si="18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204">
        <f t="shared" si="13"/>
        <v>2005</v>
      </c>
      <c r="C147" s="204"/>
      <c r="D147" s="208">
        <f t="shared" si="14"/>
        <v>0</v>
      </c>
      <c r="E147" s="244">
        <f t="shared" si="15"/>
        <v>1</v>
      </c>
      <c r="F147" s="245">
        <f t="shared" ref="F147:F155" si="19">IF(E147="","",LOG(E147))</f>
        <v>0</v>
      </c>
      <c r="G147" s="246">
        <f t="shared" si="16"/>
        <v>0</v>
      </c>
      <c r="H147" s="231">
        <f t="shared" si="17"/>
        <v>0</v>
      </c>
      <c r="I147" s="231"/>
      <c r="J147" s="245">
        <f>IF(H147=0,0,"")</f>
        <v>0</v>
      </c>
      <c r="K147" s="247">
        <f t="shared" si="18"/>
        <v>0</v>
      </c>
      <c r="L147" s="203"/>
      <c r="M147" s="203"/>
      <c r="N147" s="203"/>
      <c r="O147" s="203"/>
    </row>
    <row r="148" spans="1:15" ht="15" customHeight="1">
      <c r="A148" s="203"/>
      <c r="B148" s="204">
        <f t="shared" si="13"/>
        <v>2006</v>
      </c>
      <c r="C148" s="204"/>
      <c r="D148" s="208">
        <f t="shared" si="14"/>
        <v>376</v>
      </c>
      <c r="E148" s="244">
        <f t="shared" si="15"/>
        <v>2</v>
      </c>
      <c r="F148" s="245">
        <f t="shared" si="19"/>
        <v>0.3010299956639812</v>
      </c>
      <c r="G148" s="246">
        <f t="shared" si="16"/>
        <v>9.0619058289456544E-2</v>
      </c>
      <c r="H148" s="231">
        <f t="shared" si="17"/>
        <v>376</v>
      </c>
      <c r="I148" s="231"/>
      <c r="J148" s="247">
        <f t="shared" ref="J148:J155" si="20">IF(H148="","",LOG(H148))</f>
        <v>2.5751878449276608</v>
      </c>
      <c r="K148" s="247">
        <f t="shared" si="18"/>
        <v>0.77520878579251085</v>
      </c>
      <c r="L148" s="203"/>
      <c r="M148" s="203"/>
      <c r="N148" s="203"/>
      <c r="O148" s="203"/>
    </row>
    <row r="149" spans="1:15" ht="15" customHeight="1">
      <c r="A149" s="203"/>
      <c r="B149" s="204">
        <f t="shared" si="13"/>
        <v>2007</v>
      </c>
      <c r="C149" s="204"/>
      <c r="D149" s="208">
        <f t="shared" si="14"/>
        <v>353</v>
      </c>
      <c r="E149" s="244">
        <f t="shared" si="15"/>
        <v>3</v>
      </c>
      <c r="F149" s="245">
        <f t="shared" si="19"/>
        <v>0.47712125471966244</v>
      </c>
      <c r="G149" s="246">
        <f t="shared" si="16"/>
        <v>0.227644691705265</v>
      </c>
      <c r="H149" s="231">
        <f t="shared" si="17"/>
        <v>353</v>
      </c>
      <c r="I149" s="231"/>
      <c r="J149" s="247">
        <f t="shared" si="20"/>
        <v>2.5477747053878224</v>
      </c>
      <c r="K149" s="247">
        <f t="shared" si="18"/>
        <v>1.2155974641776561</v>
      </c>
      <c r="L149" s="203"/>
      <c r="M149" s="203"/>
      <c r="N149" s="203"/>
      <c r="O149" s="203"/>
    </row>
    <row r="150" spans="1:15" ht="15" customHeight="1">
      <c r="A150" s="203"/>
      <c r="B150" s="204">
        <f t="shared" si="13"/>
        <v>2008</v>
      </c>
      <c r="C150" s="204"/>
      <c r="D150" s="208">
        <f t="shared" si="14"/>
        <v>304</v>
      </c>
      <c r="E150" s="244">
        <f t="shared" si="15"/>
        <v>4</v>
      </c>
      <c r="F150" s="245">
        <f t="shared" si="19"/>
        <v>0.6020599913279624</v>
      </c>
      <c r="G150" s="246">
        <f t="shared" si="16"/>
        <v>0.36247623315782618</v>
      </c>
      <c r="H150" s="231">
        <f t="shared" si="17"/>
        <v>304</v>
      </c>
      <c r="I150" s="231"/>
      <c r="J150" s="247">
        <f t="shared" si="20"/>
        <v>2.4828735836087539</v>
      </c>
      <c r="K150" s="247">
        <f t="shared" si="18"/>
        <v>1.4948388482159132</v>
      </c>
      <c r="L150" s="203"/>
      <c r="M150" s="203"/>
      <c r="N150" s="203"/>
      <c r="O150" s="203"/>
    </row>
    <row r="151" spans="1:15" ht="15" customHeight="1">
      <c r="A151" s="203"/>
      <c r="B151" s="204">
        <f t="shared" si="13"/>
        <v>2009</v>
      </c>
      <c r="C151" s="204"/>
      <c r="D151" s="208">
        <f t="shared" si="14"/>
        <v>365</v>
      </c>
      <c r="E151" s="244">
        <f t="shared" si="15"/>
        <v>5</v>
      </c>
      <c r="F151" s="245">
        <f t="shared" si="19"/>
        <v>0.69897000433601886</v>
      </c>
      <c r="G151" s="246">
        <f t="shared" si="16"/>
        <v>0.4885590669614942</v>
      </c>
      <c r="H151" s="231">
        <f t="shared" si="17"/>
        <v>365</v>
      </c>
      <c r="I151" s="231"/>
      <c r="J151" s="247">
        <f t="shared" si="20"/>
        <v>2.5622928644564746</v>
      </c>
      <c r="K151" s="247">
        <f t="shared" si="18"/>
        <v>1.7909658545792924</v>
      </c>
      <c r="L151" s="203"/>
      <c r="M151" s="203"/>
      <c r="N151" s="203"/>
      <c r="O151" s="203"/>
    </row>
    <row r="152" spans="1:15" ht="15" customHeight="1">
      <c r="A152" s="203"/>
      <c r="B152" s="204">
        <f t="shared" si="13"/>
        <v>2010</v>
      </c>
      <c r="C152" s="204"/>
      <c r="D152" s="208">
        <f t="shared" si="14"/>
        <v>248</v>
      </c>
      <c r="E152" s="244">
        <f t="shared" si="15"/>
        <v>6</v>
      </c>
      <c r="F152" s="245">
        <f t="shared" si="19"/>
        <v>0.77815125038364363</v>
      </c>
      <c r="G152" s="246">
        <f t="shared" si="16"/>
        <v>0.60551936847362808</v>
      </c>
      <c r="H152" s="231">
        <f t="shared" si="17"/>
        <v>248</v>
      </c>
      <c r="I152" s="231"/>
      <c r="J152" s="247">
        <f t="shared" si="20"/>
        <v>2.3944516808262164</v>
      </c>
      <c r="K152" s="247">
        <f t="shared" si="18"/>
        <v>1.8632455694181376</v>
      </c>
      <c r="L152" s="203"/>
      <c r="M152" s="203"/>
      <c r="N152" s="203"/>
      <c r="O152" s="203"/>
    </row>
    <row r="153" spans="1:15" ht="15" customHeight="1">
      <c r="A153" s="203"/>
      <c r="B153" s="204">
        <f t="shared" si="13"/>
        <v>2011</v>
      </c>
      <c r="C153" s="204"/>
      <c r="D153" s="208">
        <f t="shared" si="14"/>
        <v>242</v>
      </c>
      <c r="E153" s="244">
        <f t="shared" si="15"/>
        <v>7</v>
      </c>
      <c r="F153" s="245">
        <f t="shared" si="19"/>
        <v>0.84509804001425681</v>
      </c>
      <c r="G153" s="246">
        <f t="shared" si="16"/>
        <v>0.71419069723593842</v>
      </c>
      <c r="H153" s="231">
        <f t="shared" si="17"/>
        <v>242</v>
      </c>
      <c r="I153" s="231"/>
      <c r="J153" s="247">
        <f t="shared" si="20"/>
        <v>2.3838153659804311</v>
      </c>
      <c r="K153" s="247">
        <f t="shared" si="18"/>
        <v>2.0145576935459304</v>
      </c>
      <c r="L153" s="203"/>
      <c r="M153" s="203"/>
      <c r="N153" s="203"/>
      <c r="O153" s="203"/>
    </row>
    <row r="154" spans="1:15" ht="15" customHeight="1">
      <c r="A154" s="203"/>
      <c r="B154" s="204">
        <f t="shared" si="13"/>
        <v>2012</v>
      </c>
      <c r="C154" s="204"/>
      <c r="D154" s="208">
        <f t="shared" si="14"/>
        <v>249</v>
      </c>
      <c r="E154" s="244">
        <f t="shared" si="15"/>
        <v>8</v>
      </c>
      <c r="F154" s="245">
        <f t="shared" si="19"/>
        <v>0.90308998699194354</v>
      </c>
      <c r="G154" s="246">
        <f t="shared" si="16"/>
        <v>0.81557152460510873</v>
      </c>
      <c r="H154" s="231">
        <f t="shared" si="17"/>
        <v>249</v>
      </c>
      <c r="I154" s="231"/>
      <c r="J154" s="247">
        <f t="shared" si="20"/>
        <v>2.3961993470957363</v>
      </c>
      <c r="K154" s="247">
        <f t="shared" si="18"/>
        <v>2.1639836371987919</v>
      </c>
      <c r="L154" s="203"/>
      <c r="M154" s="203"/>
      <c r="N154" s="203"/>
      <c r="O154" s="203"/>
    </row>
    <row r="155" spans="1:15" ht="15" customHeight="1">
      <c r="A155" s="203"/>
      <c r="B155" s="204">
        <f t="shared" si="13"/>
        <v>2013</v>
      </c>
      <c r="C155" s="204"/>
      <c r="D155" s="208">
        <f t="shared" si="14"/>
        <v>492</v>
      </c>
      <c r="E155" s="244">
        <f t="shared" si="15"/>
        <v>9</v>
      </c>
      <c r="F155" s="245">
        <f t="shared" si="19"/>
        <v>0.95424250943932487</v>
      </c>
      <c r="G155" s="246">
        <f t="shared" si="16"/>
        <v>0.91057876682105998</v>
      </c>
      <c r="H155" s="231">
        <f t="shared" si="17"/>
        <v>492</v>
      </c>
      <c r="I155" s="231"/>
      <c r="J155" s="247">
        <f t="shared" si="20"/>
        <v>2.6919651027673601</v>
      </c>
      <c r="K155" s="247">
        <f t="shared" si="18"/>
        <v>2.5687875349878158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20.034560495050453</v>
      </c>
      <c r="K156" s="253">
        <f>IF(K155="","",SUM(K146:K155))</f>
        <v>13.887185387916048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10.726301496168974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1.9354199999999999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1">IF(J$157=0,0,ROUNDUP(D$146+E$157*(B162-B$146)^J$157,0))</f>
        <v>925</v>
      </c>
      <c r="E162" s="257"/>
      <c r="F162" s="205">
        <v>0</v>
      </c>
      <c r="G162" s="205"/>
      <c r="H162" s="205">
        <f t="shared" ref="H162:H183" si="22">ROUND(D162*(1+F162),0)</f>
        <v>925</v>
      </c>
      <c r="I162" s="205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1"/>
        <v>1112</v>
      </c>
      <c r="E163" s="271"/>
      <c r="F163" s="272">
        <v>0</v>
      </c>
      <c r="G163" s="272"/>
      <c r="H163" s="272">
        <f t="shared" si="22"/>
        <v>1112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1"/>
        <v>1316</v>
      </c>
      <c r="E164" s="257"/>
      <c r="F164" s="258">
        <v>0</v>
      </c>
      <c r="G164" s="258"/>
      <c r="H164" s="258">
        <f t="shared" si="22"/>
        <v>1316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1"/>
        <v>1537</v>
      </c>
      <c r="E165" s="257"/>
      <c r="F165" s="258">
        <v>0</v>
      </c>
      <c r="G165" s="258"/>
      <c r="H165" s="258">
        <f t="shared" si="22"/>
        <v>1537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1"/>
        <v>1773</v>
      </c>
      <c r="E166" s="257"/>
      <c r="F166" s="258">
        <v>0</v>
      </c>
      <c r="G166" s="258"/>
      <c r="H166" s="258">
        <f t="shared" si="22"/>
        <v>1773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1"/>
        <v>2027</v>
      </c>
      <c r="E167" s="257"/>
      <c r="F167" s="258">
        <v>0</v>
      </c>
      <c r="G167" s="258"/>
      <c r="H167" s="258">
        <f t="shared" si="22"/>
        <v>2027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1"/>
        <v>2296</v>
      </c>
      <c r="E168" s="271"/>
      <c r="F168" s="272">
        <v>0</v>
      </c>
      <c r="G168" s="272"/>
      <c r="H168" s="272">
        <f t="shared" si="22"/>
        <v>2296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1"/>
        <v>2582</v>
      </c>
      <c r="E169" s="257"/>
      <c r="F169" s="258">
        <v>0</v>
      </c>
      <c r="G169" s="258"/>
      <c r="H169" s="258">
        <f t="shared" si="22"/>
        <v>2582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1"/>
        <v>2884</v>
      </c>
      <c r="E170" s="257"/>
      <c r="F170" s="258">
        <v>0</v>
      </c>
      <c r="G170" s="258"/>
      <c r="H170" s="258">
        <f t="shared" si="22"/>
        <v>2884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1"/>
        <v>3202</v>
      </c>
      <c r="E171" s="257"/>
      <c r="F171" s="258">
        <v>0</v>
      </c>
      <c r="G171" s="258"/>
      <c r="H171" s="258">
        <f t="shared" si="22"/>
        <v>3202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1"/>
        <v>3536</v>
      </c>
      <c r="E172" s="257"/>
      <c r="F172" s="258">
        <v>0</v>
      </c>
      <c r="G172" s="258"/>
      <c r="H172" s="258">
        <f t="shared" si="22"/>
        <v>3536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1"/>
        <v>3886</v>
      </c>
      <c r="E173" s="271"/>
      <c r="F173" s="272">
        <v>0</v>
      </c>
      <c r="G173" s="272"/>
      <c r="H173" s="272">
        <f t="shared" si="22"/>
        <v>3886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1"/>
        <v>4253</v>
      </c>
      <c r="E174" s="257"/>
      <c r="F174" s="258">
        <v>0</v>
      </c>
      <c r="G174" s="258"/>
      <c r="H174" s="258">
        <f t="shared" si="22"/>
        <v>4253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1"/>
        <v>4635</v>
      </c>
      <c r="E175" s="257"/>
      <c r="F175" s="258">
        <v>0</v>
      </c>
      <c r="G175" s="258"/>
      <c r="H175" s="258">
        <f t="shared" si="22"/>
        <v>4635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1"/>
        <v>5032</v>
      </c>
      <c r="E176" s="257"/>
      <c r="F176" s="258">
        <v>0</v>
      </c>
      <c r="G176" s="258"/>
      <c r="H176" s="258">
        <f t="shared" si="22"/>
        <v>5032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1"/>
        <v>5446</v>
      </c>
      <c r="E177" s="257"/>
      <c r="F177" s="258">
        <v>0</v>
      </c>
      <c r="G177" s="258"/>
      <c r="H177" s="258">
        <f t="shared" si="22"/>
        <v>5446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1"/>
        <v>5876</v>
      </c>
      <c r="E178" s="271"/>
      <c r="F178" s="272">
        <v>0</v>
      </c>
      <c r="G178" s="272"/>
      <c r="H178" s="272">
        <f t="shared" si="22"/>
        <v>5876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1"/>
        <v>6321</v>
      </c>
      <c r="E179" s="257"/>
      <c r="F179" s="258">
        <v>0</v>
      </c>
      <c r="G179" s="258"/>
      <c r="H179" s="258">
        <f t="shared" si="22"/>
        <v>6321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1"/>
        <v>6782</v>
      </c>
      <c r="E180" s="257"/>
      <c r="F180" s="258">
        <v>0</v>
      </c>
      <c r="G180" s="258"/>
      <c r="H180" s="258">
        <f t="shared" si="22"/>
        <v>6782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1"/>
        <v>7258</v>
      </c>
      <c r="E181" s="257"/>
      <c r="F181" s="258">
        <v>0</v>
      </c>
      <c r="G181" s="258"/>
      <c r="H181" s="258">
        <f t="shared" si="22"/>
        <v>7258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1"/>
        <v>7750</v>
      </c>
      <c r="E182" s="257"/>
      <c r="F182" s="258">
        <v>0</v>
      </c>
      <c r="G182" s="258"/>
      <c r="H182" s="258">
        <f t="shared" si="22"/>
        <v>7750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1"/>
        <v>8258</v>
      </c>
      <c r="E183" s="271"/>
      <c r="F183" s="272">
        <v>0</v>
      </c>
      <c r="G183" s="272"/>
      <c r="H183" s="272">
        <f t="shared" si="22"/>
        <v>8258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2000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204">
        <f t="shared" ref="B195:B204" si="23">B146</f>
        <v>2004</v>
      </c>
      <c r="C195" s="204"/>
      <c r="D195" s="208">
        <f t="shared" ref="D195:D204" si="24">VLOOKUP(B195,B$7:E$16,3,FALSE)</f>
        <v>0</v>
      </c>
      <c r="E195" s="244">
        <f t="shared" ref="E195:E204" si="25">((COUNT(B$195:B$204)-1)/2)+(B195-$C$4)</f>
        <v>-4.5</v>
      </c>
      <c r="F195" s="206">
        <f t="shared" ref="F195:F204" si="26">E195^2</f>
        <v>20.25</v>
      </c>
      <c r="G195" s="205">
        <f t="shared" ref="G195:G204" si="27">E$192-D195</f>
        <v>2000</v>
      </c>
      <c r="H195" s="259">
        <v>0</v>
      </c>
      <c r="I195" s="245">
        <f t="shared" ref="I195:I204" si="28">LOG(G195)</f>
        <v>3.3010299956639813</v>
      </c>
      <c r="J195" s="246">
        <f>ROUND(H195-I195,6)</f>
        <v>-3.3010299999999999</v>
      </c>
      <c r="K195" s="246">
        <f t="shared" ref="K195:K204" si="29">E195*J195</f>
        <v>14.854635</v>
      </c>
      <c r="L195" s="203"/>
      <c r="M195" s="203"/>
      <c r="N195" s="203"/>
      <c r="O195" s="203"/>
    </row>
    <row r="196" spans="1:15" ht="15" customHeight="1">
      <c r="A196" s="203"/>
      <c r="B196" s="204">
        <f t="shared" si="23"/>
        <v>2005</v>
      </c>
      <c r="C196" s="204"/>
      <c r="D196" s="208">
        <f t="shared" si="24"/>
        <v>0</v>
      </c>
      <c r="E196" s="244">
        <f t="shared" si="25"/>
        <v>-3.5</v>
      </c>
      <c r="F196" s="206">
        <f t="shared" si="26"/>
        <v>12.25</v>
      </c>
      <c r="G196" s="205">
        <f t="shared" si="27"/>
        <v>2000</v>
      </c>
      <c r="H196" s="259">
        <v>0</v>
      </c>
      <c r="I196" s="245">
        <f t="shared" si="28"/>
        <v>3.3010299956639813</v>
      </c>
      <c r="J196" s="246">
        <f t="shared" ref="J196:J204" si="30">H196-I196</f>
        <v>-3.3010299956639813</v>
      </c>
      <c r="K196" s="246">
        <f t="shared" si="29"/>
        <v>11.553604984823934</v>
      </c>
      <c r="L196" s="203"/>
      <c r="M196" s="203"/>
      <c r="N196" s="203"/>
      <c r="O196" s="203"/>
    </row>
    <row r="197" spans="1:15" ht="15" customHeight="1">
      <c r="A197" s="203"/>
      <c r="B197" s="204">
        <f t="shared" si="23"/>
        <v>2006</v>
      </c>
      <c r="C197" s="204"/>
      <c r="D197" s="208">
        <f t="shared" si="24"/>
        <v>376</v>
      </c>
      <c r="E197" s="244">
        <f t="shared" si="25"/>
        <v>-2.5</v>
      </c>
      <c r="F197" s="206">
        <f t="shared" si="26"/>
        <v>6.25</v>
      </c>
      <c r="G197" s="205">
        <f t="shared" si="27"/>
        <v>1624</v>
      </c>
      <c r="H197" s="259">
        <f t="shared" ref="H197:H204" si="31">LOG(D197)</f>
        <v>2.5751878449276608</v>
      </c>
      <c r="I197" s="245">
        <f t="shared" si="28"/>
        <v>3.2105860249051563</v>
      </c>
      <c r="J197" s="246">
        <f t="shared" si="30"/>
        <v>-0.63539817997749548</v>
      </c>
      <c r="K197" s="246">
        <f t="shared" si="29"/>
        <v>1.5884954499437387</v>
      </c>
      <c r="L197" s="203"/>
      <c r="M197" s="203"/>
      <c r="N197" s="203"/>
      <c r="O197" s="203"/>
    </row>
    <row r="198" spans="1:15" ht="15" customHeight="1">
      <c r="A198" s="203"/>
      <c r="B198" s="204">
        <f t="shared" si="23"/>
        <v>2007</v>
      </c>
      <c r="C198" s="204"/>
      <c r="D198" s="208">
        <f t="shared" si="24"/>
        <v>353</v>
      </c>
      <c r="E198" s="244">
        <f t="shared" si="25"/>
        <v>-1.5</v>
      </c>
      <c r="F198" s="206">
        <f t="shared" si="26"/>
        <v>2.25</v>
      </c>
      <c r="G198" s="205">
        <f t="shared" si="27"/>
        <v>1647</v>
      </c>
      <c r="H198" s="259">
        <f t="shared" si="31"/>
        <v>2.5477747053878224</v>
      </c>
      <c r="I198" s="245">
        <f t="shared" si="28"/>
        <v>3.2166935991697545</v>
      </c>
      <c r="J198" s="246">
        <f t="shared" si="30"/>
        <v>-0.66891889378193214</v>
      </c>
      <c r="K198" s="246">
        <f t="shared" si="29"/>
        <v>1.0033783406728982</v>
      </c>
      <c r="L198" s="203"/>
      <c r="M198" s="203"/>
      <c r="N198" s="203"/>
      <c r="O198" s="203"/>
    </row>
    <row r="199" spans="1:15" ht="15" customHeight="1">
      <c r="A199" s="203"/>
      <c r="B199" s="204">
        <f t="shared" si="23"/>
        <v>2008</v>
      </c>
      <c r="C199" s="204"/>
      <c r="D199" s="208">
        <f t="shared" si="24"/>
        <v>304</v>
      </c>
      <c r="E199" s="244">
        <f t="shared" si="25"/>
        <v>-0.5</v>
      </c>
      <c r="F199" s="206">
        <f t="shared" si="26"/>
        <v>0.25</v>
      </c>
      <c r="G199" s="205">
        <f t="shared" si="27"/>
        <v>1696</v>
      </c>
      <c r="H199" s="259">
        <f t="shared" si="31"/>
        <v>2.4828735836087539</v>
      </c>
      <c r="I199" s="245">
        <f t="shared" si="28"/>
        <v>3.229425847920695</v>
      </c>
      <c r="J199" s="246">
        <f t="shared" si="30"/>
        <v>-0.74655226431194111</v>
      </c>
      <c r="K199" s="246">
        <f t="shared" si="29"/>
        <v>0.37327613215597055</v>
      </c>
      <c r="L199" s="203"/>
      <c r="M199" s="203"/>
      <c r="N199" s="203"/>
      <c r="O199" s="203"/>
    </row>
    <row r="200" spans="1:15" ht="15" customHeight="1">
      <c r="A200" s="203"/>
      <c r="B200" s="204">
        <f t="shared" si="23"/>
        <v>2009</v>
      </c>
      <c r="C200" s="204"/>
      <c r="D200" s="208">
        <f t="shared" si="24"/>
        <v>365</v>
      </c>
      <c r="E200" s="244">
        <f t="shared" si="25"/>
        <v>0.5</v>
      </c>
      <c r="F200" s="206">
        <f t="shared" si="26"/>
        <v>0.25</v>
      </c>
      <c r="G200" s="205">
        <f t="shared" si="27"/>
        <v>1635</v>
      </c>
      <c r="H200" s="259">
        <f t="shared" si="31"/>
        <v>2.5622928644564746</v>
      </c>
      <c r="I200" s="245">
        <f t="shared" si="28"/>
        <v>3.2135177569963047</v>
      </c>
      <c r="J200" s="246">
        <f t="shared" si="30"/>
        <v>-0.65122489253983007</v>
      </c>
      <c r="K200" s="246">
        <f t="shared" si="29"/>
        <v>-0.32561244626991503</v>
      </c>
      <c r="L200" s="203"/>
      <c r="M200" s="203"/>
      <c r="N200" s="203"/>
      <c r="O200" s="203"/>
    </row>
    <row r="201" spans="1:15" ht="15" customHeight="1">
      <c r="A201" s="203"/>
      <c r="B201" s="204">
        <f t="shared" si="23"/>
        <v>2010</v>
      </c>
      <c r="C201" s="204"/>
      <c r="D201" s="208">
        <f t="shared" si="24"/>
        <v>248</v>
      </c>
      <c r="E201" s="244">
        <f t="shared" si="25"/>
        <v>1.5</v>
      </c>
      <c r="F201" s="206">
        <f t="shared" si="26"/>
        <v>2.25</v>
      </c>
      <c r="G201" s="205">
        <f t="shared" si="27"/>
        <v>1752</v>
      </c>
      <c r="H201" s="259">
        <f t="shared" si="31"/>
        <v>2.3944516808262164</v>
      </c>
      <c r="I201" s="245">
        <f t="shared" si="28"/>
        <v>3.2435341018320618</v>
      </c>
      <c r="J201" s="246">
        <f t="shared" si="30"/>
        <v>-0.84908242100584541</v>
      </c>
      <c r="K201" s="246">
        <f t="shared" si="29"/>
        <v>-1.2736236315087681</v>
      </c>
      <c r="L201" s="203"/>
      <c r="M201" s="203"/>
      <c r="N201" s="203"/>
      <c r="O201" s="203"/>
    </row>
    <row r="202" spans="1:15" ht="15" customHeight="1">
      <c r="A202" s="203"/>
      <c r="B202" s="204">
        <f t="shared" si="23"/>
        <v>2011</v>
      </c>
      <c r="C202" s="204"/>
      <c r="D202" s="208">
        <f t="shared" si="24"/>
        <v>242</v>
      </c>
      <c r="E202" s="244">
        <f t="shared" si="25"/>
        <v>2.5</v>
      </c>
      <c r="F202" s="206">
        <f t="shared" si="26"/>
        <v>6.25</v>
      </c>
      <c r="G202" s="205">
        <f t="shared" si="27"/>
        <v>1758</v>
      </c>
      <c r="H202" s="259">
        <f t="shared" si="31"/>
        <v>2.3838153659804311</v>
      </c>
      <c r="I202" s="245">
        <f t="shared" si="28"/>
        <v>3.245018870737753</v>
      </c>
      <c r="J202" s="246">
        <f t="shared" si="30"/>
        <v>-0.86120350475732188</v>
      </c>
      <c r="K202" s="246">
        <f t="shared" si="29"/>
        <v>-2.1530087618933047</v>
      </c>
      <c r="L202" s="203"/>
      <c r="M202" s="203"/>
      <c r="N202" s="203"/>
      <c r="O202" s="203"/>
    </row>
    <row r="203" spans="1:15" ht="15" customHeight="1">
      <c r="A203" s="203"/>
      <c r="B203" s="204">
        <f t="shared" si="23"/>
        <v>2012</v>
      </c>
      <c r="C203" s="204"/>
      <c r="D203" s="208">
        <f t="shared" si="24"/>
        <v>249</v>
      </c>
      <c r="E203" s="244">
        <f t="shared" si="25"/>
        <v>3.5</v>
      </c>
      <c r="F203" s="206">
        <f t="shared" si="26"/>
        <v>12.25</v>
      </c>
      <c r="G203" s="205">
        <f t="shared" si="27"/>
        <v>1751</v>
      </c>
      <c r="H203" s="259">
        <f t="shared" si="31"/>
        <v>2.3961993470957363</v>
      </c>
      <c r="I203" s="245">
        <f t="shared" si="28"/>
        <v>3.2432861460834461</v>
      </c>
      <c r="J203" s="246">
        <f t="shared" si="30"/>
        <v>-0.84708679898770978</v>
      </c>
      <c r="K203" s="246">
        <f t="shared" si="29"/>
        <v>-2.9648037964569842</v>
      </c>
      <c r="L203" s="203"/>
      <c r="M203" s="203"/>
      <c r="N203" s="203"/>
      <c r="O203" s="203"/>
    </row>
    <row r="204" spans="1:15" ht="15" customHeight="1">
      <c r="A204" s="203"/>
      <c r="B204" s="204">
        <f t="shared" si="23"/>
        <v>2013</v>
      </c>
      <c r="C204" s="204"/>
      <c r="D204" s="208">
        <f t="shared" si="24"/>
        <v>492</v>
      </c>
      <c r="E204" s="244">
        <f t="shared" si="25"/>
        <v>4.5</v>
      </c>
      <c r="F204" s="206">
        <f t="shared" si="26"/>
        <v>20.25</v>
      </c>
      <c r="G204" s="205">
        <f t="shared" si="27"/>
        <v>1508</v>
      </c>
      <c r="H204" s="259">
        <f t="shared" si="31"/>
        <v>2.6919651027673601</v>
      </c>
      <c r="I204" s="245">
        <f t="shared" si="28"/>
        <v>3.1784013415337551</v>
      </c>
      <c r="J204" s="246">
        <f t="shared" si="30"/>
        <v>-0.48643623876639497</v>
      </c>
      <c r="K204" s="246">
        <f t="shared" si="29"/>
        <v>-2.1889630744487771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2629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-12.347963189792448</v>
      </c>
      <c r="K205" s="263">
        <f>SUM(K195:K204)</f>
        <v>20.467378197018796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2.8432200000000001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0.56780600000000003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2">ROUNDUP(E$192/(1+EXP(1)^(H$207-K$208*(B212-B$200+0.5))),0)</f>
        <v>1139</v>
      </c>
      <c r="E212" s="208"/>
      <c r="F212" s="208">
        <v>0</v>
      </c>
      <c r="G212" s="208"/>
      <c r="H212" s="208">
        <f t="shared" ref="H212:H233" si="33">ROUND(D212*(1+F212),0)</f>
        <v>1139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2"/>
        <v>1401</v>
      </c>
      <c r="E213" s="269"/>
      <c r="F213" s="269">
        <v>0</v>
      </c>
      <c r="G213" s="269"/>
      <c r="H213" s="269">
        <f t="shared" si="33"/>
        <v>1401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2"/>
        <v>1610</v>
      </c>
      <c r="E214" s="221"/>
      <c r="F214" s="221">
        <v>0</v>
      </c>
      <c r="G214" s="221"/>
      <c r="H214" s="221">
        <f t="shared" si="33"/>
        <v>1610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2"/>
        <v>1759</v>
      </c>
      <c r="E215" s="221"/>
      <c r="F215" s="221">
        <v>0</v>
      </c>
      <c r="G215" s="221"/>
      <c r="H215" s="221">
        <f t="shared" si="33"/>
        <v>1759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2"/>
        <v>1856</v>
      </c>
      <c r="E216" s="221"/>
      <c r="F216" s="221">
        <v>0</v>
      </c>
      <c r="G216" s="221"/>
      <c r="H216" s="221">
        <f t="shared" si="33"/>
        <v>1856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2"/>
        <v>1916</v>
      </c>
      <c r="E217" s="221"/>
      <c r="F217" s="221">
        <v>0</v>
      </c>
      <c r="G217" s="221"/>
      <c r="H217" s="221">
        <f t="shared" si="33"/>
        <v>1916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2"/>
        <v>1952</v>
      </c>
      <c r="E218" s="269"/>
      <c r="F218" s="269">
        <v>0</v>
      </c>
      <c r="G218" s="269"/>
      <c r="H218" s="269">
        <f t="shared" si="33"/>
        <v>1952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2"/>
        <v>1972</v>
      </c>
      <c r="E219" s="221"/>
      <c r="F219" s="221">
        <v>0</v>
      </c>
      <c r="G219" s="221"/>
      <c r="H219" s="221">
        <f t="shared" si="33"/>
        <v>1972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2"/>
        <v>1985</v>
      </c>
      <c r="E220" s="221"/>
      <c r="F220" s="221">
        <v>0</v>
      </c>
      <c r="G220" s="221"/>
      <c r="H220" s="221">
        <f t="shared" si="33"/>
        <v>1985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2"/>
        <v>1991</v>
      </c>
      <c r="E221" s="221"/>
      <c r="F221" s="221">
        <v>0</v>
      </c>
      <c r="G221" s="221"/>
      <c r="H221" s="221">
        <f t="shared" si="33"/>
        <v>1991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2"/>
        <v>1995</v>
      </c>
      <c r="E222" s="221"/>
      <c r="F222" s="221">
        <v>0</v>
      </c>
      <c r="G222" s="221"/>
      <c r="H222" s="221">
        <f t="shared" si="33"/>
        <v>1995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2"/>
        <v>1998</v>
      </c>
      <c r="E223" s="269"/>
      <c r="F223" s="269">
        <v>0</v>
      </c>
      <c r="G223" s="269"/>
      <c r="H223" s="269">
        <f t="shared" si="33"/>
        <v>1998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2"/>
        <v>1999</v>
      </c>
      <c r="E224" s="221"/>
      <c r="F224" s="221">
        <v>0</v>
      </c>
      <c r="G224" s="221"/>
      <c r="H224" s="221">
        <f t="shared" si="33"/>
        <v>1999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2"/>
        <v>2000</v>
      </c>
      <c r="E225" s="221"/>
      <c r="F225" s="221">
        <v>0</v>
      </c>
      <c r="G225" s="221"/>
      <c r="H225" s="221">
        <f t="shared" si="33"/>
        <v>2000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2"/>
        <v>2000</v>
      </c>
      <c r="E226" s="221"/>
      <c r="F226" s="221">
        <v>0</v>
      </c>
      <c r="G226" s="221"/>
      <c r="H226" s="221">
        <f t="shared" si="33"/>
        <v>2000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2"/>
        <v>2000</v>
      </c>
      <c r="E227" s="221"/>
      <c r="F227" s="221">
        <v>0</v>
      </c>
      <c r="G227" s="221"/>
      <c r="H227" s="221">
        <f t="shared" si="33"/>
        <v>2000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2"/>
        <v>2000</v>
      </c>
      <c r="E228" s="269"/>
      <c r="F228" s="269">
        <v>0</v>
      </c>
      <c r="G228" s="269"/>
      <c r="H228" s="269">
        <f t="shared" si="33"/>
        <v>2000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2"/>
        <v>2000</v>
      </c>
      <c r="E229" s="221"/>
      <c r="F229" s="221">
        <v>0</v>
      </c>
      <c r="G229" s="221"/>
      <c r="H229" s="221">
        <f t="shared" si="33"/>
        <v>2000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2"/>
        <v>2000</v>
      </c>
      <c r="E230" s="221"/>
      <c r="F230" s="221">
        <v>0</v>
      </c>
      <c r="G230" s="221"/>
      <c r="H230" s="221">
        <f t="shared" si="33"/>
        <v>2000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2"/>
        <v>2000</v>
      </c>
      <c r="E231" s="221"/>
      <c r="F231" s="221">
        <v>0</v>
      </c>
      <c r="G231" s="221"/>
      <c r="H231" s="221">
        <f t="shared" si="33"/>
        <v>2000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2"/>
        <v>2000</v>
      </c>
      <c r="E232" s="221"/>
      <c r="F232" s="221">
        <v>0</v>
      </c>
      <c r="G232" s="221"/>
      <c r="H232" s="221">
        <f t="shared" si="33"/>
        <v>2000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2"/>
        <v>2000</v>
      </c>
      <c r="E233" s="269"/>
      <c r="F233" s="269">
        <v>0</v>
      </c>
      <c r="G233" s="269"/>
      <c r="H233" s="269">
        <f t="shared" si="33"/>
        <v>2000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547</v>
      </c>
      <c r="E241" s="257">
        <f t="array" ref="E241">IF(B60=B241,H60)</f>
        <v>511</v>
      </c>
      <c r="F241" s="257">
        <f t="array" ref="F241">IF(B115=B241,H115)</f>
        <v>437</v>
      </c>
      <c r="G241" s="257">
        <f t="array" ref="G241">IF(B162=B241,H162)</f>
        <v>925</v>
      </c>
      <c r="H241" s="257">
        <f t="array" ref="H241">IF(B212=B241,H212)</f>
        <v>1139</v>
      </c>
      <c r="I241" s="257">
        <f t="shared" ref="I241:I262" si="34">IF(G241=0,AVERAGE(D241,E241,F241,H241),AVERAGE(D241:H241))</f>
        <v>711.8</v>
      </c>
      <c r="J241" s="266">
        <f t="shared" ref="J241:J262" si="35">ROUND(AVERAGE(D241,F241:G241),0)</f>
        <v>636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601</v>
      </c>
      <c r="E242" s="271">
        <f t="array" ref="E242">IF(B61=B242,H61)</f>
        <v>531</v>
      </c>
      <c r="F242" s="271">
        <f t="array" ref="F242">IF(B116=B242,H116)</f>
        <v>469</v>
      </c>
      <c r="G242" s="271">
        <f t="array" ref="G242">IF(B163=B242,H163)</f>
        <v>1112</v>
      </c>
      <c r="H242" s="271">
        <f t="array" ref="H242">IF(B213=B242,H213)</f>
        <v>1401</v>
      </c>
      <c r="I242" s="271">
        <f t="shared" si="34"/>
        <v>822.8</v>
      </c>
      <c r="J242" s="273">
        <f t="shared" si="35"/>
        <v>727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656</v>
      </c>
      <c r="E243" s="257">
        <f t="array" ref="E243">IF(B62=B243,H62)</f>
        <v>552</v>
      </c>
      <c r="F243" s="257">
        <f t="array" ref="F243">IF(B117=B243,H117)</f>
        <v>501</v>
      </c>
      <c r="G243" s="257">
        <f t="array" ref="G243">IF(B164=B243,H164)</f>
        <v>1316</v>
      </c>
      <c r="H243" s="257">
        <f t="array" ref="H243">IF(B214=B243,H214)</f>
        <v>1610</v>
      </c>
      <c r="I243" s="257">
        <f t="shared" si="34"/>
        <v>927</v>
      </c>
      <c r="J243" s="266">
        <f t="shared" si="35"/>
        <v>824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711</v>
      </c>
      <c r="E244" s="257">
        <f t="array" ref="E244">IF(B63=B244,H63)</f>
        <v>574</v>
      </c>
      <c r="F244" s="257">
        <f t="array" ref="F244">IF(B118=B244,H118)</f>
        <v>532</v>
      </c>
      <c r="G244" s="257">
        <f t="array" ref="G244">IF(B165=B244,H165)</f>
        <v>1537</v>
      </c>
      <c r="H244" s="257">
        <f t="array" ref="H244">IF(B215=B244,H215)</f>
        <v>1759</v>
      </c>
      <c r="I244" s="257">
        <f t="shared" si="34"/>
        <v>1022.6</v>
      </c>
      <c r="J244" s="266">
        <f t="shared" si="35"/>
        <v>927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766</v>
      </c>
      <c r="E245" s="257">
        <f t="array" ref="E245">IF(B64=B245,H64)</f>
        <v>596</v>
      </c>
      <c r="F245" s="257">
        <f t="array" ref="F245">IF(B119=B245,H119)</f>
        <v>564</v>
      </c>
      <c r="G245" s="257">
        <f t="array" ref="G245">IF(B166=B245,H166)</f>
        <v>1773</v>
      </c>
      <c r="H245" s="257">
        <f t="array" ref="H245">IF(B216=B245,H216)</f>
        <v>1856</v>
      </c>
      <c r="I245" s="257">
        <f t="shared" si="34"/>
        <v>1111</v>
      </c>
      <c r="J245" s="266">
        <f t="shared" si="35"/>
        <v>1034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820</v>
      </c>
      <c r="E246" s="257">
        <f t="array" ref="E246">IF(B65=B246,H65)</f>
        <v>620</v>
      </c>
      <c r="F246" s="257">
        <f t="array" ref="F246">IF(B120=B246,H120)</f>
        <v>595</v>
      </c>
      <c r="G246" s="257">
        <f t="array" ref="G246">IF(B167=B246,H167)</f>
        <v>2027</v>
      </c>
      <c r="H246" s="257">
        <f t="array" ref="H246">IF(B217=B246,H217)</f>
        <v>1916</v>
      </c>
      <c r="I246" s="257">
        <f t="shared" si="34"/>
        <v>1195.5999999999999</v>
      </c>
      <c r="J246" s="266">
        <f t="shared" si="35"/>
        <v>1147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875</v>
      </c>
      <c r="E247" s="271">
        <f t="array" ref="E247">IF(B66=B247,H66)</f>
        <v>644</v>
      </c>
      <c r="F247" s="271">
        <f t="array" ref="F247">IF(B121=B247,H121)</f>
        <v>627</v>
      </c>
      <c r="G247" s="271">
        <f t="array" ref="G247">IF(B168=B247,H168)</f>
        <v>2296</v>
      </c>
      <c r="H247" s="271">
        <f t="array" ref="H247">IF(B218=B247,H218)</f>
        <v>1952</v>
      </c>
      <c r="I247" s="271">
        <f t="shared" si="34"/>
        <v>1278.8</v>
      </c>
      <c r="J247" s="273">
        <f t="shared" si="35"/>
        <v>1266</v>
      </c>
      <c r="K247" s="272"/>
      <c r="L247" s="203"/>
      <c r="M247" s="203"/>
      <c r="N247" s="203"/>
      <c r="O247" s="203"/>
    </row>
    <row r="248" spans="1:15" ht="15" customHeight="1">
      <c r="A248" s="203"/>
      <c r="B248" s="220">
        <v>2021</v>
      </c>
      <c r="C248" s="221"/>
      <c r="D248" s="257">
        <f t="array" ref="D248">IF(B33=B248,H33)</f>
        <v>930</v>
      </c>
      <c r="E248" s="257">
        <f t="array" ref="E248">IF(B67=B248,H67)</f>
        <v>669</v>
      </c>
      <c r="F248" s="257">
        <f t="array" ref="F248">IF(B122=B248,H122)</f>
        <v>659</v>
      </c>
      <c r="G248" s="257">
        <f t="array" ref="G248">IF(B169=B248,H169)</f>
        <v>2582</v>
      </c>
      <c r="H248" s="257">
        <f t="array" ref="H248">IF(B219=B248,H219)</f>
        <v>1972</v>
      </c>
      <c r="I248" s="257">
        <f t="shared" si="34"/>
        <v>1362.4</v>
      </c>
      <c r="J248" s="266">
        <f t="shared" si="35"/>
        <v>1390</v>
      </c>
      <c r="K248" s="258"/>
      <c r="L248" s="203"/>
      <c r="M248" s="203"/>
      <c r="N248" s="203"/>
      <c r="O248" s="203"/>
    </row>
    <row r="249" spans="1:15" ht="15" customHeight="1">
      <c r="A249" s="203"/>
      <c r="B249" s="220">
        <v>2022</v>
      </c>
      <c r="C249" s="221"/>
      <c r="D249" s="257">
        <f t="array" ref="D249">IF(B34=B249,H34)</f>
        <v>984</v>
      </c>
      <c r="E249" s="257">
        <f t="array" ref="E249">IF(B68=B249,H68)</f>
        <v>695</v>
      </c>
      <c r="F249" s="257">
        <f t="array" ref="F249">IF(B123=B249,H123)</f>
        <v>690</v>
      </c>
      <c r="G249" s="257">
        <f t="array" ref="G249">IF(B170=B249,H170)</f>
        <v>2884</v>
      </c>
      <c r="H249" s="257">
        <f t="array" ref="H249">IF(B220=B249,H220)</f>
        <v>1985</v>
      </c>
      <c r="I249" s="257">
        <f t="shared" si="34"/>
        <v>1447.6</v>
      </c>
      <c r="J249" s="266">
        <f t="shared" si="35"/>
        <v>1519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1039</v>
      </c>
      <c r="E250" s="257">
        <f t="array" ref="E250">IF(B69=B250,H69)</f>
        <v>722</v>
      </c>
      <c r="F250" s="257">
        <f t="array" ref="F250">IF(B124=B250,H124)</f>
        <v>722</v>
      </c>
      <c r="G250" s="257">
        <f t="array" ref="G250">IF(B171=B250,H171)</f>
        <v>3202</v>
      </c>
      <c r="H250" s="257">
        <f t="array" ref="H250">IF(B221=B250,H221)</f>
        <v>1991</v>
      </c>
      <c r="I250" s="257">
        <f t="shared" si="34"/>
        <v>1535.2</v>
      </c>
      <c r="J250" s="266">
        <f t="shared" si="35"/>
        <v>1654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1094</v>
      </c>
      <c r="E251" s="257">
        <f t="array" ref="E251">IF(B70=B251,H70)</f>
        <v>751</v>
      </c>
      <c r="F251" s="257">
        <f t="array" ref="F251">IF(B125=B251,H125)</f>
        <v>753</v>
      </c>
      <c r="G251" s="257">
        <f t="array" ref="G251">IF(B172=B251,H172)</f>
        <v>3536</v>
      </c>
      <c r="H251" s="257">
        <f t="array" ref="H251">IF(B222=B251,H222)</f>
        <v>1995</v>
      </c>
      <c r="I251" s="257">
        <f t="shared" si="34"/>
        <v>1625.8</v>
      </c>
      <c r="J251" s="266">
        <f t="shared" si="35"/>
        <v>1794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1148</v>
      </c>
      <c r="E252" s="271">
        <f t="array" ref="E252">IF(B71=B252,H71)</f>
        <v>780</v>
      </c>
      <c r="F252" s="271">
        <f t="array" ref="F252">IF(B126=B252,H126)</f>
        <v>785</v>
      </c>
      <c r="G252" s="271">
        <f t="array" ref="G252">IF(B173=B252,H173)</f>
        <v>3886</v>
      </c>
      <c r="H252" s="271">
        <f t="array" ref="H252">IF(B223=B252,H223)</f>
        <v>1998</v>
      </c>
      <c r="I252" s="271">
        <f t="shared" si="34"/>
        <v>1719.4</v>
      </c>
      <c r="J252" s="273">
        <f t="shared" si="35"/>
        <v>1940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1203</v>
      </c>
      <c r="E253" s="257">
        <f t="array" ref="E253">IF(B72=B253,H72)</f>
        <v>811</v>
      </c>
      <c r="F253" s="257">
        <f t="array" ref="F253">IF(B127=B253,H127)</f>
        <v>817</v>
      </c>
      <c r="G253" s="257">
        <f t="array" ref="G253">IF(B174=B253,H174)</f>
        <v>4253</v>
      </c>
      <c r="H253" s="257">
        <f t="array" ref="H253">IF(B224=B253,H224)</f>
        <v>1999</v>
      </c>
      <c r="I253" s="257">
        <f t="shared" si="34"/>
        <v>1816.6</v>
      </c>
      <c r="J253" s="266">
        <f t="shared" si="35"/>
        <v>2091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1258</v>
      </c>
      <c r="E254" s="257">
        <f t="array" ref="E254">IF(B73=B254,H73)</f>
        <v>842</v>
      </c>
      <c r="F254" s="257">
        <f t="array" ref="F254">IF(B128=B254,H128)</f>
        <v>848</v>
      </c>
      <c r="G254" s="257">
        <f t="array" ref="G254">IF(B175=B254,H175)</f>
        <v>4635</v>
      </c>
      <c r="H254" s="257">
        <f t="array" ref="H254">IF(B225=B254,H225)</f>
        <v>2000</v>
      </c>
      <c r="I254" s="257">
        <f t="shared" si="34"/>
        <v>1916.6</v>
      </c>
      <c r="J254" s="266">
        <f t="shared" si="35"/>
        <v>2247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1313</v>
      </c>
      <c r="E255" s="257">
        <f t="array" ref="E255">IF(B74=B255,H74)</f>
        <v>875</v>
      </c>
      <c r="F255" s="257">
        <f t="array" ref="F255">IF(B129=B255,H129)</f>
        <v>880</v>
      </c>
      <c r="G255" s="257">
        <f t="array" ref="G255">IF(B176=B255,H176)</f>
        <v>5032</v>
      </c>
      <c r="H255" s="257">
        <f t="array" ref="H255">IF(B226=B255,H226)</f>
        <v>2000</v>
      </c>
      <c r="I255" s="257">
        <f t="shared" si="34"/>
        <v>2020</v>
      </c>
      <c r="J255" s="266">
        <f t="shared" si="35"/>
        <v>2408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1367</v>
      </c>
      <c r="E256" s="257">
        <f t="array" ref="E256">IF(B75=B256,H75)</f>
        <v>910</v>
      </c>
      <c r="F256" s="257">
        <f t="array" ref="F256">IF(B130=B256,H130)</f>
        <v>911</v>
      </c>
      <c r="G256" s="257">
        <f t="array" ref="G256">IF(B177=B256,H177)</f>
        <v>5446</v>
      </c>
      <c r="H256" s="257">
        <f t="array" ref="H256">IF(B227=B256,H227)</f>
        <v>2000</v>
      </c>
      <c r="I256" s="257">
        <f t="shared" si="34"/>
        <v>2126.8000000000002</v>
      </c>
      <c r="J256" s="266">
        <f t="shared" si="35"/>
        <v>2575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1422</v>
      </c>
      <c r="E257" s="271">
        <f t="array" ref="E257">IF(B76=B257,H76)</f>
        <v>945</v>
      </c>
      <c r="F257" s="271">
        <f t="array" ref="F257">IF(B131=B257,H131)</f>
        <v>943</v>
      </c>
      <c r="G257" s="271">
        <f t="array" ref="G257">IF(B178=B257,H178)</f>
        <v>5876</v>
      </c>
      <c r="H257" s="271">
        <f t="array" ref="H257">IF(B228=B257,H228)</f>
        <v>2000</v>
      </c>
      <c r="I257" s="271">
        <f t="shared" si="34"/>
        <v>2237.1999999999998</v>
      </c>
      <c r="J257" s="273">
        <f t="shared" si="35"/>
        <v>2747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1477</v>
      </c>
      <c r="E258" s="257">
        <f t="array" ref="E258">IF(B77=B258,H77)</f>
        <v>982</v>
      </c>
      <c r="F258" s="257">
        <f t="array" ref="F258">IF(B132=B258,H132)</f>
        <v>975</v>
      </c>
      <c r="G258" s="257">
        <f t="array" ref="G258">IF(B179=B258,H179)</f>
        <v>6321</v>
      </c>
      <c r="H258" s="257">
        <f t="array" ref="H258">IF(B229=B258,H229)</f>
        <v>2000</v>
      </c>
      <c r="I258" s="257">
        <f t="shared" si="34"/>
        <v>2351</v>
      </c>
      <c r="J258" s="266">
        <f t="shared" si="35"/>
        <v>2924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1531</v>
      </c>
      <c r="E259" s="257">
        <f t="array" ref="E259">IF(B78=B259,H78)</f>
        <v>1021</v>
      </c>
      <c r="F259" s="257">
        <f t="array" ref="F259">IF(B133=B259,H133)</f>
        <v>1006</v>
      </c>
      <c r="G259" s="257">
        <f t="array" ref="G259">IF(B180=B259,H180)</f>
        <v>6782</v>
      </c>
      <c r="H259" s="257">
        <f t="array" ref="H259">IF(B230=B259,H230)</f>
        <v>2000</v>
      </c>
      <c r="I259" s="257">
        <f t="shared" si="34"/>
        <v>2468</v>
      </c>
      <c r="J259" s="266">
        <f t="shared" si="35"/>
        <v>3106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1586</v>
      </c>
      <c r="E260" s="257">
        <f t="array" ref="E260">IF(B79=B260,H79)</f>
        <v>1061</v>
      </c>
      <c r="F260" s="257">
        <f t="array" ref="F260">IF(B134=B260,H134)</f>
        <v>1038</v>
      </c>
      <c r="G260" s="257">
        <f t="array" ref="G260">IF(B181=B260,H181)</f>
        <v>7258</v>
      </c>
      <c r="H260" s="257">
        <f t="array" ref="H260">IF(B231=B260,H231)</f>
        <v>2000</v>
      </c>
      <c r="I260" s="257">
        <f t="shared" si="34"/>
        <v>2588.6</v>
      </c>
      <c r="J260" s="266">
        <f t="shared" si="35"/>
        <v>3294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1641</v>
      </c>
      <c r="E261" s="257">
        <f t="array" ref="E261">IF(B80=B261,H80)</f>
        <v>1102</v>
      </c>
      <c r="F261" s="257">
        <f t="array" ref="F261">IF(B135=B261,H135)</f>
        <v>1070</v>
      </c>
      <c r="G261" s="257">
        <f t="array" ref="G261">IF(B182=B261,H182)</f>
        <v>7750</v>
      </c>
      <c r="H261" s="257">
        <f t="array" ref="H261">IF(B232=B261,H232)</f>
        <v>2000</v>
      </c>
      <c r="I261" s="257">
        <f t="shared" si="34"/>
        <v>2712.6</v>
      </c>
      <c r="J261" s="266">
        <f t="shared" si="35"/>
        <v>3487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1695</v>
      </c>
      <c r="E262" s="271">
        <f t="array" ref="E262">IF(B81=B262,H81)</f>
        <v>1145</v>
      </c>
      <c r="F262" s="271">
        <f t="array" ref="F262">IF(B136=B262,H136)</f>
        <v>1101</v>
      </c>
      <c r="G262" s="271">
        <f t="array" ref="G262">IF(B183=B262,H183)</f>
        <v>8258</v>
      </c>
      <c r="H262" s="271">
        <f t="array" ref="H262">IF(B233=B262,H233)</f>
        <v>2000</v>
      </c>
      <c r="I262" s="271">
        <f t="shared" si="34"/>
        <v>2839.8</v>
      </c>
      <c r="J262" s="273">
        <f t="shared" si="35"/>
        <v>3685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2251" t="s">
        <v>1407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2013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2009</v>
      </c>
      <c r="C7" s="204"/>
      <c r="D7" s="205">
        <f>+'감곡면(10년)'!D12</f>
        <v>365</v>
      </c>
      <c r="E7" s="205"/>
      <c r="F7" s="206">
        <v>0</v>
      </c>
      <c r="G7" s="206"/>
      <c r="H7" s="207">
        <v>0</v>
      </c>
      <c r="I7" s="208"/>
      <c r="J7" s="209" t="s">
        <v>145</v>
      </c>
      <c r="K7" s="209">
        <v>2000</v>
      </c>
      <c r="L7" s="203"/>
      <c r="M7" s="203"/>
      <c r="N7" s="203"/>
      <c r="O7" s="203"/>
    </row>
    <row r="8" spans="1:15" ht="15" customHeight="1">
      <c r="A8" s="203"/>
      <c r="B8" s="204">
        <v>2010</v>
      </c>
      <c r="C8" s="204"/>
      <c r="D8" s="205">
        <f>+'감곡면(10년)'!D13</f>
        <v>248</v>
      </c>
      <c r="E8" s="205"/>
      <c r="F8" s="206">
        <f>D8-D7</f>
        <v>-117</v>
      </c>
      <c r="G8" s="206"/>
      <c r="H8" s="207">
        <f>ROUND(F8/D7*100,2)</f>
        <v>-32.049999999999997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v>2011</v>
      </c>
      <c r="C9" s="204"/>
      <c r="D9" s="205">
        <f>+'감곡면(10년)'!D14</f>
        <v>242</v>
      </c>
      <c r="E9" s="205"/>
      <c r="F9" s="206">
        <f>D9-D8</f>
        <v>-6</v>
      </c>
      <c r="G9" s="206"/>
      <c r="H9" s="207">
        <f>ROUND(F9/D8*100,2)</f>
        <v>-2.42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v>2012</v>
      </c>
      <c r="C10" s="204"/>
      <c r="D10" s="205">
        <f>+'감곡면(10년)'!D15</f>
        <v>249</v>
      </c>
      <c r="E10" s="205"/>
      <c r="F10" s="206">
        <f>D10-D9</f>
        <v>7</v>
      </c>
      <c r="G10" s="206"/>
      <c r="H10" s="207">
        <f>ROUND(F10/D9*100,2)</f>
        <v>2.89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v>2013</v>
      </c>
      <c r="C11" s="204"/>
      <c r="D11" s="205">
        <f>+'감곡면(10년)'!D16</f>
        <v>492</v>
      </c>
      <c r="E11" s="205"/>
      <c r="F11" s="206">
        <f>D11-D10</f>
        <v>243</v>
      </c>
      <c r="G11" s="206"/>
      <c r="H11" s="207">
        <f>ROUND(F11/D10*100,2)</f>
        <v>97.59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1596</v>
      </c>
      <c r="E12" s="214"/>
      <c r="F12" s="215"/>
      <c r="G12" s="215"/>
      <c r="H12" s="216">
        <f>SUM(H7:H11)</f>
        <v>66.010000000000005</v>
      </c>
      <c r="I12" s="216"/>
      <c r="J12" s="217">
        <f>ROUND(AVERAGE(H7:H11),1)</f>
        <v>13.2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524</v>
      </c>
      <c r="E21" s="221"/>
      <c r="F21" s="221">
        <v>0</v>
      </c>
      <c r="G21" s="221"/>
      <c r="H21" s="221">
        <f t="shared" ref="H21:H42" si="1">ROUND(D21*(1+F21),0)</f>
        <v>524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556</v>
      </c>
      <c r="E22" s="269"/>
      <c r="F22" s="269">
        <v>0</v>
      </c>
      <c r="G22" s="269"/>
      <c r="H22" s="269">
        <f t="shared" si="1"/>
        <v>556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587</v>
      </c>
      <c r="E23" s="221"/>
      <c r="F23" s="221">
        <v>0</v>
      </c>
      <c r="G23" s="221"/>
      <c r="H23" s="221">
        <f t="shared" si="1"/>
        <v>587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619</v>
      </c>
      <c r="E24" s="221"/>
      <c r="F24" s="221">
        <v>0</v>
      </c>
      <c r="G24" s="221"/>
      <c r="H24" s="221">
        <f t="shared" si="1"/>
        <v>619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651</v>
      </c>
      <c r="E25" s="221"/>
      <c r="F25" s="221">
        <v>0</v>
      </c>
      <c r="G25" s="221"/>
      <c r="H25" s="221">
        <f t="shared" si="1"/>
        <v>651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683</v>
      </c>
      <c r="E26" s="221"/>
      <c r="F26" s="221">
        <v>0</v>
      </c>
      <c r="G26" s="221"/>
      <c r="H26" s="221">
        <f t="shared" si="1"/>
        <v>683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715</v>
      </c>
      <c r="E27" s="269"/>
      <c r="F27" s="269">
        <v>0</v>
      </c>
      <c r="G27" s="269"/>
      <c r="H27" s="269">
        <f t="shared" si="1"/>
        <v>715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746</v>
      </c>
      <c r="E28" s="221"/>
      <c r="F28" s="221">
        <v>0</v>
      </c>
      <c r="G28" s="221"/>
      <c r="H28" s="221">
        <f t="shared" si="1"/>
        <v>746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778</v>
      </c>
      <c r="E29" s="221"/>
      <c r="F29" s="221">
        <v>0</v>
      </c>
      <c r="G29" s="221"/>
      <c r="H29" s="221">
        <f t="shared" si="1"/>
        <v>778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810</v>
      </c>
      <c r="E30" s="221"/>
      <c r="F30" s="221">
        <v>0</v>
      </c>
      <c r="G30" s="221"/>
      <c r="H30" s="221">
        <f t="shared" si="1"/>
        <v>810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842</v>
      </c>
      <c r="E31" s="221"/>
      <c r="F31" s="221">
        <v>0</v>
      </c>
      <c r="G31" s="221"/>
      <c r="H31" s="221">
        <f t="shared" si="1"/>
        <v>842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874</v>
      </c>
      <c r="E32" s="269"/>
      <c r="F32" s="269">
        <v>0</v>
      </c>
      <c r="G32" s="269"/>
      <c r="H32" s="269">
        <f t="shared" si="1"/>
        <v>874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905</v>
      </c>
      <c r="E33" s="221"/>
      <c r="F33" s="221">
        <v>0</v>
      </c>
      <c r="G33" s="221"/>
      <c r="H33" s="221">
        <f t="shared" si="1"/>
        <v>905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937</v>
      </c>
      <c r="E34" s="221"/>
      <c r="F34" s="221">
        <v>0</v>
      </c>
      <c r="G34" s="221"/>
      <c r="H34" s="221">
        <f t="shared" si="1"/>
        <v>937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969</v>
      </c>
      <c r="E35" s="221"/>
      <c r="F35" s="221">
        <v>0</v>
      </c>
      <c r="G35" s="221"/>
      <c r="H35" s="221">
        <f t="shared" si="1"/>
        <v>969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1001</v>
      </c>
      <c r="E36" s="221"/>
      <c r="F36" s="221">
        <v>0</v>
      </c>
      <c r="G36" s="221"/>
      <c r="H36" s="221">
        <f t="shared" si="1"/>
        <v>1001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1033</v>
      </c>
      <c r="E37" s="269"/>
      <c r="F37" s="269">
        <v>0</v>
      </c>
      <c r="G37" s="269"/>
      <c r="H37" s="269">
        <f t="shared" si="1"/>
        <v>1033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1064</v>
      </c>
      <c r="E38" s="221"/>
      <c r="F38" s="221">
        <v>0</v>
      </c>
      <c r="G38" s="221"/>
      <c r="H38" s="221">
        <f t="shared" si="1"/>
        <v>1064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1096</v>
      </c>
      <c r="E39" s="221"/>
      <c r="F39" s="221">
        <v>0</v>
      </c>
      <c r="G39" s="221"/>
      <c r="H39" s="221">
        <f t="shared" si="1"/>
        <v>1096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1128</v>
      </c>
      <c r="E40" s="221"/>
      <c r="F40" s="221">
        <v>0</v>
      </c>
      <c r="G40" s="221"/>
      <c r="H40" s="221">
        <f t="shared" si="1"/>
        <v>1128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1160</v>
      </c>
      <c r="E41" s="221"/>
      <c r="F41" s="221">
        <v>0</v>
      </c>
      <c r="G41" s="221"/>
      <c r="H41" s="221">
        <f t="shared" si="1"/>
        <v>1160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1192</v>
      </c>
      <c r="E42" s="269"/>
      <c r="F42" s="269">
        <v>0</v>
      </c>
      <c r="G42" s="269"/>
      <c r="H42" s="269">
        <f t="shared" si="1"/>
        <v>1192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492</v>
      </c>
      <c r="F43" s="226"/>
      <c r="G43" s="224" t="s">
        <v>162</v>
      </c>
      <c r="H43" s="224">
        <f>ROUND((D$11-D$7)/(COUNT(D$7:D$11)-1),1)</f>
        <v>31.8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530</v>
      </c>
      <c r="E55" s="221"/>
      <c r="F55" s="221">
        <v>0</v>
      </c>
      <c r="G55" s="221"/>
      <c r="H55" s="221">
        <f t="shared" ref="H55:H76" si="3">ROUND(D55*(1+F55),0)</f>
        <v>530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571</v>
      </c>
      <c r="E56" s="269"/>
      <c r="F56" s="269">
        <v>0</v>
      </c>
      <c r="G56" s="269"/>
      <c r="H56" s="269">
        <f t="shared" si="3"/>
        <v>571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615</v>
      </c>
      <c r="E57" s="221"/>
      <c r="F57" s="221">
        <v>0</v>
      </c>
      <c r="G57" s="221"/>
      <c r="H57" s="221">
        <f t="shared" si="3"/>
        <v>615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663</v>
      </c>
      <c r="E58" s="221"/>
      <c r="F58" s="221">
        <v>0</v>
      </c>
      <c r="G58" s="221"/>
      <c r="H58" s="221">
        <f t="shared" si="3"/>
        <v>663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715</v>
      </c>
      <c r="E59" s="221"/>
      <c r="F59" s="221">
        <v>0</v>
      </c>
      <c r="G59" s="221"/>
      <c r="H59" s="221">
        <f t="shared" si="3"/>
        <v>715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770</v>
      </c>
      <c r="E60" s="221"/>
      <c r="F60" s="221">
        <v>0</v>
      </c>
      <c r="G60" s="221"/>
      <c r="H60" s="221">
        <f t="shared" si="3"/>
        <v>770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830</v>
      </c>
      <c r="E61" s="269"/>
      <c r="F61" s="269">
        <v>0</v>
      </c>
      <c r="G61" s="269"/>
      <c r="H61" s="269">
        <f t="shared" si="3"/>
        <v>830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894</v>
      </c>
      <c r="E62" s="221"/>
      <c r="F62" s="221">
        <v>0</v>
      </c>
      <c r="G62" s="221"/>
      <c r="H62" s="221">
        <f t="shared" si="3"/>
        <v>894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963</v>
      </c>
      <c r="E63" s="221"/>
      <c r="F63" s="221">
        <v>0</v>
      </c>
      <c r="G63" s="221"/>
      <c r="H63" s="221">
        <f t="shared" si="3"/>
        <v>963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1038</v>
      </c>
      <c r="E64" s="221"/>
      <c r="F64" s="221">
        <v>0</v>
      </c>
      <c r="G64" s="221"/>
      <c r="H64" s="221">
        <f t="shared" si="3"/>
        <v>1038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1118</v>
      </c>
      <c r="E65" s="221"/>
      <c r="F65" s="221">
        <v>0</v>
      </c>
      <c r="G65" s="221"/>
      <c r="H65" s="221">
        <f t="shared" si="3"/>
        <v>1118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1205</v>
      </c>
      <c r="E66" s="269"/>
      <c r="F66" s="269">
        <v>0</v>
      </c>
      <c r="G66" s="269"/>
      <c r="H66" s="269">
        <f t="shared" si="3"/>
        <v>1205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1298</v>
      </c>
      <c r="E67" s="221"/>
      <c r="F67" s="221">
        <v>0</v>
      </c>
      <c r="G67" s="221"/>
      <c r="H67" s="221">
        <f t="shared" si="3"/>
        <v>1298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1399</v>
      </c>
      <c r="E68" s="221"/>
      <c r="F68" s="221">
        <v>0</v>
      </c>
      <c r="G68" s="221"/>
      <c r="H68" s="221">
        <f t="shared" si="3"/>
        <v>1399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1507</v>
      </c>
      <c r="E69" s="221"/>
      <c r="F69" s="221">
        <v>0</v>
      </c>
      <c r="G69" s="221"/>
      <c r="H69" s="221">
        <f t="shared" si="3"/>
        <v>1507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1624</v>
      </c>
      <c r="E70" s="221"/>
      <c r="F70" s="221">
        <v>0</v>
      </c>
      <c r="G70" s="221"/>
      <c r="H70" s="221">
        <f t="shared" si="3"/>
        <v>1624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1750</v>
      </c>
      <c r="E71" s="269"/>
      <c r="F71" s="269">
        <v>0</v>
      </c>
      <c r="G71" s="269"/>
      <c r="H71" s="269">
        <f t="shared" si="3"/>
        <v>1750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1886</v>
      </c>
      <c r="E72" s="221"/>
      <c r="F72" s="221">
        <v>0</v>
      </c>
      <c r="G72" s="221"/>
      <c r="H72" s="221">
        <f t="shared" si="3"/>
        <v>1886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2032</v>
      </c>
      <c r="E73" s="221"/>
      <c r="F73" s="221">
        <v>0</v>
      </c>
      <c r="G73" s="221"/>
      <c r="H73" s="221">
        <f t="shared" si="3"/>
        <v>2032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2189</v>
      </c>
      <c r="E74" s="221"/>
      <c r="F74" s="221">
        <v>0</v>
      </c>
      <c r="G74" s="221"/>
      <c r="H74" s="221">
        <f t="shared" si="3"/>
        <v>2189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2359</v>
      </c>
      <c r="E75" s="221"/>
      <c r="F75" s="221">
        <v>0</v>
      </c>
      <c r="G75" s="221"/>
      <c r="H75" s="221">
        <f t="shared" si="3"/>
        <v>2359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2542</v>
      </c>
      <c r="E76" s="269"/>
      <c r="F76" s="269">
        <v>0</v>
      </c>
      <c r="G76" s="269"/>
      <c r="H76" s="269">
        <f t="shared" si="3"/>
        <v>2542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492</v>
      </c>
      <c r="F77" s="226"/>
      <c r="G77" s="224" t="s">
        <v>179</v>
      </c>
      <c r="H77" s="224">
        <f>ROUND((E$77/D$7)^(1/(COUNT(D$7:D$11)-1)),6)</f>
        <v>1.077502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204">
        <f>B7</f>
        <v>2009</v>
      </c>
      <c r="C94" s="204"/>
      <c r="D94" s="208">
        <f>VLOOKUP(B94,B$7:E$11,3,FALSE)</f>
        <v>365</v>
      </c>
      <c r="E94" s="204">
        <f>((COUNT(B$94:B$98)-1)/2)+(B94-$C$4)</f>
        <v>-2</v>
      </c>
      <c r="F94" s="208">
        <f>E94^2</f>
        <v>4</v>
      </c>
      <c r="G94" s="206"/>
      <c r="H94" s="230">
        <f>ROUND(D94*E94,2)</f>
        <v>-730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204">
        <f>B8</f>
        <v>2010</v>
      </c>
      <c r="C95" s="204"/>
      <c r="D95" s="208">
        <f>VLOOKUP(B95,B$7:E$11,3,FALSE)</f>
        <v>248</v>
      </c>
      <c r="E95" s="204">
        <f>((COUNT(B$94:B$98)-1)/2)+(B95-$C$4)</f>
        <v>-1</v>
      </c>
      <c r="F95" s="208">
        <f>E95^2</f>
        <v>1</v>
      </c>
      <c r="G95" s="206"/>
      <c r="H95" s="230">
        <f>ROUND(D95*E95,2)</f>
        <v>-248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204">
        <f>B9</f>
        <v>2011</v>
      </c>
      <c r="C96" s="204"/>
      <c r="D96" s="208">
        <f>VLOOKUP(B96,B$7:E$11,3,FALSE)</f>
        <v>242</v>
      </c>
      <c r="E96" s="204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204">
        <f>B10</f>
        <v>2012</v>
      </c>
      <c r="C97" s="204"/>
      <c r="D97" s="208">
        <f>VLOOKUP(B97,B$7:E$11,3,FALSE)</f>
        <v>249</v>
      </c>
      <c r="E97" s="204">
        <f>((COUNT(B$94:B$98)-1)/2)+(B97-$C$4)</f>
        <v>1</v>
      </c>
      <c r="F97" s="208">
        <f>E97^2</f>
        <v>1</v>
      </c>
      <c r="G97" s="206"/>
      <c r="H97" s="230">
        <f>ROUND(D97*E97,2)</f>
        <v>249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204">
        <f>B11</f>
        <v>2013</v>
      </c>
      <c r="C98" s="204"/>
      <c r="D98" s="208">
        <f>VLOOKUP(B98,B$7:E$11,3,FALSE)</f>
        <v>492</v>
      </c>
      <c r="E98" s="204">
        <f>((COUNT(B$94:B$98)-1)/2)+(B98-$C$4)</f>
        <v>2</v>
      </c>
      <c r="F98" s="208">
        <f>E98^2</f>
        <v>4</v>
      </c>
      <c r="G98" s="206"/>
      <c r="H98" s="230">
        <f>ROUND(D98*E98,2)</f>
        <v>984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1596</v>
      </c>
      <c r="E99" s="215"/>
      <c r="F99" s="233">
        <f>ROUND(SUM(F94:F98),0)</f>
        <v>10</v>
      </c>
      <c r="G99" s="212"/>
      <c r="H99" s="211">
        <f>SUM(H94:H98)</f>
        <v>255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25.5</v>
      </c>
      <c r="H100" s="236" t="s">
        <v>199</v>
      </c>
      <c r="I100" s="201"/>
      <c r="J100" s="201"/>
      <c r="K100" s="201">
        <f>ROUND((F99*D99-H99*E99)/(COUNT(B$94:B$98)*F99-E99*E99),0)</f>
        <v>319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396</v>
      </c>
      <c r="E105" s="221"/>
      <c r="F105" s="221">
        <v>0</v>
      </c>
      <c r="G105" s="221"/>
      <c r="H105" s="221">
        <f t="shared" ref="H105:H126" si="5">ROUND(D105*(1+F105),0)</f>
        <v>396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421</v>
      </c>
      <c r="E106" s="269"/>
      <c r="F106" s="269">
        <v>0</v>
      </c>
      <c r="G106" s="269"/>
      <c r="H106" s="269">
        <f t="shared" si="5"/>
        <v>421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447</v>
      </c>
      <c r="E107" s="221"/>
      <c r="F107" s="221">
        <v>0</v>
      </c>
      <c r="G107" s="221"/>
      <c r="H107" s="221">
        <f t="shared" si="5"/>
        <v>447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472</v>
      </c>
      <c r="E108" s="221"/>
      <c r="F108" s="221">
        <v>0</v>
      </c>
      <c r="G108" s="221"/>
      <c r="H108" s="221">
        <f t="shared" si="5"/>
        <v>472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498</v>
      </c>
      <c r="E109" s="221"/>
      <c r="F109" s="221">
        <v>0</v>
      </c>
      <c r="G109" s="221"/>
      <c r="H109" s="221">
        <f t="shared" si="5"/>
        <v>498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523</v>
      </c>
      <c r="E110" s="221"/>
      <c r="F110" s="221">
        <v>0</v>
      </c>
      <c r="G110" s="221"/>
      <c r="H110" s="221">
        <f t="shared" si="5"/>
        <v>523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549</v>
      </c>
      <c r="E111" s="269"/>
      <c r="F111" s="269">
        <v>0</v>
      </c>
      <c r="G111" s="269"/>
      <c r="H111" s="269">
        <f t="shared" si="5"/>
        <v>549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574</v>
      </c>
      <c r="E112" s="221"/>
      <c r="F112" s="221">
        <v>0</v>
      </c>
      <c r="G112" s="221"/>
      <c r="H112" s="221">
        <f t="shared" si="5"/>
        <v>574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600</v>
      </c>
      <c r="E113" s="221"/>
      <c r="F113" s="221">
        <v>0</v>
      </c>
      <c r="G113" s="221"/>
      <c r="H113" s="221">
        <f t="shared" si="5"/>
        <v>600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625</v>
      </c>
      <c r="E114" s="221"/>
      <c r="F114" s="221">
        <v>0</v>
      </c>
      <c r="G114" s="221"/>
      <c r="H114" s="221">
        <f t="shared" si="5"/>
        <v>625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651</v>
      </c>
      <c r="E115" s="221"/>
      <c r="F115" s="221">
        <v>0</v>
      </c>
      <c r="G115" s="221"/>
      <c r="H115" s="221">
        <f t="shared" si="5"/>
        <v>651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676</v>
      </c>
      <c r="E116" s="269"/>
      <c r="F116" s="269">
        <v>0</v>
      </c>
      <c r="G116" s="269"/>
      <c r="H116" s="269">
        <f t="shared" si="5"/>
        <v>676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702</v>
      </c>
      <c r="E117" s="221"/>
      <c r="F117" s="221">
        <v>0</v>
      </c>
      <c r="G117" s="221"/>
      <c r="H117" s="221">
        <f t="shared" si="5"/>
        <v>702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727</v>
      </c>
      <c r="E118" s="221"/>
      <c r="F118" s="221">
        <v>0</v>
      </c>
      <c r="G118" s="221"/>
      <c r="H118" s="221">
        <f t="shared" si="5"/>
        <v>727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753</v>
      </c>
      <c r="E119" s="221"/>
      <c r="F119" s="221">
        <v>0</v>
      </c>
      <c r="G119" s="221"/>
      <c r="H119" s="221">
        <f t="shared" si="5"/>
        <v>753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778</v>
      </c>
      <c r="E120" s="221"/>
      <c r="F120" s="221">
        <v>0</v>
      </c>
      <c r="G120" s="221"/>
      <c r="H120" s="221">
        <f t="shared" si="5"/>
        <v>778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804</v>
      </c>
      <c r="E121" s="269"/>
      <c r="F121" s="269">
        <v>0</v>
      </c>
      <c r="G121" s="269"/>
      <c r="H121" s="269">
        <f t="shared" si="5"/>
        <v>804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829</v>
      </c>
      <c r="E122" s="221"/>
      <c r="F122" s="221">
        <v>0</v>
      </c>
      <c r="G122" s="221"/>
      <c r="H122" s="221">
        <f t="shared" si="5"/>
        <v>829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855</v>
      </c>
      <c r="E123" s="221"/>
      <c r="F123" s="221">
        <v>0</v>
      </c>
      <c r="G123" s="221"/>
      <c r="H123" s="221">
        <f t="shared" si="5"/>
        <v>855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880</v>
      </c>
      <c r="E124" s="221"/>
      <c r="F124" s="221">
        <v>0</v>
      </c>
      <c r="G124" s="221"/>
      <c r="H124" s="221">
        <f t="shared" si="5"/>
        <v>880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906</v>
      </c>
      <c r="E125" s="221"/>
      <c r="F125" s="221">
        <v>0</v>
      </c>
      <c r="G125" s="221"/>
      <c r="H125" s="221">
        <f t="shared" si="5"/>
        <v>906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931</v>
      </c>
      <c r="E126" s="269"/>
      <c r="F126" s="269">
        <v>0</v>
      </c>
      <c r="G126" s="269"/>
      <c r="H126" s="269">
        <f t="shared" si="5"/>
        <v>931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204">
        <f>B94</f>
        <v>2009</v>
      </c>
      <c r="C136" s="204"/>
      <c r="D136" s="208">
        <f>VLOOKUP(B136,B$7:E$11,3,FALSE)</f>
        <v>365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204">
        <f>B95</f>
        <v>2010</v>
      </c>
      <c r="C137" s="204"/>
      <c r="D137" s="208">
        <f>VLOOKUP(B137,B$7:E$11,3,FALSE)</f>
        <v>248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117</v>
      </c>
      <c r="I137" s="231"/>
      <c r="J137" s="247">
        <f>IF(H137="","",LOG(H137))</f>
        <v>2.0681858617461617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204">
        <f>B96</f>
        <v>2011</v>
      </c>
      <c r="C138" s="204"/>
      <c r="D138" s="208">
        <f>VLOOKUP(B138,B$7:E$11,3,FALSE)</f>
        <v>242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123</v>
      </c>
      <c r="I138" s="231"/>
      <c r="J138" s="247">
        <f>IF(H138="","",LOG(H138))</f>
        <v>2.0899051114393981</v>
      </c>
      <c r="K138" s="247">
        <f>IF(J138="","",J138*F138)</f>
        <v>0.62912412663473416</v>
      </c>
      <c r="L138" s="203"/>
      <c r="M138" s="203"/>
      <c r="N138" s="203"/>
      <c r="O138" s="203"/>
    </row>
    <row r="139" spans="1:15" ht="15" customHeight="1">
      <c r="A139" s="203"/>
      <c r="B139" s="204">
        <f>B97</f>
        <v>2012</v>
      </c>
      <c r="C139" s="204"/>
      <c r="D139" s="208">
        <f>VLOOKUP(B139,B$7:E$11,3,FALSE)</f>
        <v>249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116</v>
      </c>
      <c r="I139" s="231"/>
      <c r="J139" s="247">
        <f>IF(H139="","",LOG(H139))</f>
        <v>2.0644579892269186</v>
      </c>
      <c r="K139" s="247">
        <f>IF(J139="","",J139*F139)</f>
        <v>0.98499678613597874</v>
      </c>
      <c r="L139" s="203"/>
      <c r="M139" s="203"/>
      <c r="N139" s="203"/>
      <c r="O139" s="203"/>
    </row>
    <row r="140" spans="1:15" ht="15" customHeight="1">
      <c r="A140" s="203"/>
      <c r="B140" s="204">
        <f>B98</f>
        <v>2013</v>
      </c>
      <c r="C140" s="204"/>
      <c r="D140" s="208">
        <f>VLOOKUP(B140,B$7:E$11,3,FALSE)</f>
        <v>492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127</v>
      </c>
      <c r="I140" s="231"/>
      <c r="J140" s="247">
        <f>IF(H140="","",LOG(H140))</f>
        <v>2.1038037209559568</v>
      </c>
      <c r="K140" s="247">
        <f>IF(J140="","",J140*F140)</f>
        <v>1.2666160499944783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8.3263526833684356</v>
      </c>
      <c r="K141" s="253">
        <f>IF(K140="","",SUM(K136:K140))</f>
        <v>2.8807369627651913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27.917875184247002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3.7679999999999998E-2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395</v>
      </c>
      <c r="E147" s="257"/>
      <c r="F147" s="205">
        <v>0</v>
      </c>
      <c r="G147" s="205"/>
      <c r="H147" s="205">
        <f t="shared" ref="H147:H168" si="7">ROUND(D147*(1+F147),0)</f>
        <v>395</v>
      </c>
      <c r="I147" s="205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395</v>
      </c>
      <c r="E148" s="271"/>
      <c r="F148" s="272">
        <v>0</v>
      </c>
      <c r="G148" s="272"/>
      <c r="H148" s="272">
        <f t="shared" si="7"/>
        <v>395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396</v>
      </c>
      <c r="E149" s="257"/>
      <c r="F149" s="258">
        <v>0</v>
      </c>
      <c r="G149" s="258"/>
      <c r="H149" s="258">
        <f t="shared" si="7"/>
        <v>396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396</v>
      </c>
      <c r="E150" s="257"/>
      <c r="F150" s="258">
        <v>0</v>
      </c>
      <c r="G150" s="258"/>
      <c r="H150" s="258">
        <f t="shared" si="7"/>
        <v>396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396</v>
      </c>
      <c r="E151" s="257"/>
      <c r="F151" s="258">
        <v>0</v>
      </c>
      <c r="G151" s="258"/>
      <c r="H151" s="258">
        <f t="shared" si="7"/>
        <v>396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396</v>
      </c>
      <c r="E152" s="257"/>
      <c r="F152" s="258">
        <v>0</v>
      </c>
      <c r="G152" s="258"/>
      <c r="H152" s="258">
        <f t="shared" si="7"/>
        <v>396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396</v>
      </c>
      <c r="E153" s="271"/>
      <c r="F153" s="272">
        <v>0</v>
      </c>
      <c r="G153" s="272"/>
      <c r="H153" s="272">
        <f t="shared" si="7"/>
        <v>396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396</v>
      </c>
      <c r="E154" s="257"/>
      <c r="F154" s="258">
        <v>0</v>
      </c>
      <c r="G154" s="258"/>
      <c r="H154" s="258">
        <f t="shared" si="7"/>
        <v>396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396</v>
      </c>
      <c r="E155" s="257"/>
      <c r="F155" s="258">
        <v>0</v>
      </c>
      <c r="G155" s="258"/>
      <c r="H155" s="258">
        <f t="shared" si="7"/>
        <v>396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396</v>
      </c>
      <c r="E156" s="257"/>
      <c r="F156" s="258">
        <v>0</v>
      </c>
      <c r="G156" s="258"/>
      <c r="H156" s="258">
        <f t="shared" si="7"/>
        <v>396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396</v>
      </c>
      <c r="E157" s="257"/>
      <c r="F157" s="258">
        <v>0</v>
      </c>
      <c r="G157" s="258"/>
      <c r="H157" s="258">
        <f t="shared" si="7"/>
        <v>396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396</v>
      </c>
      <c r="E158" s="271"/>
      <c r="F158" s="272">
        <v>0</v>
      </c>
      <c r="G158" s="272"/>
      <c r="H158" s="272">
        <f t="shared" si="7"/>
        <v>396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397</v>
      </c>
      <c r="E159" s="257"/>
      <c r="F159" s="258">
        <v>0</v>
      </c>
      <c r="G159" s="258"/>
      <c r="H159" s="258">
        <f t="shared" si="7"/>
        <v>397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397</v>
      </c>
      <c r="E160" s="257"/>
      <c r="F160" s="258">
        <v>0</v>
      </c>
      <c r="G160" s="258"/>
      <c r="H160" s="258">
        <f t="shared" si="7"/>
        <v>397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397</v>
      </c>
      <c r="E161" s="257"/>
      <c r="F161" s="258">
        <v>0</v>
      </c>
      <c r="G161" s="258"/>
      <c r="H161" s="258">
        <f t="shared" si="7"/>
        <v>397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397</v>
      </c>
      <c r="E162" s="257"/>
      <c r="F162" s="258">
        <v>0</v>
      </c>
      <c r="G162" s="258"/>
      <c r="H162" s="258">
        <f t="shared" si="7"/>
        <v>397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397</v>
      </c>
      <c r="E163" s="271"/>
      <c r="F163" s="272">
        <v>0</v>
      </c>
      <c r="G163" s="272"/>
      <c r="H163" s="272">
        <f t="shared" si="7"/>
        <v>397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397</v>
      </c>
      <c r="E164" s="257"/>
      <c r="F164" s="258">
        <v>0</v>
      </c>
      <c r="G164" s="258"/>
      <c r="H164" s="258">
        <f t="shared" si="7"/>
        <v>397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397</v>
      </c>
      <c r="E165" s="257"/>
      <c r="F165" s="258">
        <v>0</v>
      </c>
      <c r="G165" s="258"/>
      <c r="H165" s="258">
        <f t="shared" si="7"/>
        <v>397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397</v>
      </c>
      <c r="E166" s="257"/>
      <c r="F166" s="258">
        <v>0</v>
      </c>
      <c r="G166" s="258"/>
      <c r="H166" s="258">
        <f t="shared" si="7"/>
        <v>397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397</v>
      </c>
      <c r="E167" s="257"/>
      <c r="F167" s="258">
        <v>0</v>
      </c>
      <c r="G167" s="258"/>
      <c r="H167" s="258">
        <f t="shared" si="7"/>
        <v>397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397</v>
      </c>
      <c r="E168" s="271"/>
      <c r="F168" s="272">
        <v>0</v>
      </c>
      <c r="G168" s="272"/>
      <c r="H168" s="272">
        <f t="shared" si="7"/>
        <v>397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2000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204">
        <f>B136</f>
        <v>2009</v>
      </c>
      <c r="C180" s="204"/>
      <c r="D180" s="208">
        <f>VLOOKUP(B180,B$7:E$11,3,FALSE)</f>
        <v>365</v>
      </c>
      <c r="E180" s="244">
        <f>((COUNT(B$180:B$184)-1)/2)+(B180-$C$4)</f>
        <v>-2</v>
      </c>
      <c r="F180" s="206">
        <f>E180^2</f>
        <v>4</v>
      </c>
      <c r="G180" s="205">
        <f>E$177-D180</f>
        <v>1635</v>
      </c>
      <c r="H180" s="259">
        <f>LOG(D180)</f>
        <v>2.5622928644564746</v>
      </c>
      <c r="I180" s="245">
        <f>LOG(G180)</f>
        <v>3.2135177569963047</v>
      </c>
      <c r="J180" s="246">
        <f>H180-I180</f>
        <v>-0.65122489253983007</v>
      </c>
      <c r="K180" s="246">
        <f>E180*J180</f>
        <v>1.3024497850796601</v>
      </c>
      <c r="L180" s="203"/>
      <c r="M180" s="203"/>
      <c r="N180" s="203"/>
      <c r="O180" s="203"/>
    </row>
    <row r="181" spans="1:15" ht="15" customHeight="1">
      <c r="A181" s="203"/>
      <c r="B181" s="204">
        <f>B137</f>
        <v>2010</v>
      </c>
      <c r="C181" s="204"/>
      <c r="D181" s="208">
        <f>VLOOKUP(B181,B$7:E$11,3,FALSE)</f>
        <v>248</v>
      </c>
      <c r="E181" s="244">
        <f>((COUNT(B$180:B$184)-1)/2)+(B181-$C$4)</f>
        <v>-1</v>
      </c>
      <c r="F181" s="206">
        <f>E181^2</f>
        <v>1</v>
      </c>
      <c r="G181" s="205">
        <f>E$177-D181</f>
        <v>1752</v>
      </c>
      <c r="H181" s="259">
        <f>LOG(D181)</f>
        <v>2.3944516808262164</v>
      </c>
      <c r="I181" s="245">
        <f>LOG(G181)</f>
        <v>3.2435341018320618</v>
      </c>
      <c r="J181" s="246">
        <f>H181-I181</f>
        <v>-0.84908242100584541</v>
      </c>
      <c r="K181" s="246">
        <f>E181*J181</f>
        <v>0.84908242100584541</v>
      </c>
      <c r="L181" s="203"/>
      <c r="M181" s="203"/>
      <c r="N181" s="203"/>
      <c r="O181" s="203"/>
    </row>
    <row r="182" spans="1:15" ht="15" customHeight="1">
      <c r="A182" s="203"/>
      <c r="B182" s="204">
        <f>B138</f>
        <v>2011</v>
      </c>
      <c r="C182" s="204"/>
      <c r="D182" s="208">
        <f>VLOOKUP(B182,B$7:E$11,3,FALSE)</f>
        <v>242</v>
      </c>
      <c r="E182" s="244">
        <f>((COUNT(B$180:B$184)-1)/2)+(B182-$C$4)</f>
        <v>0</v>
      </c>
      <c r="F182" s="206">
        <f>E182^2</f>
        <v>0</v>
      </c>
      <c r="G182" s="205">
        <f>E$177-D182</f>
        <v>1758</v>
      </c>
      <c r="H182" s="259">
        <f>LOG(D182)</f>
        <v>2.3838153659804311</v>
      </c>
      <c r="I182" s="245">
        <f>LOG(G182)</f>
        <v>3.245018870737753</v>
      </c>
      <c r="J182" s="246">
        <f>H182-I182</f>
        <v>-0.86120350475732188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204">
        <f>B139</f>
        <v>2012</v>
      </c>
      <c r="C183" s="204"/>
      <c r="D183" s="208">
        <f>VLOOKUP(B183,B$7:E$11,3,FALSE)</f>
        <v>249</v>
      </c>
      <c r="E183" s="244">
        <f>((COUNT(B$180:B$184)-1)/2)+(B183-$C$4)</f>
        <v>1</v>
      </c>
      <c r="F183" s="206">
        <f>E183^2</f>
        <v>1</v>
      </c>
      <c r="G183" s="205">
        <f>E$177-D183</f>
        <v>1751</v>
      </c>
      <c r="H183" s="259">
        <f>LOG(D183)</f>
        <v>2.3961993470957363</v>
      </c>
      <c r="I183" s="245">
        <f>LOG(G183)</f>
        <v>3.2432861460834461</v>
      </c>
      <c r="J183" s="246">
        <f>H183-I183</f>
        <v>-0.84708679898770978</v>
      </c>
      <c r="K183" s="246">
        <f>E183*J183</f>
        <v>-0.84708679898770978</v>
      </c>
      <c r="L183" s="203"/>
      <c r="M183" s="203"/>
      <c r="N183" s="203"/>
      <c r="O183" s="203"/>
    </row>
    <row r="184" spans="1:15" ht="15" customHeight="1">
      <c r="A184" s="203"/>
      <c r="B184" s="204">
        <f>B140</f>
        <v>2013</v>
      </c>
      <c r="C184" s="204"/>
      <c r="D184" s="208">
        <f>VLOOKUP(B184,B$7:E$11,3,FALSE)</f>
        <v>492</v>
      </c>
      <c r="E184" s="244">
        <f>((COUNT(B$180:B$184)-1)/2)+(B184-$C$4)</f>
        <v>2</v>
      </c>
      <c r="F184" s="206">
        <f>E184^2</f>
        <v>4</v>
      </c>
      <c r="G184" s="205">
        <f>E$177-D184</f>
        <v>1508</v>
      </c>
      <c r="H184" s="259">
        <f>LOG(D184)</f>
        <v>2.6919651027673601</v>
      </c>
      <c r="I184" s="245">
        <f>LOG(G184)</f>
        <v>3.1784013415337551</v>
      </c>
      <c r="J184" s="246">
        <f>H184-I184</f>
        <v>-0.48643623876639497</v>
      </c>
      <c r="K184" s="246">
        <f>E184*J184</f>
        <v>-0.97287247753278994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1596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-3.6950338560571021</v>
      </c>
      <c r="K185" s="263">
        <f>SUM(K180:K184)</f>
        <v>0.33157292956500584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1.70163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7.6346999999999998E-2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435</v>
      </c>
      <c r="E192" s="208"/>
      <c r="F192" s="208">
        <v>0</v>
      </c>
      <c r="G192" s="208"/>
      <c r="H192" s="208">
        <f t="shared" ref="H192:H213" si="9">ROUND(D192*(1+F192),0)</f>
        <v>435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462</v>
      </c>
      <c r="E193" s="269"/>
      <c r="F193" s="269">
        <v>0</v>
      </c>
      <c r="G193" s="269"/>
      <c r="H193" s="269">
        <f t="shared" si="9"/>
        <v>462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489</v>
      </c>
      <c r="E194" s="221"/>
      <c r="F194" s="221">
        <v>0</v>
      </c>
      <c r="G194" s="221"/>
      <c r="H194" s="221">
        <f t="shared" si="9"/>
        <v>489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518</v>
      </c>
      <c r="E195" s="221"/>
      <c r="F195" s="221">
        <v>0</v>
      </c>
      <c r="G195" s="221"/>
      <c r="H195" s="221">
        <f t="shared" si="9"/>
        <v>518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548</v>
      </c>
      <c r="E196" s="221"/>
      <c r="F196" s="221">
        <v>0</v>
      </c>
      <c r="G196" s="221"/>
      <c r="H196" s="221">
        <f t="shared" si="9"/>
        <v>548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579</v>
      </c>
      <c r="E197" s="221"/>
      <c r="F197" s="221">
        <v>0</v>
      </c>
      <c r="G197" s="221"/>
      <c r="H197" s="221">
        <f t="shared" si="9"/>
        <v>579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610</v>
      </c>
      <c r="E198" s="269"/>
      <c r="F198" s="269">
        <v>0</v>
      </c>
      <c r="G198" s="269"/>
      <c r="H198" s="269">
        <f t="shared" si="9"/>
        <v>610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643</v>
      </c>
      <c r="E199" s="221"/>
      <c r="F199" s="221">
        <v>0</v>
      </c>
      <c r="G199" s="221"/>
      <c r="H199" s="221">
        <f t="shared" si="9"/>
        <v>643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677</v>
      </c>
      <c r="E200" s="221"/>
      <c r="F200" s="221">
        <v>0</v>
      </c>
      <c r="G200" s="221"/>
      <c r="H200" s="221">
        <f t="shared" si="9"/>
        <v>677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712</v>
      </c>
      <c r="E201" s="221"/>
      <c r="F201" s="221">
        <v>0</v>
      </c>
      <c r="G201" s="221"/>
      <c r="H201" s="221">
        <f t="shared" si="9"/>
        <v>712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747</v>
      </c>
      <c r="E202" s="221"/>
      <c r="F202" s="221">
        <v>0</v>
      </c>
      <c r="G202" s="221"/>
      <c r="H202" s="221">
        <f t="shared" si="9"/>
        <v>747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783</v>
      </c>
      <c r="E203" s="269"/>
      <c r="F203" s="269">
        <v>0</v>
      </c>
      <c r="G203" s="269"/>
      <c r="H203" s="269">
        <f t="shared" si="9"/>
        <v>783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820</v>
      </c>
      <c r="E204" s="221"/>
      <c r="F204" s="221">
        <v>0</v>
      </c>
      <c r="G204" s="221"/>
      <c r="H204" s="221">
        <f t="shared" si="9"/>
        <v>820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857</v>
      </c>
      <c r="E205" s="221"/>
      <c r="F205" s="221">
        <v>0</v>
      </c>
      <c r="G205" s="221"/>
      <c r="H205" s="221">
        <f t="shared" si="9"/>
        <v>857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894</v>
      </c>
      <c r="E206" s="221"/>
      <c r="F206" s="221">
        <v>0</v>
      </c>
      <c r="G206" s="221"/>
      <c r="H206" s="221">
        <f t="shared" si="9"/>
        <v>894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932</v>
      </c>
      <c r="E207" s="221"/>
      <c r="F207" s="221">
        <v>0</v>
      </c>
      <c r="G207" s="221"/>
      <c r="H207" s="221">
        <f t="shared" si="9"/>
        <v>932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970</v>
      </c>
      <c r="E208" s="269"/>
      <c r="F208" s="269">
        <v>0</v>
      </c>
      <c r="G208" s="269"/>
      <c r="H208" s="269">
        <f t="shared" si="9"/>
        <v>970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1009</v>
      </c>
      <c r="E209" s="221"/>
      <c r="F209" s="221">
        <v>0</v>
      </c>
      <c r="G209" s="221"/>
      <c r="H209" s="221">
        <f t="shared" si="9"/>
        <v>1009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1047</v>
      </c>
      <c r="E210" s="221"/>
      <c r="F210" s="221">
        <v>0</v>
      </c>
      <c r="G210" s="221"/>
      <c r="H210" s="221">
        <f t="shared" si="9"/>
        <v>1047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1085</v>
      </c>
      <c r="E211" s="221"/>
      <c r="F211" s="221">
        <v>0</v>
      </c>
      <c r="G211" s="221"/>
      <c r="H211" s="221">
        <f t="shared" si="9"/>
        <v>1085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1122</v>
      </c>
      <c r="E212" s="221"/>
      <c r="F212" s="221">
        <v>0</v>
      </c>
      <c r="G212" s="221"/>
      <c r="H212" s="221">
        <f t="shared" si="9"/>
        <v>1122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1160</v>
      </c>
      <c r="E213" s="269"/>
      <c r="F213" s="269">
        <v>0</v>
      </c>
      <c r="G213" s="269"/>
      <c r="H213" s="269">
        <f t="shared" si="9"/>
        <v>1160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524</v>
      </c>
      <c r="E221" s="257">
        <f t="array" ref="E221">IF(B55=B221,H55)</f>
        <v>530</v>
      </c>
      <c r="F221" s="257">
        <f t="array" ref="F221">IF(B105=B221,H105)</f>
        <v>396</v>
      </c>
      <c r="G221" s="257">
        <f t="array" ref="G221">IF(B147=B221,H147)</f>
        <v>395</v>
      </c>
      <c r="H221" s="257">
        <f t="array" ref="H221">IF(B192=B221,H192)</f>
        <v>435</v>
      </c>
      <c r="I221" s="257">
        <f t="shared" ref="I221:I242" si="10">IF(G221=0,AVERAGE(D221,E221,F221,H221),AVERAGE(D221:H221))</f>
        <v>456</v>
      </c>
      <c r="J221" s="266">
        <f t="shared" ref="J221:J242" si="11">ROUND(AVERAGE(D221,F221:G221),0)</f>
        <v>438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556</v>
      </c>
      <c r="E222" s="271">
        <f t="array" ref="E222">IF(B56=B222,H56)</f>
        <v>571</v>
      </c>
      <c r="F222" s="271">
        <f t="array" ref="F222">IF(B106=B222,H106)</f>
        <v>421</v>
      </c>
      <c r="G222" s="271">
        <f t="array" ref="G222">IF(B148=B222,H148)</f>
        <v>395</v>
      </c>
      <c r="H222" s="271">
        <f t="array" ref="H222">IF(B193=B222,H193)</f>
        <v>462</v>
      </c>
      <c r="I222" s="271">
        <f t="shared" si="10"/>
        <v>481</v>
      </c>
      <c r="J222" s="273">
        <f t="shared" si="11"/>
        <v>457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587</v>
      </c>
      <c r="E223" s="257">
        <f t="array" ref="E223">IF(B57=B223,H57)</f>
        <v>615</v>
      </c>
      <c r="F223" s="257">
        <f t="array" ref="F223">IF(B107=B223,H107)</f>
        <v>447</v>
      </c>
      <c r="G223" s="257">
        <f t="array" ref="G223">IF(B149=B223,H149)</f>
        <v>396</v>
      </c>
      <c r="H223" s="257">
        <f t="array" ref="H223">IF(B194=B223,H194)</f>
        <v>489</v>
      </c>
      <c r="I223" s="257">
        <f t="shared" si="10"/>
        <v>506.8</v>
      </c>
      <c r="J223" s="266">
        <f t="shared" si="11"/>
        <v>477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619</v>
      </c>
      <c r="E224" s="257">
        <f t="array" ref="E224">IF(B58=B224,H58)</f>
        <v>663</v>
      </c>
      <c r="F224" s="257">
        <f t="array" ref="F224">IF(B108=B224,H108)</f>
        <v>472</v>
      </c>
      <c r="G224" s="257">
        <f t="array" ref="G224">IF(B150=B224,H150)</f>
        <v>396</v>
      </c>
      <c r="H224" s="257">
        <f t="array" ref="H224">IF(B195=B224,H195)</f>
        <v>518</v>
      </c>
      <c r="I224" s="257">
        <f t="shared" si="10"/>
        <v>533.6</v>
      </c>
      <c r="J224" s="266">
        <f t="shared" si="11"/>
        <v>496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651</v>
      </c>
      <c r="E225" s="257">
        <f t="array" ref="E225">IF(B59=B225,H59)</f>
        <v>715</v>
      </c>
      <c r="F225" s="257">
        <f t="array" ref="F225">IF(B109=B225,H109)</f>
        <v>498</v>
      </c>
      <c r="G225" s="257">
        <f t="array" ref="G225">IF(B151=B225,H151)</f>
        <v>396</v>
      </c>
      <c r="H225" s="257">
        <f t="array" ref="H225">IF(B196=B225,H196)</f>
        <v>548</v>
      </c>
      <c r="I225" s="257">
        <f t="shared" si="10"/>
        <v>561.6</v>
      </c>
      <c r="J225" s="266">
        <f t="shared" si="11"/>
        <v>515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683</v>
      </c>
      <c r="E226" s="257">
        <f t="array" ref="E226">IF(B60=B226,H60)</f>
        <v>770</v>
      </c>
      <c r="F226" s="257">
        <f t="array" ref="F226">IF(B110=B226,H110)</f>
        <v>523</v>
      </c>
      <c r="G226" s="257">
        <f t="array" ref="G226">IF(B152=B226,H152)</f>
        <v>396</v>
      </c>
      <c r="H226" s="257">
        <f t="array" ref="H226">IF(B197=B226,H197)</f>
        <v>579</v>
      </c>
      <c r="I226" s="257">
        <f t="shared" si="10"/>
        <v>590.20000000000005</v>
      </c>
      <c r="J226" s="266">
        <f t="shared" si="11"/>
        <v>534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715</v>
      </c>
      <c r="E227" s="271">
        <f t="array" ref="E227">IF(B61=B227,H61)</f>
        <v>830</v>
      </c>
      <c r="F227" s="271">
        <f t="array" ref="F227">IF(B111=B227,H111)</f>
        <v>549</v>
      </c>
      <c r="G227" s="271">
        <f t="array" ref="G227">IF(B153=B227,H153)</f>
        <v>396</v>
      </c>
      <c r="H227" s="271">
        <f t="array" ref="H227">IF(B198=B227,H198)</f>
        <v>610</v>
      </c>
      <c r="I227" s="271">
        <f t="shared" si="10"/>
        <v>620</v>
      </c>
      <c r="J227" s="273">
        <f t="shared" si="11"/>
        <v>553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746</v>
      </c>
      <c r="E228" s="257">
        <f t="array" ref="E228">IF(B62=B228,H62)</f>
        <v>894</v>
      </c>
      <c r="F228" s="257">
        <f t="array" ref="F228">IF(B112=B228,H112)</f>
        <v>574</v>
      </c>
      <c r="G228" s="257">
        <f t="array" ref="G228">IF(B154=B228,H154)</f>
        <v>396</v>
      </c>
      <c r="H228" s="257">
        <f t="array" ref="H228">IF(B199=B228,H199)</f>
        <v>643</v>
      </c>
      <c r="I228" s="257">
        <f t="shared" si="10"/>
        <v>650.6</v>
      </c>
      <c r="J228" s="266">
        <f t="shared" si="11"/>
        <v>572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778</v>
      </c>
      <c r="E229" s="257">
        <f t="array" ref="E229">IF(B63=B229,H63)</f>
        <v>963</v>
      </c>
      <c r="F229" s="257">
        <f t="array" ref="F229">IF(B113=B229,H113)</f>
        <v>600</v>
      </c>
      <c r="G229" s="257">
        <f t="array" ref="G229">IF(B155=B229,H155)</f>
        <v>396</v>
      </c>
      <c r="H229" s="257">
        <f t="array" ref="H229">IF(B200=B229,H200)</f>
        <v>677</v>
      </c>
      <c r="I229" s="257">
        <f t="shared" si="10"/>
        <v>682.8</v>
      </c>
      <c r="J229" s="266">
        <f t="shared" si="11"/>
        <v>591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810</v>
      </c>
      <c r="E230" s="257">
        <f t="array" ref="E230">IF(B64=B230,H64)</f>
        <v>1038</v>
      </c>
      <c r="F230" s="257">
        <f t="array" ref="F230">IF(B114=B230,H114)</f>
        <v>625</v>
      </c>
      <c r="G230" s="257">
        <f t="array" ref="G230">IF(B156=B230,H156)</f>
        <v>396</v>
      </c>
      <c r="H230" s="257">
        <f t="array" ref="H230">IF(B201=B230,H201)</f>
        <v>712</v>
      </c>
      <c r="I230" s="257">
        <f t="shared" si="10"/>
        <v>716.2</v>
      </c>
      <c r="J230" s="266">
        <f t="shared" si="11"/>
        <v>610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842</v>
      </c>
      <c r="E231" s="257">
        <f t="array" ref="E231">IF(B65=B231,H65)</f>
        <v>1118</v>
      </c>
      <c r="F231" s="257">
        <f t="array" ref="F231">IF(B115=B231,H115)</f>
        <v>651</v>
      </c>
      <c r="G231" s="257">
        <f t="array" ref="G231">IF(B157=B231,H157)</f>
        <v>396</v>
      </c>
      <c r="H231" s="257">
        <f t="array" ref="H231">IF(B202=B231,H202)</f>
        <v>747</v>
      </c>
      <c r="I231" s="257">
        <f t="shared" si="10"/>
        <v>750.8</v>
      </c>
      <c r="J231" s="266">
        <f t="shared" si="11"/>
        <v>630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874</v>
      </c>
      <c r="E232" s="271">
        <f t="array" ref="E232">IF(B66=B232,H66)</f>
        <v>1205</v>
      </c>
      <c r="F232" s="271">
        <f t="array" ref="F232">IF(B116=B232,H116)</f>
        <v>676</v>
      </c>
      <c r="G232" s="271">
        <f t="array" ref="G232">IF(B158=B232,H158)</f>
        <v>396</v>
      </c>
      <c r="H232" s="271">
        <f t="array" ref="H232">IF(B203=B232,H203)</f>
        <v>783</v>
      </c>
      <c r="I232" s="271">
        <f t="shared" si="10"/>
        <v>786.8</v>
      </c>
      <c r="J232" s="273">
        <f t="shared" si="11"/>
        <v>649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905</v>
      </c>
      <c r="E233" s="257">
        <f t="array" ref="E233">IF(B67=B233,H67)</f>
        <v>1298</v>
      </c>
      <c r="F233" s="257">
        <f t="array" ref="F233">IF(B117=B233,H117)</f>
        <v>702</v>
      </c>
      <c r="G233" s="257">
        <f t="array" ref="G233">IF(B159=B233,H159)</f>
        <v>397</v>
      </c>
      <c r="H233" s="257">
        <f t="array" ref="H233">IF(B204=B233,H204)</f>
        <v>820</v>
      </c>
      <c r="I233" s="257">
        <f t="shared" si="10"/>
        <v>824.4</v>
      </c>
      <c r="J233" s="266">
        <f t="shared" si="11"/>
        <v>668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937</v>
      </c>
      <c r="E234" s="257">
        <f t="array" ref="E234">IF(B68=B234,H68)</f>
        <v>1399</v>
      </c>
      <c r="F234" s="257">
        <f t="array" ref="F234">IF(B118=B234,H118)</f>
        <v>727</v>
      </c>
      <c r="G234" s="257">
        <f t="array" ref="G234">IF(B160=B234,H160)</f>
        <v>397</v>
      </c>
      <c r="H234" s="257">
        <f t="array" ref="H234">IF(B205=B234,H205)</f>
        <v>857</v>
      </c>
      <c r="I234" s="257">
        <f t="shared" si="10"/>
        <v>863.4</v>
      </c>
      <c r="J234" s="266">
        <f t="shared" si="11"/>
        <v>687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969</v>
      </c>
      <c r="E235" s="257">
        <f t="array" ref="E235">IF(B69=B235,H69)</f>
        <v>1507</v>
      </c>
      <c r="F235" s="257">
        <f t="array" ref="F235">IF(B119=B235,H119)</f>
        <v>753</v>
      </c>
      <c r="G235" s="257">
        <f t="array" ref="G235">IF(B161=B235,H161)</f>
        <v>397</v>
      </c>
      <c r="H235" s="257">
        <f t="array" ref="H235">IF(B206=B235,H206)</f>
        <v>894</v>
      </c>
      <c r="I235" s="257">
        <f t="shared" si="10"/>
        <v>904</v>
      </c>
      <c r="J235" s="266">
        <f t="shared" si="11"/>
        <v>706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1001</v>
      </c>
      <c r="E236" s="257">
        <f t="array" ref="E236">IF(B70=B236,H70)</f>
        <v>1624</v>
      </c>
      <c r="F236" s="257">
        <f t="array" ref="F236">IF(B120=B236,H120)</f>
        <v>778</v>
      </c>
      <c r="G236" s="257">
        <f t="array" ref="G236">IF(B162=B236,H162)</f>
        <v>397</v>
      </c>
      <c r="H236" s="257">
        <f t="array" ref="H236">IF(B207=B236,H207)</f>
        <v>932</v>
      </c>
      <c r="I236" s="257">
        <f t="shared" si="10"/>
        <v>946.4</v>
      </c>
      <c r="J236" s="266">
        <f t="shared" si="11"/>
        <v>725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1033</v>
      </c>
      <c r="E237" s="271">
        <f t="array" ref="E237">IF(B71=B237,H71)</f>
        <v>1750</v>
      </c>
      <c r="F237" s="271">
        <f t="array" ref="F237">IF(B121=B237,H121)</f>
        <v>804</v>
      </c>
      <c r="G237" s="271">
        <f t="array" ref="G237">IF(B163=B237,H163)</f>
        <v>397</v>
      </c>
      <c r="H237" s="271">
        <f t="array" ref="H237">IF(B208=B237,H208)</f>
        <v>970</v>
      </c>
      <c r="I237" s="271">
        <f t="shared" si="10"/>
        <v>990.8</v>
      </c>
      <c r="J237" s="273">
        <f t="shared" si="11"/>
        <v>745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1064</v>
      </c>
      <c r="E238" s="257">
        <f t="array" ref="E238">IF(B72=B238,H72)</f>
        <v>1886</v>
      </c>
      <c r="F238" s="257">
        <f t="array" ref="F238">IF(B122=B238,H122)</f>
        <v>829</v>
      </c>
      <c r="G238" s="257">
        <f t="array" ref="G238">IF(B164=B238,H164)</f>
        <v>397</v>
      </c>
      <c r="H238" s="257">
        <f t="array" ref="H238">IF(B209=B238,H209)</f>
        <v>1009</v>
      </c>
      <c r="I238" s="257">
        <f t="shared" si="10"/>
        <v>1037</v>
      </c>
      <c r="J238" s="266">
        <f t="shared" si="11"/>
        <v>763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1096</v>
      </c>
      <c r="E239" s="257">
        <f t="array" ref="E239">IF(B73=B239,H73)</f>
        <v>2032</v>
      </c>
      <c r="F239" s="257">
        <f t="array" ref="F239">IF(B123=B239,H123)</f>
        <v>855</v>
      </c>
      <c r="G239" s="257">
        <f t="array" ref="G239">IF(B165=B239,H165)</f>
        <v>397</v>
      </c>
      <c r="H239" s="257">
        <f t="array" ref="H239">IF(B210=B239,H210)</f>
        <v>1047</v>
      </c>
      <c r="I239" s="257">
        <f t="shared" si="10"/>
        <v>1085.4000000000001</v>
      </c>
      <c r="J239" s="266">
        <f t="shared" si="11"/>
        <v>783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1128</v>
      </c>
      <c r="E240" s="257">
        <f t="array" ref="E240">IF(B74=B240,H74)</f>
        <v>2189</v>
      </c>
      <c r="F240" s="257">
        <f t="array" ref="F240">IF(B124=B240,H124)</f>
        <v>880</v>
      </c>
      <c r="G240" s="257">
        <f t="array" ref="G240">IF(B166=B240,H166)</f>
        <v>397</v>
      </c>
      <c r="H240" s="257">
        <f t="array" ref="H240">IF(B211=B240,H211)</f>
        <v>1085</v>
      </c>
      <c r="I240" s="257">
        <f t="shared" si="10"/>
        <v>1135.8</v>
      </c>
      <c r="J240" s="266">
        <f t="shared" si="11"/>
        <v>802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1160</v>
      </c>
      <c r="E241" s="257">
        <f t="array" ref="E241">IF(B75=B241,H75)</f>
        <v>2359</v>
      </c>
      <c r="F241" s="257">
        <f t="array" ref="F241">IF(B125=B241,H125)</f>
        <v>906</v>
      </c>
      <c r="G241" s="257">
        <f t="array" ref="G241">IF(B167=B241,H167)</f>
        <v>397</v>
      </c>
      <c r="H241" s="257">
        <f t="array" ref="H241">IF(B212=B241,H212)</f>
        <v>1122</v>
      </c>
      <c r="I241" s="257">
        <f t="shared" si="10"/>
        <v>1188.8</v>
      </c>
      <c r="J241" s="266">
        <f t="shared" si="11"/>
        <v>821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1192</v>
      </c>
      <c r="E242" s="271">
        <f t="array" ref="E242">IF(B76=B242,H76)</f>
        <v>2542</v>
      </c>
      <c r="F242" s="271">
        <f t="array" ref="F242">IF(B126=B242,H126)</f>
        <v>931</v>
      </c>
      <c r="G242" s="271">
        <f t="array" ref="G242">IF(B168=B242,H168)</f>
        <v>397</v>
      </c>
      <c r="H242" s="271">
        <f t="array" ref="H242">IF(B213=B242,H213)</f>
        <v>1160</v>
      </c>
      <c r="I242" s="271">
        <f t="shared" si="10"/>
        <v>1244.4000000000001</v>
      </c>
      <c r="J242" s="273">
        <f t="shared" si="11"/>
        <v>840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2">
    <mergeCell ref="A2:K2"/>
    <mergeCell ref="E177:F177"/>
  </mergeCells>
  <phoneticPr fontId="7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1379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2005</v>
      </c>
      <c r="C7" s="840"/>
      <c r="D7" s="844">
        <f>'3.면별급수현황'!H84</f>
        <v>0</v>
      </c>
      <c r="E7" s="844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840">
        <v>2006</v>
      </c>
      <c r="C8" s="840"/>
      <c r="D8" s="844">
        <f>'3.면별급수현황'!H85</f>
        <v>0</v>
      </c>
      <c r="E8" s="844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v>2007</v>
      </c>
      <c r="C9" s="840"/>
      <c r="D9" s="844">
        <f>'3.면별급수현황'!H86</f>
        <v>268</v>
      </c>
      <c r="E9" s="844"/>
      <c r="F9" s="206">
        <f t="shared" si="0"/>
        <v>268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v>2008</v>
      </c>
      <c r="C10" s="840"/>
      <c r="D10" s="844">
        <f>'3.면별급수현황'!H87</f>
        <v>264</v>
      </c>
      <c r="E10" s="844"/>
      <c r="F10" s="206">
        <f t="shared" si="0"/>
        <v>-4</v>
      </c>
      <c r="G10" s="206"/>
      <c r="H10" s="207">
        <f t="shared" ref="H10:H16" si="1">ROUND(F10/D9*100,2)</f>
        <v>-1.49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v>2009</v>
      </c>
      <c r="C11" s="840"/>
      <c r="D11" s="844">
        <f>'3.면별급수현황'!H88</f>
        <v>486</v>
      </c>
      <c r="E11" s="844"/>
      <c r="F11" s="206">
        <f t="shared" si="0"/>
        <v>222</v>
      </c>
      <c r="G11" s="206"/>
      <c r="H11" s="207">
        <f t="shared" si="1"/>
        <v>84.09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v>2010</v>
      </c>
      <c r="C12" s="840"/>
      <c r="D12" s="844">
        <f>'3.면별급수현황'!H89</f>
        <v>443</v>
      </c>
      <c r="E12" s="844"/>
      <c r="F12" s="206">
        <f t="shared" si="0"/>
        <v>-43</v>
      </c>
      <c r="G12" s="206"/>
      <c r="H12" s="207">
        <f t="shared" si="1"/>
        <v>-8.85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840">
        <v>2011</v>
      </c>
      <c r="C13" s="840"/>
      <c r="D13" s="844">
        <f>'3.면별급수현황'!H90</f>
        <v>380</v>
      </c>
      <c r="E13" s="844"/>
      <c r="F13" s="206">
        <f t="shared" si="0"/>
        <v>-63</v>
      </c>
      <c r="G13" s="206"/>
      <c r="H13" s="207">
        <f t="shared" si="1"/>
        <v>-14.22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840">
        <v>2012</v>
      </c>
      <c r="C14" s="840"/>
      <c r="D14" s="844">
        <f>'3.면별급수현황'!H91</f>
        <v>286</v>
      </c>
      <c r="E14" s="844"/>
      <c r="F14" s="206">
        <f t="shared" si="0"/>
        <v>-94</v>
      </c>
      <c r="G14" s="206"/>
      <c r="H14" s="207">
        <f t="shared" si="1"/>
        <v>-24.74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840">
        <v>2013</v>
      </c>
      <c r="C15" s="840"/>
      <c r="D15" s="844">
        <f>'3.면별급수현황'!H92</f>
        <v>269</v>
      </c>
      <c r="E15" s="844"/>
      <c r="F15" s="206">
        <f t="shared" si="0"/>
        <v>-17</v>
      </c>
      <c r="G15" s="206"/>
      <c r="H15" s="207">
        <f t="shared" si="1"/>
        <v>-5.94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840">
        <v>2014</v>
      </c>
      <c r="C16" s="840"/>
      <c r="D16" s="844">
        <f>'3.면별급수현황'!H93</f>
        <v>284</v>
      </c>
      <c r="E16" s="844"/>
      <c r="F16" s="206">
        <f t="shared" si="0"/>
        <v>15</v>
      </c>
      <c r="G16" s="206"/>
      <c r="H16" s="207">
        <f t="shared" si="1"/>
        <v>5.58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2680</v>
      </c>
      <c r="E17" s="214"/>
      <c r="F17" s="215"/>
      <c r="G17" s="215"/>
      <c r="H17" s="216">
        <f>SUM(H7:H16)</f>
        <v>34.430000000000021</v>
      </c>
      <c r="I17" s="216"/>
      <c r="J17" s="217">
        <f>ROUND(AVERAGE(H8:H16),1)</f>
        <v>3.8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2">ROUND(E$48+H$48*(B26-$C$4),0)</f>
        <v>284</v>
      </c>
      <c r="E26" s="221"/>
      <c r="F26" s="221">
        <v>0</v>
      </c>
      <c r="G26" s="221"/>
      <c r="H26" s="221">
        <f t="shared" ref="H26:H47" si="3">ROUND(D26*(1+F26),0)</f>
        <v>284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2"/>
        <v>316</v>
      </c>
      <c r="E27" s="269"/>
      <c r="F27" s="269">
        <v>0</v>
      </c>
      <c r="G27" s="269"/>
      <c r="H27" s="269">
        <f t="shared" si="3"/>
        <v>316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2"/>
        <v>347</v>
      </c>
      <c r="E28" s="221"/>
      <c r="F28" s="221">
        <v>0</v>
      </c>
      <c r="G28" s="221"/>
      <c r="H28" s="221">
        <f t="shared" si="3"/>
        <v>347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2"/>
        <v>379</v>
      </c>
      <c r="E29" s="221"/>
      <c r="F29" s="221">
        <v>0</v>
      </c>
      <c r="G29" s="221"/>
      <c r="H29" s="221">
        <f t="shared" si="3"/>
        <v>379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2"/>
        <v>410</v>
      </c>
      <c r="E30" s="221"/>
      <c r="F30" s="221">
        <v>0</v>
      </c>
      <c r="G30" s="221"/>
      <c r="H30" s="221">
        <f t="shared" si="3"/>
        <v>410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2"/>
        <v>442</v>
      </c>
      <c r="E31" s="221"/>
      <c r="F31" s="221">
        <v>0</v>
      </c>
      <c r="G31" s="221"/>
      <c r="H31" s="221">
        <f t="shared" si="3"/>
        <v>442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2"/>
        <v>474</v>
      </c>
      <c r="E32" s="269"/>
      <c r="F32" s="269">
        <v>0</v>
      </c>
      <c r="G32" s="269"/>
      <c r="H32" s="269">
        <f t="shared" si="3"/>
        <v>474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2"/>
        <v>505</v>
      </c>
      <c r="E33" s="221"/>
      <c r="F33" s="221">
        <v>0</v>
      </c>
      <c r="G33" s="221"/>
      <c r="H33" s="221">
        <f t="shared" si="3"/>
        <v>505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2"/>
        <v>537</v>
      </c>
      <c r="E34" s="221"/>
      <c r="F34" s="221">
        <v>0</v>
      </c>
      <c r="G34" s="221"/>
      <c r="H34" s="221">
        <f t="shared" si="3"/>
        <v>537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2"/>
        <v>568</v>
      </c>
      <c r="E35" s="221"/>
      <c r="F35" s="221">
        <v>0</v>
      </c>
      <c r="G35" s="221"/>
      <c r="H35" s="221">
        <f t="shared" si="3"/>
        <v>568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2"/>
        <v>600</v>
      </c>
      <c r="E36" s="221"/>
      <c r="F36" s="221">
        <v>0</v>
      </c>
      <c r="G36" s="221"/>
      <c r="H36" s="221">
        <f t="shared" si="3"/>
        <v>600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2"/>
        <v>632</v>
      </c>
      <c r="E37" s="269"/>
      <c r="F37" s="269">
        <v>0</v>
      </c>
      <c r="G37" s="269"/>
      <c r="H37" s="269">
        <f t="shared" si="3"/>
        <v>632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2"/>
        <v>663</v>
      </c>
      <c r="E38" s="221"/>
      <c r="F38" s="221">
        <v>0</v>
      </c>
      <c r="G38" s="221"/>
      <c r="H38" s="221">
        <f t="shared" si="3"/>
        <v>663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2"/>
        <v>695</v>
      </c>
      <c r="E39" s="221"/>
      <c r="F39" s="221">
        <v>0</v>
      </c>
      <c r="G39" s="221"/>
      <c r="H39" s="221">
        <f t="shared" si="3"/>
        <v>695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2"/>
        <v>726</v>
      </c>
      <c r="E40" s="221"/>
      <c r="F40" s="221">
        <v>0</v>
      </c>
      <c r="G40" s="221"/>
      <c r="H40" s="221">
        <f t="shared" si="3"/>
        <v>726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2"/>
        <v>758</v>
      </c>
      <c r="E41" s="221"/>
      <c r="F41" s="221">
        <v>0</v>
      </c>
      <c r="G41" s="221"/>
      <c r="H41" s="221">
        <f t="shared" si="3"/>
        <v>758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2"/>
        <v>790</v>
      </c>
      <c r="E42" s="269"/>
      <c r="F42" s="269">
        <v>0</v>
      </c>
      <c r="G42" s="269"/>
      <c r="H42" s="269">
        <f t="shared" si="3"/>
        <v>790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2"/>
        <v>821</v>
      </c>
      <c r="E43" s="221"/>
      <c r="F43" s="221">
        <v>0</v>
      </c>
      <c r="G43" s="221"/>
      <c r="H43" s="221">
        <f t="shared" si="3"/>
        <v>821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2"/>
        <v>853</v>
      </c>
      <c r="E44" s="221"/>
      <c r="F44" s="221">
        <v>0</v>
      </c>
      <c r="G44" s="221"/>
      <c r="H44" s="221">
        <f t="shared" si="3"/>
        <v>853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2"/>
        <v>884</v>
      </c>
      <c r="E45" s="221"/>
      <c r="F45" s="221">
        <v>0</v>
      </c>
      <c r="G45" s="221"/>
      <c r="H45" s="221">
        <f t="shared" si="3"/>
        <v>884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2"/>
        <v>916</v>
      </c>
      <c r="E46" s="221"/>
      <c r="F46" s="221">
        <v>0</v>
      </c>
      <c r="G46" s="221"/>
      <c r="H46" s="221">
        <f t="shared" si="3"/>
        <v>916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2"/>
        <v>948</v>
      </c>
      <c r="E47" s="269"/>
      <c r="F47" s="269">
        <v>0</v>
      </c>
      <c r="G47" s="269"/>
      <c r="H47" s="269">
        <f t="shared" si="3"/>
        <v>948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284</v>
      </c>
      <c r="F48" s="226"/>
      <c r="G48" s="224" t="s">
        <v>162</v>
      </c>
      <c r="H48" s="224">
        <f>ROUND((D$16-D$7)/(COUNT(D$7:D$16)-1),1)</f>
        <v>31.6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4">ROUND(E$82*H$82^(B60-$C$4),0)</f>
        <v>284</v>
      </c>
      <c r="E60" s="221"/>
      <c r="F60" s="221">
        <v>0</v>
      </c>
      <c r="G60" s="221"/>
      <c r="H60" s="221">
        <f t="shared" ref="H60:H81" si="5">ROUND(D60*(1+F60),0)</f>
        <v>284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4"/>
        <v>286</v>
      </c>
      <c r="E61" s="269"/>
      <c r="F61" s="269">
        <v>0</v>
      </c>
      <c r="G61" s="269"/>
      <c r="H61" s="269">
        <f t="shared" si="5"/>
        <v>286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4"/>
        <v>289</v>
      </c>
      <c r="E62" s="221"/>
      <c r="F62" s="221">
        <v>0</v>
      </c>
      <c r="G62" s="221"/>
      <c r="H62" s="221">
        <f t="shared" si="5"/>
        <v>289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4"/>
        <v>291</v>
      </c>
      <c r="E63" s="221"/>
      <c r="F63" s="221">
        <v>0</v>
      </c>
      <c r="G63" s="221"/>
      <c r="H63" s="221">
        <f t="shared" si="5"/>
        <v>291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4"/>
        <v>294</v>
      </c>
      <c r="E64" s="221"/>
      <c r="F64" s="221">
        <v>0</v>
      </c>
      <c r="G64" s="221"/>
      <c r="H64" s="221">
        <f t="shared" si="5"/>
        <v>294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4"/>
        <v>296</v>
      </c>
      <c r="E65" s="221"/>
      <c r="F65" s="221">
        <v>0</v>
      </c>
      <c r="G65" s="221"/>
      <c r="H65" s="221">
        <f t="shared" si="5"/>
        <v>296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4"/>
        <v>298</v>
      </c>
      <c r="E66" s="269"/>
      <c r="F66" s="269">
        <v>0</v>
      </c>
      <c r="G66" s="269"/>
      <c r="H66" s="269">
        <f t="shared" si="5"/>
        <v>298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4"/>
        <v>301</v>
      </c>
      <c r="E67" s="221"/>
      <c r="F67" s="221">
        <v>0</v>
      </c>
      <c r="G67" s="221"/>
      <c r="H67" s="221">
        <f t="shared" si="5"/>
        <v>301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4"/>
        <v>303</v>
      </c>
      <c r="E68" s="221"/>
      <c r="F68" s="221">
        <v>0</v>
      </c>
      <c r="G68" s="221"/>
      <c r="H68" s="221">
        <f t="shared" si="5"/>
        <v>303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4"/>
        <v>306</v>
      </c>
      <c r="E69" s="221"/>
      <c r="F69" s="221">
        <v>0</v>
      </c>
      <c r="G69" s="221"/>
      <c r="H69" s="221">
        <f t="shared" si="5"/>
        <v>306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4"/>
        <v>309</v>
      </c>
      <c r="E70" s="221"/>
      <c r="F70" s="221">
        <v>0</v>
      </c>
      <c r="G70" s="221"/>
      <c r="H70" s="221">
        <f t="shared" si="5"/>
        <v>309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4"/>
        <v>311</v>
      </c>
      <c r="E71" s="269"/>
      <c r="F71" s="269">
        <v>0</v>
      </c>
      <c r="G71" s="269"/>
      <c r="H71" s="269">
        <f t="shared" si="5"/>
        <v>311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4"/>
        <v>314</v>
      </c>
      <c r="E72" s="221"/>
      <c r="F72" s="221">
        <v>0</v>
      </c>
      <c r="G72" s="221"/>
      <c r="H72" s="221">
        <f t="shared" si="5"/>
        <v>314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4"/>
        <v>316</v>
      </c>
      <c r="E73" s="221"/>
      <c r="F73" s="221">
        <v>0</v>
      </c>
      <c r="G73" s="221"/>
      <c r="H73" s="221">
        <f t="shared" si="5"/>
        <v>316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4"/>
        <v>319</v>
      </c>
      <c r="E74" s="221"/>
      <c r="F74" s="221">
        <v>0</v>
      </c>
      <c r="G74" s="221"/>
      <c r="H74" s="221">
        <f t="shared" si="5"/>
        <v>319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4"/>
        <v>322</v>
      </c>
      <c r="E75" s="221"/>
      <c r="F75" s="221">
        <v>0</v>
      </c>
      <c r="G75" s="221"/>
      <c r="H75" s="221">
        <f t="shared" si="5"/>
        <v>322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4"/>
        <v>324</v>
      </c>
      <c r="E76" s="269"/>
      <c r="F76" s="269">
        <v>0</v>
      </c>
      <c r="G76" s="269"/>
      <c r="H76" s="269">
        <f t="shared" si="5"/>
        <v>324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4"/>
        <v>327</v>
      </c>
      <c r="E77" s="221"/>
      <c r="F77" s="221">
        <v>0</v>
      </c>
      <c r="G77" s="221"/>
      <c r="H77" s="221">
        <f t="shared" si="5"/>
        <v>327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4"/>
        <v>330</v>
      </c>
      <c r="E78" s="221"/>
      <c r="F78" s="221">
        <v>0</v>
      </c>
      <c r="G78" s="221"/>
      <c r="H78" s="221">
        <f t="shared" si="5"/>
        <v>330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4"/>
        <v>332</v>
      </c>
      <c r="E79" s="221"/>
      <c r="F79" s="221">
        <v>0</v>
      </c>
      <c r="G79" s="221"/>
      <c r="H79" s="221">
        <f t="shared" si="5"/>
        <v>332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4"/>
        <v>335</v>
      </c>
      <c r="E80" s="221"/>
      <c r="F80" s="221">
        <v>0</v>
      </c>
      <c r="G80" s="221"/>
      <c r="H80" s="221">
        <f t="shared" si="5"/>
        <v>335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4"/>
        <v>338</v>
      </c>
      <c r="E81" s="269"/>
      <c r="F81" s="269">
        <v>0</v>
      </c>
      <c r="G81" s="269"/>
      <c r="H81" s="269">
        <f t="shared" si="5"/>
        <v>338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284</v>
      </c>
      <c r="F82" s="226"/>
      <c r="G82" s="224" t="s">
        <v>179</v>
      </c>
      <c r="H82" s="224">
        <f>ROUND((E$82/D$9)^(1/(COUNT(D$9:D$16)-1)),6)</f>
        <v>1.008318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840">
        <f t="shared" ref="B99:B108" si="6">B7</f>
        <v>2005</v>
      </c>
      <c r="C99" s="840"/>
      <c r="D99" s="208">
        <f t="shared" ref="D99:D108" si="7">VLOOKUP(B99,B$7:E$16,3,FALSE)</f>
        <v>0</v>
      </c>
      <c r="E99" s="229">
        <f t="shared" ref="E99:E108" si="8">((COUNT(B$99:B$108)-1)/2)+(B99-$C$4)</f>
        <v>-4.5</v>
      </c>
      <c r="F99" s="208">
        <f t="shared" ref="F99:F108" si="9">E99^2</f>
        <v>20.25</v>
      </c>
      <c r="G99" s="206"/>
      <c r="H99" s="230">
        <f t="shared" ref="H99:H108" si="10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840">
        <f t="shared" si="6"/>
        <v>2006</v>
      </c>
      <c r="C100" s="840"/>
      <c r="D100" s="208">
        <f t="shared" si="7"/>
        <v>0</v>
      </c>
      <c r="E100" s="229">
        <f t="shared" si="8"/>
        <v>-3.5</v>
      </c>
      <c r="F100" s="208">
        <f t="shared" si="9"/>
        <v>12.25</v>
      </c>
      <c r="G100" s="206"/>
      <c r="H100" s="230">
        <f t="shared" si="10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840">
        <f t="shared" si="6"/>
        <v>2007</v>
      </c>
      <c r="C101" s="840"/>
      <c r="D101" s="208">
        <f t="shared" si="7"/>
        <v>268</v>
      </c>
      <c r="E101" s="229">
        <f t="shared" si="8"/>
        <v>-2.5</v>
      </c>
      <c r="F101" s="208">
        <f>E101^2</f>
        <v>6.25</v>
      </c>
      <c r="G101" s="206"/>
      <c r="H101" s="230">
        <f t="shared" si="10"/>
        <v>-670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840">
        <f t="shared" si="6"/>
        <v>2008</v>
      </c>
      <c r="C102" s="840"/>
      <c r="D102" s="208">
        <f t="shared" si="7"/>
        <v>264</v>
      </c>
      <c r="E102" s="229">
        <f t="shared" si="8"/>
        <v>-1.5</v>
      </c>
      <c r="F102" s="208">
        <f t="shared" si="9"/>
        <v>2.25</v>
      </c>
      <c r="G102" s="206"/>
      <c r="H102" s="230">
        <f t="shared" si="10"/>
        <v>-396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840">
        <f t="shared" si="6"/>
        <v>2009</v>
      </c>
      <c r="C103" s="840"/>
      <c r="D103" s="208">
        <f t="shared" si="7"/>
        <v>486</v>
      </c>
      <c r="E103" s="229">
        <f t="shared" si="8"/>
        <v>-0.5</v>
      </c>
      <c r="F103" s="208">
        <f t="shared" si="9"/>
        <v>0.25</v>
      </c>
      <c r="G103" s="206"/>
      <c r="H103" s="230">
        <f t="shared" si="10"/>
        <v>-243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840">
        <f t="shared" si="6"/>
        <v>2010</v>
      </c>
      <c r="C104" s="840"/>
      <c r="D104" s="208">
        <f t="shared" si="7"/>
        <v>443</v>
      </c>
      <c r="E104" s="229">
        <f t="shared" si="8"/>
        <v>0.5</v>
      </c>
      <c r="F104" s="208">
        <f t="shared" si="9"/>
        <v>0.25</v>
      </c>
      <c r="G104" s="206"/>
      <c r="H104" s="230">
        <f t="shared" si="10"/>
        <v>221.5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840">
        <f t="shared" si="6"/>
        <v>2011</v>
      </c>
      <c r="C105" s="840"/>
      <c r="D105" s="208">
        <f t="shared" si="7"/>
        <v>380</v>
      </c>
      <c r="E105" s="229">
        <f t="shared" si="8"/>
        <v>1.5</v>
      </c>
      <c r="F105" s="208">
        <f t="shared" si="9"/>
        <v>2.25</v>
      </c>
      <c r="G105" s="206"/>
      <c r="H105" s="230">
        <f t="shared" si="10"/>
        <v>570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840">
        <f t="shared" si="6"/>
        <v>2012</v>
      </c>
      <c r="C106" s="840"/>
      <c r="D106" s="208">
        <f t="shared" si="7"/>
        <v>286</v>
      </c>
      <c r="E106" s="229">
        <f t="shared" si="8"/>
        <v>2.5</v>
      </c>
      <c r="F106" s="208">
        <f t="shared" si="9"/>
        <v>6.25</v>
      </c>
      <c r="G106" s="206"/>
      <c r="H106" s="230">
        <f t="shared" si="10"/>
        <v>715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840">
        <f t="shared" si="6"/>
        <v>2013</v>
      </c>
      <c r="C107" s="840"/>
      <c r="D107" s="208">
        <f t="shared" si="7"/>
        <v>269</v>
      </c>
      <c r="E107" s="229">
        <f t="shared" si="8"/>
        <v>3.5</v>
      </c>
      <c r="F107" s="208">
        <f t="shared" si="9"/>
        <v>12.25</v>
      </c>
      <c r="G107" s="206"/>
      <c r="H107" s="230">
        <f t="shared" si="10"/>
        <v>941.5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840">
        <f t="shared" si="6"/>
        <v>2014</v>
      </c>
      <c r="C108" s="840"/>
      <c r="D108" s="208">
        <f t="shared" si="7"/>
        <v>284</v>
      </c>
      <c r="E108" s="229">
        <f t="shared" si="8"/>
        <v>4.5</v>
      </c>
      <c r="F108" s="208">
        <f t="shared" si="9"/>
        <v>20.25</v>
      </c>
      <c r="G108" s="206"/>
      <c r="H108" s="230">
        <f t="shared" si="10"/>
        <v>1278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2680</v>
      </c>
      <c r="E109" s="215"/>
      <c r="F109" s="233">
        <f>ROUND(SUM(F99:F108),0)</f>
        <v>83</v>
      </c>
      <c r="G109" s="212"/>
      <c r="H109" s="234">
        <f>SUM(H99:H108)</f>
        <v>2417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29.120481927710845</v>
      </c>
      <c r="H110" s="236" t="s">
        <v>199</v>
      </c>
      <c r="I110" s="201"/>
      <c r="J110" s="201"/>
      <c r="K110" s="201">
        <f>ROUND((F109*D109-H109*E109)/(COUNT(B$99:B$108)*F109-E109*E109),0)</f>
        <v>268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1">ROUNDUP(G$110*(B115-B$108+E$108)+K$110,0)</f>
        <v>400</v>
      </c>
      <c r="E115" s="221"/>
      <c r="F115" s="221">
        <v>0</v>
      </c>
      <c r="G115" s="221"/>
      <c r="H115" s="221">
        <f t="shared" ref="H115:H136" si="12">ROUND(D115*(1+F115),0)</f>
        <v>400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1"/>
        <v>429</v>
      </c>
      <c r="E116" s="269"/>
      <c r="F116" s="269">
        <v>0</v>
      </c>
      <c r="G116" s="269"/>
      <c r="H116" s="269">
        <f t="shared" si="12"/>
        <v>429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1"/>
        <v>458</v>
      </c>
      <c r="E117" s="221"/>
      <c r="F117" s="221">
        <v>0</v>
      </c>
      <c r="G117" s="221"/>
      <c r="H117" s="221">
        <f t="shared" si="12"/>
        <v>458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1"/>
        <v>487</v>
      </c>
      <c r="E118" s="221"/>
      <c r="F118" s="221">
        <v>0</v>
      </c>
      <c r="G118" s="221"/>
      <c r="H118" s="221">
        <f t="shared" si="12"/>
        <v>487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1"/>
        <v>516</v>
      </c>
      <c r="E119" s="221"/>
      <c r="F119" s="221">
        <v>0</v>
      </c>
      <c r="G119" s="221"/>
      <c r="H119" s="221">
        <f t="shared" si="12"/>
        <v>516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1"/>
        <v>545</v>
      </c>
      <c r="E120" s="221"/>
      <c r="F120" s="221">
        <v>0</v>
      </c>
      <c r="G120" s="221"/>
      <c r="H120" s="221">
        <f t="shared" si="12"/>
        <v>545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1"/>
        <v>574</v>
      </c>
      <c r="E121" s="269"/>
      <c r="F121" s="269">
        <v>0</v>
      </c>
      <c r="G121" s="269"/>
      <c r="H121" s="269">
        <f t="shared" si="12"/>
        <v>574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1"/>
        <v>603</v>
      </c>
      <c r="E122" s="221"/>
      <c r="F122" s="221">
        <v>0</v>
      </c>
      <c r="G122" s="221"/>
      <c r="H122" s="221">
        <f t="shared" si="12"/>
        <v>603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1"/>
        <v>633</v>
      </c>
      <c r="E123" s="221"/>
      <c r="F123" s="221">
        <v>0</v>
      </c>
      <c r="G123" s="221"/>
      <c r="H123" s="221">
        <f t="shared" si="12"/>
        <v>633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1"/>
        <v>662</v>
      </c>
      <c r="E124" s="221"/>
      <c r="F124" s="221">
        <v>0</v>
      </c>
      <c r="G124" s="221"/>
      <c r="H124" s="221">
        <f t="shared" si="12"/>
        <v>662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1"/>
        <v>691</v>
      </c>
      <c r="E125" s="221"/>
      <c r="F125" s="221">
        <v>0</v>
      </c>
      <c r="G125" s="221"/>
      <c r="H125" s="221">
        <f t="shared" si="12"/>
        <v>691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1"/>
        <v>720</v>
      </c>
      <c r="E126" s="269"/>
      <c r="F126" s="269">
        <v>0</v>
      </c>
      <c r="G126" s="269"/>
      <c r="H126" s="269">
        <f t="shared" si="12"/>
        <v>720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1"/>
        <v>749</v>
      </c>
      <c r="E127" s="221"/>
      <c r="F127" s="221">
        <v>0</v>
      </c>
      <c r="G127" s="221"/>
      <c r="H127" s="221">
        <f t="shared" si="12"/>
        <v>749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1"/>
        <v>778</v>
      </c>
      <c r="E128" s="221"/>
      <c r="F128" s="221">
        <v>0</v>
      </c>
      <c r="G128" s="221"/>
      <c r="H128" s="221">
        <f t="shared" si="12"/>
        <v>778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1"/>
        <v>807</v>
      </c>
      <c r="E129" s="221"/>
      <c r="F129" s="221">
        <v>0</v>
      </c>
      <c r="G129" s="221"/>
      <c r="H129" s="221">
        <f t="shared" si="12"/>
        <v>807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1"/>
        <v>836</v>
      </c>
      <c r="E130" s="221"/>
      <c r="F130" s="221">
        <v>0</v>
      </c>
      <c r="G130" s="221"/>
      <c r="H130" s="221">
        <f t="shared" si="12"/>
        <v>836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1"/>
        <v>865</v>
      </c>
      <c r="E131" s="269"/>
      <c r="F131" s="269">
        <v>0</v>
      </c>
      <c r="G131" s="269"/>
      <c r="H131" s="269">
        <f t="shared" si="12"/>
        <v>865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1"/>
        <v>895</v>
      </c>
      <c r="E132" s="221"/>
      <c r="F132" s="221">
        <v>0</v>
      </c>
      <c r="G132" s="221"/>
      <c r="H132" s="221">
        <f t="shared" si="12"/>
        <v>895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1"/>
        <v>924</v>
      </c>
      <c r="E133" s="221"/>
      <c r="F133" s="221">
        <v>0</v>
      </c>
      <c r="G133" s="221"/>
      <c r="H133" s="221">
        <f t="shared" si="12"/>
        <v>924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1"/>
        <v>953</v>
      </c>
      <c r="E134" s="221"/>
      <c r="F134" s="221">
        <v>0</v>
      </c>
      <c r="G134" s="221"/>
      <c r="H134" s="221">
        <f t="shared" si="12"/>
        <v>953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1"/>
        <v>982</v>
      </c>
      <c r="E135" s="221"/>
      <c r="F135" s="221">
        <v>0</v>
      </c>
      <c r="G135" s="221"/>
      <c r="H135" s="221">
        <f t="shared" si="12"/>
        <v>982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1"/>
        <v>1011</v>
      </c>
      <c r="E136" s="269"/>
      <c r="F136" s="269">
        <v>0</v>
      </c>
      <c r="G136" s="269"/>
      <c r="H136" s="269">
        <f t="shared" si="12"/>
        <v>1011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840">
        <f t="shared" ref="B146:B155" si="13">B99</f>
        <v>2005</v>
      </c>
      <c r="C146" s="840"/>
      <c r="D146" s="208">
        <f t="shared" ref="D146:D155" si="14">VLOOKUP(B146,B$7:E$16,3,FALSE)</f>
        <v>0</v>
      </c>
      <c r="E146" s="244">
        <f t="shared" ref="E146:E155" si="15">IF(G$140=FALSE,"",((COUNT(B$99:B$108)-1))+(B146-$C$4))</f>
        <v>0</v>
      </c>
      <c r="F146" s="245">
        <f>IF(E146=0,0,"")</f>
        <v>0</v>
      </c>
      <c r="G146" s="246">
        <f t="shared" ref="G146:G155" si="16">IF(F146="","",F146^2)</f>
        <v>0</v>
      </c>
      <c r="H146" s="231">
        <f t="shared" ref="H146:H155" si="17">IF(G146="","",ABS(D146-D$146))</f>
        <v>0</v>
      </c>
      <c r="I146" s="231"/>
      <c r="J146" s="245">
        <f>IF(H146=0,0,"")</f>
        <v>0</v>
      </c>
      <c r="K146" s="247">
        <f t="shared" ref="K146:K155" si="18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840">
        <f t="shared" si="13"/>
        <v>2006</v>
      </c>
      <c r="C147" s="840"/>
      <c r="D147" s="208">
        <f t="shared" si="14"/>
        <v>0</v>
      </c>
      <c r="E147" s="244">
        <f t="shared" si="15"/>
        <v>1</v>
      </c>
      <c r="F147" s="245">
        <f t="shared" ref="F147:F155" si="19">IF(E147="","",LOG(E147))</f>
        <v>0</v>
      </c>
      <c r="G147" s="246">
        <f t="shared" si="16"/>
        <v>0</v>
      </c>
      <c r="H147" s="231">
        <f t="shared" si="17"/>
        <v>0</v>
      </c>
      <c r="I147" s="231"/>
      <c r="J147" s="245">
        <f>IF(H147=0,0,"")</f>
        <v>0</v>
      </c>
      <c r="K147" s="247">
        <f t="shared" si="18"/>
        <v>0</v>
      </c>
      <c r="L147" s="203"/>
      <c r="M147" s="203"/>
      <c r="N147" s="203"/>
      <c r="O147" s="203"/>
    </row>
    <row r="148" spans="1:15" ht="15" customHeight="1">
      <c r="A148" s="203"/>
      <c r="B148" s="840">
        <f t="shared" si="13"/>
        <v>2007</v>
      </c>
      <c r="C148" s="840"/>
      <c r="D148" s="208">
        <f t="shared" si="14"/>
        <v>268</v>
      </c>
      <c r="E148" s="244">
        <f t="shared" si="15"/>
        <v>2</v>
      </c>
      <c r="F148" s="245">
        <f t="shared" si="19"/>
        <v>0.3010299956639812</v>
      </c>
      <c r="G148" s="246">
        <f t="shared" si="16"/>
        <v>9.0619058289456544E-2</v>
      </c>
      <c r="H148" s="231">
        <f t="shared" si="17"/>
        <v>268</v>
      </c>
      <c r="I148" s="231"/>
      <c r="J148" s="247">
        <f t="shared" ref="J148:J155" si="20">IF(H148="","",LOG(H148))</f>
        <v>2.428134794028789</v>
      </c>
      <c r="K148" s="247">
        <f t="shared" si="18"/>
        <v>0.73094140651804818</v>
      </c>
      <c r="L148" s="203"/>
      <c r="M148" s="203"/>
      <c r="N148" s="203"/>
      <c r="O148" s="203"/>
    </row>
    <row r="149" spans="1:15" ht="15" customHeight="1">
      <c r="A149" s="203"/>
      <c r="B149" s="840">
        <f t="shared" si="13"/>
        <v>2008</v>
      </c>
      <c r="C149" s="840"/>
      <c r="D149" s="208">
        <f t="shared" si="14"/>
        <v>264</v>
      </c>
      <c r="E149" s="244">
        <f t="shared" si="15"/>
        <v>3</v>
      </c>
      <c r="F149" s="245">
        <f t="shared" si="19"/>
        <v>0.47712125471966244</v>
      </c>
      <c r="G149" s="246">
        <f t="shared" si="16"/>
        <v>0.227644691705265</v>
      </c>
      <c r="H149" s="231">
        <f t="shared" si="17"/>
        <v>264</v>
      </c>
      <c r="I149" s="231"/>
      <c r="J149" s="247">
        <f t="shared" si="20"/>
        <v>2.4216039268698313</v>
      </c>
      <c r="K149" s="247">
        <f t="shared" si="18"/>
        <v>1.1553987040221956</v>
      </c>
      <c r="L149" s="203"/>
      <c r="M149" s="203"/>
      <c r="N149" s="203"/>
      <c r="O149" s="203"/>
    </row>
    <row r="150" spans="1:15" ht="15" customHeight="1">
      <c r="A150" s="203"/>
      <c r="B150" s="840">
        <f t="shared" si="13"/>
        <v>2009</v>
      </c>
      <c r="C150" s="840"/>
      <c r="D150" s="208">
        <f t="shared" si="14"/>
        <v>486</v>
      </c>
      <c r="E150" s="244">
        <f t="shared" si="15"/>
        <v>4</v>
      </c>
      <c r="F150" s="245">
        <f t="shared" si="19"/>
        <v>0.6020599913279624</v>
      </c>
      <c r="G150" s="246">
        <f t="shared" si="16"/>
        <v>0.36247623315782618</v>
      </c>
      <c r="H150" s="231">
        <f t="shared" si="17"/>
        <v>486</v>
      </c>
      <c r="I150" s="231"/>
      <c r="J150" s="247">
        <f t="shared" si="20"/>
        <v>2.6866362692622934</v>
      </c>
      <c r="K150" s="247">
        <f t="shared" si="18"/>
        <v>1.6175162089734456</v>
      </c>
      <c r="L150" s="203"/>
      <c r="M150" s="203"/>
      <c r="N150" s="203"/>
      <c r="O150" s="203"/>
    </row>
    <row r="151" spans="1:15" ht="15" customHeight="1">
      <c r="A151" s="203"/>
      <c r="B151" s="840">
        <f t="shared" si="13"/>
        <v>2010</v>
      </c>
      <c r="C151" s="840"/>
      <c r="D151" s="208">
        <f t="shared" si="14"/>
        <v>443</v>
      </c>
      <c r="E151" s="244">
        <f t="shared" si="15"/>
        <v>5</v>
      </c>
      <c r="F151" s="245">
        <f t="shared" si="19"/>
        <v>0.69897000433601886</v>
      </c>
      <c r="G151" s="246">
        <f t="shared" si="16"/>
        <v>0.4885590669614942</v>
      </c>
      <c r="H151" s="231">
        <f t="shared" si="17"/>
        <v>443</v>
      </c>
      <c r="I151" s="231"/>
      <c r="J151" s="247">
        <f t="shared" si="20"/>
        <v>2.6464037262230695</v>
      </c>
      <c r="K151" s="247">
        <f t="shared" si="18"/>
        <v>1.8497568239929953</v>
      </c>
      <c r="L151" s="203"/>
      <c r="M151" s="203"/>
      <c r="N151" s="203"/>
      <c r="O151" s="203"/>
    </row>
    <row r="152" spans="1:15" ht="15" customHeight="1">
      <c r="A152" s="203"/>
      <c r="B152" s="840">
        <f t="shared" si="13"/>
        <v>2011</v>
      </c>
      <c r="C152" s="840"/>
      <c r="D152" s="208">
        <f t="shared" si="14"/>
        <v>380</v>
      </c>
      <c r="E152" s="244">
        <f t="shared" si="15"/>
        <v>6</v>
      </c>
      <c r="F152" s="245">
        <f t="shared" si="19"/>
        <v>0.77815125038364363</v>
      </c>
      <c r="G152" s="246">
        <f t="shared" si="16"/>
        <v>0.60551936847362808</v>
      </c>
      <c r="H152" s="231">
        <f t="shared" si="17"/>
        <v>380</v>
      </c>
      <c r="I152" s="231"/>
      <c r="J152" s="247">
        <f t="shared" si="20"/>
        <v>2.5797835966168101</v>
      </c>
      <c r="K152" s="247">
        <f t="shared" si="18"/>
        <v>2.0074618314265842</v>
      </c>
      <c r="L152" s="203"/>
      <c r="M152" s="203"/>
      <c r="N152" s="203"/>
      <c r="O152" s="203"/>
    </row>
    <row r="153" spans="1:15" ht="15" customHeight="1">
      <c r="A153" s="203"/>
      <c r="B153" s="840">
        <f t="shared" si="13"/>
        <v>2012</v>
      </c>
      <c r="C153" s="840"/>
      <c r="D153" s="208">
        <f t="shared" si="14"/>
        <v>286</v>
      </c>
      <c r="E153" s="244">
        <f t="shared" si="15"/>
        <v>7</v>
      </c>
      <c r="F153" s="245">
        <f t="shared" si="19"/>
        <v>0.84509804001425681</v>
      </c>
      <c r="G153" s="246">
        <f t="shared" si="16"/>
        <v>0.71419069723593842</v>
      </c>
      <c r="H153" s="231">
        <f t="shared" si="17"/>
        <v>286</v>
      </c>
      <c r="I153" s="231"/>
      <c r="J153" s="247">
        <f t="shared" si="20"/>
        <v>2.4563660331290431</v>
      </c>
      <c r="K153" s="247">
        <f t="shared" si="18"/>
        <v>2.0758701201549492</v>
      </c>
      <c r="L153" s="203"/>
      <c r="M153" s="203"/>
      <c r="N153" s="203"/>
      <c r="O153" s="203"/>
    </row>
    <row r="154" spans="1:15" ht="15" customHeight="1">
      <c r="A154" s="203"/>
      <c r="B154" s="840">
        <f t="shared" si="13"/>
        <v>2013</v>
      </c>
      <c r="C154" s="840"/>
      <c r="D154" s="208">
        <f t="shared" si="14"/>
        <v>269</v>
      </c>
      <c r="E154" s="244">
        <f t="shared" si="15"/>
        <v>8</v>
      </c>
      <c r="F154" s="245">
        <f t="shared" si="19"/>
        <v>0.90308998699194354</v>
      </c>
      <c r="G154" s="246">
        <f t="shared" si="16"/>
        <v>0.81557152460510873</v>
      </c>
      <c r="H154" s="231">
        <f t="shared" si="17"/>
        <v>269</v>
      </c>
      <c r="I154" s="231"/>
      <c r="J154" s="247">
        <f t="shared" si="20"/>
        <v>2.4297522800024081</v>
      </c>
      <c r="K154" s="247">
        <f t="shared" si="18"/>
        <v>2.1942849549410197</v>
      </c>
      <c r="L154" s="203"/>
      <c r="M154" s="203"/>
      <c r="N154" s="203"/>
      <c r="O154" s="203"/>
    </row>
    <row r="155" spans="1:15" ht="15" customHeight="1">
      <c r="A155" s="203"/>
      <c r="B155" s="840">
        <f t="shared" si="13"/>
        <v>2014</v>
      </c>
      <c r="C155" s="840"/>
      <c r="D155" s="208">
        <f t="shared" si="14"/>
        <v>284</v>
      </c>
      <c r="E155" s="244">
        <f t="shared" si="15"/>
        <v>9</v>
      </c>
      <c r="F155" s="245">
        <f t="shared" si="19"/>
        <v>0.95424250943932487</v>
      </c>
      <c r="G155" s="246">
        <f t="shared" si="16"/>
        <v>0.91057876682105998</v>
      </c>
      <c r="H155" s="231">
        <f t="shared" si="17"/>
        <v>284</v>
      </c>
      <c r="I155" s="231"/>
      <c r="J155" s="247">
        <f t="shared" si="20"/>
        <v>2.4533183400470375</v>
      </c>
      <c r="K155" s="247">
        <f t="shared" si="18"/>
        <v>2.3410606492600041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20.101998966179281</v>
      </c>
      <c r="K156" s="253">
        <f>IF(K155="","",SUM(K146:K155))</f>
        <v>13.972290699289243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10.082308919881026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1.99108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1">IF(J$157=0,0,ROUNDUP(D$146+E$157*(B162-B$146)^J$157,0))</f>
        <v>801</v>
      </c>
      <c r="E162" s="257"/>
      <c r="F162" s="844">
        <v>0</v>
      </c>
      <c r="G162" s="844"/>
      <c r="H162" s="844">
        <f t="shared" ref="H162:H183" si="22">ROUND(D162*(1+F162),0)</f>
        <v>801</v>
      </c>
      <c r="I162" s="844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1"/>
        <v>988</v>
      </c>
      <c r="E163" s="271"/>
      <c r="F163" s="272">
        <v>0</v>
      </c>
      <c r="G163" s="272"/>
      <c r="H163" s="272">
        <f t="shared" si="22"/>
        <v>988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1"/>
        <v>1195</v>
      </c>
      <c r="E164" s="257"/>
      <c r="F164" s="258">
        <v>0</v>
      </c>
      <c r="G164" s="258"/>
      <c r="H164" s="258">
        <f t="shared" si="22"/>
        <v>1195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1"/>
        <v>1421</v>
      </c>
      <c r="E165" s="257"/>
      <c r="F165" s="258">
        <v>0</v>
      </c>
      <c r="G165" s="258"/>
      <c r="H165" s="258">
        <f t="shared" si="22"/>
        <v>1421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1"/>
        <v>1666</v>
      </c>
      <c r="E166" s="257"/>
      <c r="F166" s="258">
        <v>0</v>
      </c>
      <c r="G166" s="258"/>
      <c r="H166" s="258">
        <f t="shared" si="22"/>
        <v>1666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1"/>
        <v>1931</v>
      </c>
      <c r="E167" s="257"/>
      <c r="F167" s="258">
        <v>0</v>
      </c>
      <c r="G167" s="258"/>
      <c r="H167" s="258">
        <f t="shared" si="22"/>
        <v>1931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1"/>
        <v>2215</v>
      </c>
      <c r="E168" s="271"/>
      <c r="F168" s="272">
        <v>0</v>
      </c>
      <c r="G168" s="272"/>
      <c r="H168" s="272">
        <f t="shared" si="22"/>
        <v>2215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1"/>
        <v>2519</v>
      </c>
      <c r="E169" s="257"/>
      <c r="F169" s="258">
        <v>0</v>
      </c>
      <c r="G169" s="258"/>
      <c r="H169" s="258">
        <f t="shared" si="22"/>
        <v>2519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1"/>
        <v>2842</v>
      </c>
      <c r="E170" s="257"/>
      <c r="F170" s="258">
        <v>0</v>
      </c>
      <c r="G170" s="258"/>
      <c r="H170" s="258">
        <f t="shared" si="22"/>
        <v>2842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1"/>
        <v>3184</v>
      </c>
      <c r="E171" s="257"/>
      <c r="F171" s="258">
        <v>0</v>
      </c>
      <c r="G171" s="258"/>
      <c r="H171" s="258">
        <f t="shared" si="22"/>
        <v>3184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1"/>
        <v>3546</v>
      </c>
      <c r="E172" s="257"/>
      <c r="F172" s="258">
        <v>0</v>
      </c>
      <c r="G172" s="258"/>
      <c r="H172" s="258">
        <f t="shared" si="22"/>
        <v>3546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1"/>
        <v>3927</v>
      </c>
      <c r="E173" s="271"/>
      <c r="F173" s="272">
        <v>0</v>
      </c>
      <c r="G173" s="272"/>
      <c r="H173" s="272">
        <f t="shared" si="22"/>
        <v>3927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1"/>
        <v>4328</v>
      </c>
      <c r="E174" s="257"/>
      <c r="F174" s="258">
        <v>0</v>
      </c>
      <c r="G174" s="258"/>
      <c r="H174" s="258">
        <f t="shared" si="22"/>
        <v>4328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1"/>
        <v>4748</v>
      </c>
      <c r="E175" s="257"/>
      <c r="F175" s="258">
        <v>0</v>
      </c>
      <c r="G175" s="258"/>
      <c r="H175" s="258">
        <f t="shared" si="22"/>
        <v>4748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1"/>
        <v>5187</v>
      </c>
      <c r="E176" s="257"/>
      <c r="F176" s="258">
        <v>0</v>
      </c>
      <c r="G176" s="258"/>
      <c r="H176" s="258">
        <f t="shared" si="22"/>
        <v>5187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1"/>
        <v>5646</v>
      </c>
      <c r="E177" s="257"/>
      <c r="F177" s="258">
        <v>0</v>
      </c>
      <c r="G177" s="258"/>
      <c r="H177" s="258">
        <f t="shared" si="22"/>
        <v>5646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1"/>
        <v>6124</v>
      </c>
      <c r="E178" s="271"/>
      <c r="F178" s="272">
        <v>0</v>
      </c>
      <c r="G178" s="272"/>
      <c r="H178" s="272">
        <f t="shared" si="22"/>
        <v>6124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1"/>
        <v>6621</v>
      </c>
      <c r="E179" s="257"/>
      <c r="F179" s="258">
        <v>0</v>
      </c>
      <c r="G179" s="258"/>
      <c r="H179" s="258">
        <f t="shared" si="22"/>
        <v>6621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1"/>
        <v>7138</v>
      </c>
      <c r="E180" s="257"/>
      <c r="F180" s="258">
        <v>0</v>
      </c>
      <c r="G180" s="258"/>
      <c r="H180" s="258">
        <f t="shared" si="22"/>
        <v>7138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1"/>
        <v>7674</v>
      </c>
      <c r="E181" s="257"/>
      <c r="F181" s="258">
        <v>0</v>
      </c>
      <c r="G181" s="258"/>
      <c r="H181" s="258">
        <f t="shared" si="22"/>
        <v>7674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1"/>
        <v>8229</v>
      </c>
      <c r="E182" s="257"/>
      <c r="F182" s="258">
        <v>0</v>
      </c>
      <c r="G182" s="258"/>
      <c r="H182" s="258">
        <f t="shared" si="22"/>
        <v>8229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1"/>
        <v>8803</v>
      </c>
      <c r="E183" s="271"/>
      <c r="F183" s="272">
        <v>0</v>
      </c>
      <c r="G183" s="272"/>
      <c r="H183" s="272">
        <f t="shared" si="22"/>
        <v>8803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1000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840">
        <f t="shared" ref="B195:B204" si="23">B146</f>
        <v>2005</v>
      </c>
      <c r="C195" s="840"/>
      <c r="D195" s="208">
        <f t="shared" ref="D195:D204" si="24">VLOOKUP(B195,B$7:E$16,3,FALSE)</f>
        <v>0</v>
      </c>
      <c r="E195" s="244">
        <f t="shared" ref="E195:E204" si="25">((COUNT(B$195:B$204)-1)/2)+(B195-$C$4)</f>
        <v>-4.5</v>
      </c>
      <c r="F195" s="206">
        <f t="shared" ref="F195:F204" si="26">E195^2</f>
        <v>20.25</v>
      </c>
      <c r="G195" s="844">
        <f t="shared" ref="G195:G204" si="27">E$192-D195</f>
        <v>1000</v>
      </c>
      <c r="H195" s="259">
        <v>0</v>
      </c>
      <c r="I195" s="245">
        <f t="shared" ref="I195:I204" si="28">LOG(G195)</f>
        <v>3</v>
      </c>
      <c r="J195" s="246">
        <f>ROUND(H195-I195,6)</f>
        <v>-3</v>
      </c>
      <c r="K195" s="246">
        <f t="shared" ref="K195:K204" si="29">E195*J195</f>
        <v>13.5</v>
      </c>
      <c r="L195" s="203"/>
      <c r="M195" s="203"/>
      <c r="N195" s="203"/>
      <c r="O195" s="203"/>
    </row>
    <row r="196" spans="1:15" ht="15" customHeight="1">
      <c r="A196" s="203"/>
      <c r="B196" s="840">
        <f t="shared" si="23"/>
        <v>2006</v>
      </c>
      <c r="C196" s="840"/>
      <c r="D196" s="208">
        <f t="shared" si="24"/>
        <v>0</v>
      </c>
      <c r="E196" s="244">
        <f t="shared" si="25"/>
        <v>-3.5</v>
      </c>
      <c r="F196" s="206">
        <f t="shared" si="26"/>
        <v>12.25</v>
      </c>
      <c r="G196" s="844">
        <f t="shared" si="27"/>
        <v>1000</v>
      </c>
      <c r="H196" s="259">
        <v>0</v>
      </c>
      <c r="I196" s="245">
        <f t="shared" si="28"/>
        <v>3</v>
      </c>
      <c r="J196" s="246">
        <f t="shared" ref="J196:J204" si="30">H196-I196</f>
        <v>-3</v>
      </c>
      <c r="K196" s="246">
        <f t="shared" si="29"/>
        <v>10.5</v>
      </c>
      <c r="L196" s="203"/>
      <c r="M196" s="203"/>
      <c r="N196" s="203"/>
      <c r="O196" s="203"/>
    </row>
    <row r="197" spans="1:15" ht="15" customHeight="1">
      <c r="A197" s="203"/>
      <c r="B197" s="840">
        <f t="shared" si="23"/>
        <v>2007</v>
      </c>
      <c r="C197" s="840"/>
      <c r="D197" s="208">
        <f t="shared" si="24"/>
        <v>268</v>
      </c>
      <c r="E197" s="244">
        <f t="shared" si="25"/>
        <v>-2.5</v>
      </c>
      <c r="F197" s="206">
        <f t="shared" si="26"/>
        <v>6.25</v>
      </c>
      <c r="G197" s="844">
        <f t="shared" si="27"/>
        <v>732</v>
      </c>
      <c r="H197" s="259">
        <f t="shared" ref="H197:H204" si="31">LOG(D197)</f>
        <v>2.428134794028789</v>
      </c>
      <c r="I197" s="245">
        <f t="shared" si="28"/>
        <v>2.8645110810583918</v>
      </c>
      <c r="J197" s="246">
        <f t="shared" si="30"/>
        <v>-0.43637628702960285</v>
      </c>
      <c r="K197" s="246">
        <f t="shared" si="29"/>
        <v>1.0909407175740071</v>
      </c>
      <c r="L197" s="203"/>
      <c r="M197" s="203"/>
      <c r="N197" s="203"/>
      <c r="O197" s="203"/>
    </row>
    <row r="198" spans="1:15" ht="15" customHeight="1">
      <c r="A198" s="203"/>
      <c r="B198" s="840">
        <f t="shared" si="23"/>
        <v>2008</v>
      </c>
      <c r="C198" s="840"/>
      <c r="D198" s="208">
        <f t="shared" si="24"/>
        <v>264</v>
      </c>
      <c r="E198" s="244">
        <f t="shared" si="25"/>
        <v>-1.5</v>
      </c>
      <c r="F198" s="206">
        <f t="shared" si="26"/>
        <v>2.25</v>
      </c>
      <c r="G198" s="844">
        <f t="shared" si="27"/>
        <v>736</v>
      </c>
      <c r="H198" s="259">
        <f t="shared" si="31"/>
        <v>2.4216039268698313</v>
      </c>
      <c r="I198" s="245">
        <f t="shared" si="28"/>
        <v>2.8668778143374989</v>
      </c>
      <c r="J198" s="246">
        <f t="shared" si="30"/>
        <v>-0.44527388746766761</v>
      </c>
      <c r="K198" s="246">
        <f t="shared" si="29"/>
        <v>0.66791083120150141</v>
      </c>
      <c r="L198" s="203"/>
      <c r="M198" s="203"/>
      <c r="N198" s="203"/>
      <c r="O198" s="203"/>
    </row>
    <row r="199" spans="1:15" ht="15" customHeight="1">
      <c r="A199" s="203"/>
      <c r="B199" s="840">
        <f t="shared" si="23"/>
        <v>2009</v>
      </c>
      <c r="C199" s="840"/>
      <c r="D199" s="208">
        <f t="shared" si="24"/>
        <v>486</v>
      </c>
      <c r="E199" s="244">
        <f t="shared" si="25"/>
        <v>-0.5</v>
      </c>
      <c r="F199" s="206">
        <f t="shared" si="26"/>
        <v>0.25</v>
      </c>
      <c r="G199" s="844">
        <f t="shared" si="27"/>
        <v>514</v>
      </c>
      <c r="H199" s="259">
        <f t="shared" si="31"/>
        <v>2.6866362692622934</v>
      </c>
      <c r="I199" s="245">
        <f t="shared" si="28"/>
        <v>2.7109631189952759</v>
      </c>
      <c r="J199" s="246">
        <f t="shared" si="30"/>
        <v>-2.4326849732982492E-2</v>
      </c>
      <c r="K199" s="246">
        <f t="shared" si="29"/>
        <v>1.2163424866491246E-2</v>
      </c>
      <c r="L199" s="203"/>
      <c r="M199" s="203"/>
      <c r="N199" s="203"/>
      <c r="O199" s="203"/>
    </row>
    <row r="200" spans="1:15" ht="15" customHeight="1">
      <c r="A200" s="203"/>
      <c r="B200" s="840">
        <f t="shared" si="23"/>
        <v>2010</v>
      </c>
      <c r="C200" s="840"/>
      <c r="D200" s="208">
        <f t="shared" si="24"/>
        <v>443</v>
      </c>
      <c r="E200" s="244">
        <f t="shared" si="25"/>
        <v>0.5</v>
      </c>
      <c r="F200" s="206">
        <f t="shared" si="26"/>
        <v>0.25</v>
      </c>
      <c r="G200" s="844">
        <f t="shared" si="27"/>
        <v>557</v>
      </c>
      <c r="H200" s="259">
        <f t="shared" si="31"/>
        <v>2.6464037262230695</v>
      </c>
      <c r="I200" s="245">
        <f t="shared" si="28"/>
        <v>2.7458551951737289</v>
      </c>
      <c r="J200" s="246">
        <f t="shared" si="30"/>
        <v>-9.9451468950659372E-2</v>
      </c>
      <c r="K200" s="246">
        <f t="shared" si="29"/>
        <v>-4.9725734475329686E-2</v>
      </c>
      <c r="L200" s="203"/>
      <c r="M200" s="203"/>
      <c r="N200" s="203"/>
      <c r="O200" s="203"/>
    </row>
    <row r="201" spans="1:15" ht="15" customHeight="1">
      <c r="A201" s="203"/>
      <c r="B201" s="840">
        <f t="shared" si="23"/>
        <v>2011</v>
      </c>
      <c r="C201" s="840"/>
      <c r="D201" s="208">
        <f t="shared" si="24"/>
        <v>380</v>
      </c>
      <c r="E201" s="244">
        <f t="shared" si="25"/>
        <v>1.5</v>
      </c>
      <c r="F201" s="206">
        <f t="shared" si="26"/>
        <v>2.25</v>
      </c>
      <c r="G201" s="844">
        <f t="shared" si="27"/>
        <v>620</v>
      </c>
      <c r="H201" s="259">
        <f t="shared" si="31"/>
        <v>2.5797835966168101</v>
      </c>
      <c r="I201" s="245">
        <f t="shared" si="28"/>
        <v>2.7923916894982539</v>
      </c>
      <c r="J201" s="246">
        <f t="shared" si="30"/>
        <v>-0.21260809288144378</v>
      </c>
      <c r="K201" s="246">
        <f t="shared" si="29"/>
        <v>-0.31891213932216567</v>
      </c>
      <c r="L201" s="203"/>
      <c r="M201" s="203"/>
      <c r="N201" s="203"/>
      <c r="O201" s="203"/>
    </row>
    <row r="202" spans="1:15" ht="15" customHeight="1">
      <c r="A202" s="203"/>
      <c r="B202" s="840">
        <f t="shared" si="23"/>
        <v>2012</v>
      </c>
      <c r="C202" s="840"/>
      <c r="D202" s="208">
        <f t="shared" si="24"/>
        <v>286</v>
      </c>
      <c r="E202" s="244">
        <f t="shared" si="25"/>
        <v>2.5</v>
      </c>
      <c r="F202" s="206">
        <f t="shared" si="26"/>
        <v>6.25</v>
      </c>
      <c r="G202" s="844">
        <f t="shared" si="27"/>
        <v>714</v>
      </c>
      <c r="H202" s="259">
        <f t="shared" si="31"/>
        <v>2.4563660331290431</v>
      </c>
      <c r="I202" s="245">
        <f t="shared" si="28"/>
        <v>2.8536982117761744</v>
      </c>
      <c r="J202" s="246">
        <f t="shared" si="30"/>
        <v>-0.39733217864713133</v>
      </c>
      <c r="K202" s="246">
        <f t="shared" si="29"/>
        <v>-0.99333044661782832</v>
      </c>
      <c r="L202" s="203"/>
      <c r="M202" s="203"/>
      <c r="N202" s="203"/>
      <c r="O202" s="203"/>
    </row>
    <row r="203" spans="1:15" ht="15" customHeight="1">
      <c r="A203" s="203"/>
      <c r="B203" s="840">
        <f t="shared" si="23"/>
        <v>2013</v>
      </c>
      <c r="C203" s="840"/>
      <c r="D203" s="208">
        <f t="shared" si="24"/>
        <v>269</v>
      </c>
      <c r="E203" s="244">
        <f t="shared" si="25"/>
        <v>3.5</v>
      </c>
      <c r="F203" s="206">
        <f t="shared" si="26"/>
        <v>12.25</v>
      </c>
      <c r="G203" s="844">
        <f t="shared" si="27"/>
        <v>731</v>
      </c>
      <c r="H203" s="259">
        <f t="shared" si="31"/>
        <v>2.4297522800024081</v>
      </c>
      <c r="I203" s="245">
        <f t="shared" si="28"/>
        <v>2.8639173769578603</v>
      </c>
      <c r="J203" s="246">
        <f t="shared" si="30"/>
        <v>-0.43416509695545225</v>
      </c>
      <c r="K203" s="246">
        <f t="shared" si="29"/>
        <v>-1.5195778393440829</v>
      </c>
      <c r="L203" s="203"/>
      <c r="M203" s="203"/>
      <c r="N203" s="203"/>
      <c r="O203" s="203"/>
    </row>
    <row r="204" spans="1:15" ht="15" customHeight="1">
      <c r="A204" s="203"/>
      <c r="B204" s="840">
        <f t="shared" si="23"/>
        <v>2014</v>
      </c>
      <c r="C204" s="840"/>
      <c r="D204" s="208">
        <f t="shared" si="24"/>
        <v>284</v>
      </c>
      <c r="E204" s="244">
        <f t="shared" si="25"/>
        <v>4.5</v>
      </c>
      <c r="F204" s="206">
        <f t="shared" si="26"/>
        <v>20.25</v>
      </c>
      <c r="G204" s="844">
        <f t="shared" si="27"/>
        <v>716</v>
      </c>
      <c r="H204" s="259">
        <f t="shared" si="31"/>
        <v>2.4533183400470375</v>
      </c>
      <c r="I204" s="245">
        <f t="shared" si="28"/>
        <v>2.8549130223078554</v>
      </c>
      <c r="J204" s="246">
        <f t="shared" si="30"/>
        <v>-0.40159468226081785</v>
      </c>
      <c r="K204" s="246">
        <f t="shared" si="29"/>
        <v>-1.8071760701736803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2680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-8.4511285439257584</v>
      </c>
      <c r="K205" s="263">
        <f>SUM(K195:K204)</f>
        <v>21.082292743708912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1.94594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0.58486499999999997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2">ROUNDUP(E$192/(1+EXP(1)^(H$207-K$208*(B212-B$200+0.5))),0)</f>
        <v>666</v>
      </c>
      <c r="E212" s="208"/>
      <c r="F212" s="208">
        <v>0</v>
      </c>
      <c r="G212" s="208"/>
      <c r="H212" s="208">
        <f t="shared" ref="H212:H233" si="33">ROUND(D212*(1+F212),0)</f>
        <v>666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2"/>
        <v>781</v>
      </c>
      <c r="E213" s="269"/>
      <c r="F213" s="269">
        <v>0</v>
      </c>
      <c r="G213" s="269"/>
      <c r="H213" s="269">
        <f t="shared" si="33"/>
        <v>781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2"/>
        <v>865</v>
      </c>
      <c r="E214" s="221"/>
      <c r="F214" s="221">
        <v>0</v>
      </c>
      <c r="G214" s="221"/>
      <c r="H214" s="221">
        <f t="shared" si="33"/>
        <v>865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2"/>
        <v>920</v>
      </c>
      <c r="E215" s="221"/>
      <c r="F215" s="221">
        <v>0</v>
      </c>
      <c r="G215" s="221"/>
      <c r="H215" s="221">
        <f t="shared" si="33"/>
        <v>920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2"/>
        <v>954</v>
      </c>
      <c r="E216" s="221"/>
      <c r="F216" s="221">
        <v>0</v>
      </c>
      <c r="G216" s="221"/>
      <c r="H216" s="221">
        <f t="shared" si="33"/>
        <v>954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2"/>
        <v>974</v>
      </c>
      <c r="E217" s="221"/>
      <c r="F217" s="221">
        <v>0</v>
      </c>
      <c r="G217" s="221"/>
      <c r="H217" s="221">
        <f t="shared" si="33"/>
        <v>974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2"/>
        <v>986</v>
      </c>
      <c r="E218" s="269"/>
      <c r="F218" s="269">
        <v>0</v>
      </c>
      <c r="G218" s="269"/>
      <c r="H218" s="269">
        <f t="shared" si="33"/>
        <v>986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2"/>
        <v>992</v>
      </c>
      <c r="E219" s="221"/>
      <c r="F219" s="221">
        <v>0</v>
      </c>
      <c r="G219" s="221"/>
      <c r="H219" s="221">
        <f t="shared" si="33"/>
        <v>992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2"/>
        <v>996</v>
      </c>
      <c r="E220" s="221"/>
      <c r="F220" s="221">
        <v>0</v>
      </c>
      <c r="G220" s="221"/>
      <c r="H220" s="221">
        <f t="shared" si="33"/>
        <v>996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2"/>
        <v>998</v>
      </c>
      <c r="E221" s="221"/>
      <c r="F221" s="221">
        <v>0</v>
      </c>
      <c r="G221" s="221"/>
      <c r="H221" s="221">
        <f t="shared" si="33"/>
        <v>998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2"/>
        <v>999</v>
      </c>
      <c r="E222" s="221"/>
      <c r="F222" s="221">
        <v>0</v>
      </c>
      <c r="G222" s="221"/>
      <c r="H222" s="221">
        <f t="shared" si="33"/>
        <v>999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2"/>
        <v>1000</v>
      </c>
      <c r="E223" s="269"/>
      <c r="F223" s="269">
        <v>0</v>
      </c>
      <c r="G223" s="269"/>
      <c r="H223" s="269">
        <f t="shared" si="33"/>
        <v>1000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2"/>
        <v>1000</v>
      </c>
      <c r="E224" s="221"/>
      <c r="F224" s="221">
        <v>0</v>
      </c>
      <c r="G224" s="221"/>
      <c r="H224" s="221">
        <f t="shared" si="33"/>
        <v>1000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2"/>
        <v>1000</v>
      </c>
      <c r="E225" s="221"/>
      <c r="F225" s="221">
        <v>0</v>
      </c>
      <c r="G225" s="221"/>
      <c r="H225" s="221">
        <f t="shared" si="33"/>
        <v>1000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2"/>
        <v>1000</v>
      </c>
      <c r="E226" s="221"/>
      <c r="F226" s="221">
        <v>0</v>
      </c>
      <c r="G226" s="221"/>
      <c r="H226" s="221">
        <f t="shared" si="33"/>
        <v>1000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2"/>
        <v>1000</v>
      </c>
      <c r="E227" s="221"/>
      <c r="F227" s="221">
        <v>0</v>
      </c>
      <c r="G227" s="221"/>
      <c r="H227" s="221">
        <f t="shared" si="33"/>
        <v>1000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2"/>
        <v>1000</v>
      </c>
      <c r="E228" s="269"/>
      <c r="F228" s="269">
        <v>0</v>
      </c>
      <c r="G228" s="269"/>
      <c r="H228" s="269">
        <f t="shared" si="33"/>
        <v>1000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2"/>
        <v>1000</v>
      </c>
      <c r="E229" s="221"/>
      <c r="F229" s="221">
        <v>0</v>
      </c>
      <c r="G229" s="221"/>
      <c r="H229" s="221">
        <f t="shared" si="33"/>
        <v>1000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2"/>
        <v>1000</v>
      </c>
      <c r="E230" s="221"/>
      <c r="F230" s="221">
        <v>0</v>
      </c>
      <c r="G230" s="221"/>
      <c r="H230" s="221">
        <f t="shared" si="33"/>
        <v>1000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2"/>
        <v>1000</v>
      </c>
      <c r="E231" s="221"/>
      <c r="F231" s="221">
        <v>0</v>
      </c>
      <c r="G231" s="221"/>
      <c r="H231" s="221">
        <f t="shared" si="33"/>
        <v>1000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2"/>
        <v>1000</v>
      </c>
      <c r="E232" s="221"/>
      <c r="F232" s="221">
        <v>0</v>
      </c>
      <c r="G232" s="221"/>
      <c r="H232" s="221">
        <f t="shared" si="33"/>
        <v>1000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2"/>
        <v>1000</v>
      </c>
      <c r="E233" s="269"/>
      <c r="F233" s="269">
        <v>0</v>
      </c>
      <c r="G233" s="269"/>
      <c r="H233" s="269">
        <f t="shared" si="33"/>
        <v>1000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284</v>
      </c>
      <c r="E241" s="257">
        <f t="array" ref="E241">IF(B60=B241,H60)</f>
        <v>284</v>
      </c>
      <c r="F241" s="257">
        <f t="array" ref="F241">IF(B115=B241,H115)</f>
        <v>400</v>
      </c>
      <c r="G241" s="257">
        <f t="array" ref="G241">IF(B162=B241,H162)</f>
        <v>801</v>
      </c>
      <c r="H241" s="257">
        <f t="array" ref="H241">IF(B212=B241,H212)</f>
        <v>666</v>
      </c>
      <c r="I241" s="257">
        <f t="shared" ref="I241:I262" si="34">IF(G241=0,AVERAGE(D241,E241,F241,H241),AVERAGE(D241:H241))</f>
        <v>487</v>
      </c>
      <c r="J241" s="266">
        <f t="shared" ref="J241:J262" si="35">ROUND(AVERAGE(D241,F241:G241),0)</f>
        <v>495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316</v>
      </c>
      <c r="E242" s="271">
        <f t="array" ref="E242">IF(B61=B242,H61)</f>
        <v>286</v>
      </c>
      <c r="F242" s="271">
        <f t="array" ref="F242">IF(B116=B242,H116)</f>
        <v>429</v>
      </c>
      <c r="G242" s="271">
        <f t="array" ref="G242">IF(B163=B242,H163)</f>
        <v>988</v>
      </c>
      <c r="H242" s="271">
        <f t="array" ref="H242">IF(B213=B242,H213)</f>
        <v>781</v>
      </c>
      <c r="I242" s="271">
        <f t="shared" si="34"/>
        <v>560</v>
      </c>
      <c r="J242" s="273">
        <f t="shared" si="35"/>
        <v>578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347</v>
      </c>
      <c r="E243" s="257">
        <f t="array" ref="E243">IF(B62=B243,H62)</f>
        <v>289</v>
      </c>
      <c r="F243" s="257">
        <f t="array" ref="F243">IF(B117=B243,H117)</f>
        <v>458</v>
      </c>
      <c r="G243" s="257">
        <f t="array" ref="G243">IF(B164=B243,H164)</f>
        <v>1195</v>
      </c>
      <c r="H243" s="257">
        <f t="array" ref="H243">IF(B214=B243,H214)</f>
        <v>865</v>
      </c>
      <c r="I243" s="257">
        <f t="shared" si="34"/>
        <v>630.79999999999995</v>
      </c>
      <c r="J243" s="266">
        <f t="shared" si="35"/>
        <v>667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379</v>
      </c>
      <c r="E244" s="257">
        <f t="array" ref="E244">IF(B63=B244,H63)</f>
        <v>291</v>
      </c>
      <c r="F244" s="257">
        <f t="array" ref="F244">IF(B118=B244,H118)</f>
        <v>487</v>
      </c>
      <c r="G244" s="257">
        <f t="array" ref="G244">IF(B165=B244,H165)</f>
        <v>1421</v>
      </c>
      <c r="H244" s="257">
        <f t="array" ref="H244">IF(B215=B244,H215)</f>
        <v>920</v>
      </c>
      <c r="I244" s="257">
        <f t="shared" si="34"/>
        <v>699.6</v>
      </c>
      <c r="J244" s="266">
        <f t="shared" si="35"/>
        <v>762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410</v>
      </c>
      <c r="E245" s="257">
        <f t="array" ref="E245">IF(B64=B245,H64)</f>
        <v>294</v>
      </c>
      <c r="F245" s="257">
        <f t="array" ref="F245">IF(B119=B245,H119)</f>
        <v>516</v>
      </c>
      <c r="G245" s="257">
        <f t="array" ref="G245">IF(B166=B245,H166)</f>
        <v>1666</v>
      </c>
      <c r="H245" s="257">
        <f t="array" ref="H245">IF(B216=B245,H216)</f>
        <v>954</v>
      </c>
      <c r="I245" s="257">
        <f t="shared" si="34"/>
        <v>768</v>
      </c>
      <c r="J245" s="266">
        <f t="shared" si="35"/>
        <v>864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442</v>
      </c>
      <c r="E246" s="257">
        <f t="array" ref="E246">IF(B65=B246,H65)</f>
        <v>296</v>
      </c>
      <c r="F246" s="257">
        <f t="array" ref="F246">IF(B120=B246,H120)</f>
        <v>545</v>
      </c>
      <c r="G246" s="257">
        <f t="array" ref="G246">IF(B167=B246,H167)</f>
        <v>1931</v>
      </c>
      <c r="H246" s="257">
        <f t="array" ref="H246">IF(B217=B246,H217)</f>
        <v>974</v>
      </c>
      <c r="I246" s="257">
        <f t="shared" si="34"/>
        <v>837.6</v>
      </c>
      <c r="J246" s="266">
        <f t="shared" si="35"/>
        <v>973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474</v>
      </c>
      <c r="E247" s="271">
        <f t="array" ref="E247">IF(B66=B247,H66)</f>
        <v>298</v>
      </c>
      <c r="F247" s="271">
        <f t="array" ref="F247">IF(B121=B247,H121)</f>
        <v>574</v>
      </c>
      <c r="G247" s="271">
        <f t="array" ref="G247">IF(B168=B247,H168)</f>
        <v>2215</v>
      </c>
      <c r="H247" s="271">
        <f t="array" ref="H247">IF(B218=B247,H218)</f>
        <v>986</v>
      </c>
      <c r="I247" s="271">
        <f t="shared" si="34"/>
        <v>909.4</v>
      </c>
      <c r="J247" s="273">
        <f t="shared" si="35"/>
        <v>1088</v>
      </c>
      <c r="K247" s="272"/>
      <c r="L247" s="203"/>
      <c r="M247" s="203"/>
      <c r="N247" s="203"/>
      <c r="O247" s="203"/>
    </row>
    <row r="248" spans="1:15" ht="15" customHeight="1">
      <c r="A248" s="203"/>
      <c r="B248" s="220">
        <v>2021</v>
      </c>
      <c r="C248" s="221"/>
      <c r="D248" s="257">
        <f t="array" ref="D248">IF(B33=B248,H33)</f>
        <v>505</v>
      </c>
      <c r="E248" s="257">
        <f t="array" ref="E248">IF(B67=B248,H67)</f>
        <v>301</v>
      </c>
      <c r="F248" s="257">
        <f t="array" ref="F248">IF(B122=B248,H122)</f>
        <v>603</v>
      </c>
      <c r="G248" s="257">
        <f t="array" ref="G248">IF(B169=B248,H169)</f>
        <v>2519</v>
      </c>
      <c r="H248" s="257">
        <f t="array" ref="H248">IF(B219=B248,H219)</f>
        <v>992</v>
      </c>
      <c r="I248" s="257">
        <f t="shared" si="34"/>
        <v>984</v>
      </c>
      <c r="J248" s="266">
        <f t="shared" si="35"/>
        <v>1209</v>
      </c>
      <c r="K248" s="258"/>
      <c r="L248" s="203"/>
      <c r="M248" s="203"/>
      <c r="N248" s="203"/>
      <c r="O248" s="203"/>
    </row>
    <row r="249" spans="1:15" ht="15" customHeight="1">
      <c r="A249" s="203"/>
      <c r="B249" s="220">
        <v>2022</v>
      </c>
      <c r="C249" s="221"/>
      <c r="D249" s="257">
        <f t="array" ref="D249">IF(B34=B249,H34)</f>
        <v>537</v>
      </c>
      <c r="E249" s="257">
        <f t="array" ref="E249">IF(B68=B249,H68)</f>
        <v>303</v>
      </c>
      <c r="F249" s="257">
        <f t="array" ref="F249">IF(B123=B249,H123)</f>
        <v>633</v>
      </c>
      <c r="G249" s="257">
        <f t="array" ref="G249">IF(B170=B249,H170)</f>
        <v>2842</v>
      </c>
      <c r="H249" s="257">
        <f t="array" ref="H249">IF(B220=B249,H220)</f>
        <v>996</v>
      </c>
      <c r="I249" s="257">
        <f t="shared" si="34"/>
        <v>1062.2</v>
      </c>
      <c r="J249" s="266">
        <f t="shared" si="35"/>
        <v>1337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568</v>
      </c>
      <c r="E250" s="257">
        <f t="array" ref="E250">IF(B69=B250,H69)</f>
        <v>306</v>
      </c>
      <c r="F250" s="257">
        <f t="array" ref="F250">IF(B124=B250,H124)</f>
        <v>662</v>
      </c>
      <c r="G250" s="257">
        <f t="array" ref="G250">IF(B171=B250,H171)</f>
        <v>3184</v>
      </c>
      <c r="H250" s="257">
        <f t="array" ref="H250">IF(B221=B250,H221)</f>
        <v>998</v>
      </c>
      <c r="I250" s="257">
        <f t="shared" si="34"/>
        <v>1143.5999999999999</v>
      </c>
      <c r="J250" s="266">
        <f t="shared" si="35"/>
        <v>1471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600</v>
      </c>
      <c r="E251" s="257">
        <f t="array" ref="E251">IF(B70=B251,H70)</f>
        <v>309</v>
      </c>
      <c r="F251" s="257">
        <f t="array" ref="F251">IF(B125=B251,H125)</f>
        <v>691</v>
      </c>
      <c r="G251" s="257">
        <f t="array" ref="G251">IF(B172=B251,H172)</f>
        <v>3546</v>
      </c>
      <c r="H251" s="257">
        <f t="array" ref="H251">IF(B222=B251,H222)</f>
        <v>999</v>
      </c>
      <c r="I251" s="257">
        <f t="shared" si="34"/>
        <v>1229</v>
      </c>
      <c r="J251" s="266">
        <f t="shared" si="35"/>
        <v>1612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632</v>
      </c>
      <c r="E252" s="271">
        <f t="array" ref="E252">IF(B71=B252,H71)</f>
        <v>311</v>
      </c>
      <c r="F252" s="271">
        <f t="array" ref="F252">IF(B126=B252,H126)</f>
        <v>720</v>
      </c>
      <c r="G252" s="271">
        <f t="array" ref="G252">IF(B173=B252,H173)</f>
        <v>3927</v>
      </c>
      <c r="H252" s="271">
        <f t="array" ref="H252">IF(B223=B252,H223)</f>
        <v>1000</v>
      </c>
      <c r="I252" s="271">
        <f t="shared" si="34"/>
        <v>1318</v>
      </c>
      <c r="J252" s="273">
        <f t="shared" si="35"/>
        <v>1760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663</v>
      </c>
      <c r="E253" s="257">
        <f t="array" ref="E253">IF(B72=B253,H72)</f>
        <v>314</v>
      </c>
      <c r="F253" s="257">
        <f t="array" ref="F253">IF(B127=B253,H127)</f>
        <v>749</v>
      </c>
      <c r="G253" s="257">
        <f t="array" ref="G253">IF(B174=B253,H174)</f>
        <v>4328</v>
      </c>
      <c r="H253" s="257">
        <f t="array" ref="H253">IF(B224=B253,H224)</f>
        <v>1000</v>
      </c>
      <c r="I253" s="257">
        <f t="shared" si="34"/>
        <v>1410.8</v>
      </c>
      <c r="J253" s="266">
        <f t="shared" si="35"/>
        <v>1913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695</v>
      </c>
      <c r="E254" s="257">
        <f t="array" ref="E254">IF(B73=B254,H73)</f>
        <v>316</v>
      </c>
      <c r="F254" s="257">
        <f t="array" ref="F254">IF(B128=B254,H128)</f>
        <v>778</v>
      </c>
      <c r="G254" s="257">
        <f t="array" ref="G254">IF(B175=B254,H175)</f>
        <v>4748</v>
      </c>
      <c r="H254" s="257">
        <f t="array" ref="H254">IF(B225=B254,H225)</f>
        <v>1000</v>
      </c>
      <c r="I254" s="257">
        <f t="shared" si="34"/>
        <v>1507.4</v>
      </c>
      <c r="J254" s="266">
        <f t="shared" si="35"/>
        <v>2074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726</v>
      </c>
      <c r="E255" s="257">
        <f t="array" ref="E255">IF(B74=B255,H74)</f>
        <v>319</v>
      </c>
      <c r="F255" s="257">
        <f t="array" ref="F255">IF(B129=B255,H129)</f>
        <v>807</v>
      </c>
      <c r="G255" s="257">
        <f t="array" ref="G255">IF(B176=B255,H176)</f>
        <v>5187</v>
      </c>
      <c r="H255" s="257">
        <f t="array" ref="H255">IF(B226=B255,H226)</f>
        <v>1000</v>
      </c>
      <c r="I255" s="257">
        <f t="shared" si="34"/>
        <v>1607.8</v>
      </c>
      <c r="J255" s="266">
        <f t="shared" si="35"/>
        <v>2240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758</v>
      </c>
      <c r="E256" s="257">
        <f t="array" ref="E256">IF(B75=B256,H75)</f>
        <v>322</v>
      </c>
      <c r="F256" s="257">
        <f t="array" ref="F256">IF(B130=B256,H130)</f>
        <v>836</v>
      </c>
      <c r="G256" s="257">
        <f t="array" ref="G256">IF(B177=B256,H177)</f>
        <v>5646</v>
      </c>
      <c r="H256" s="257">
        <f t="array" ref="H256">IF(B227=B256,H227)</f>
        <v>1000</v>
      </c>
      <c r="I256" s="257">
        <f t="shared" si="34"/>
        <v>1712.4</v>
      </c>
      <c r="J256" s="266">
        <f t="shared" si="35"/>
        <v>2413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790</v>
      </c>
      <c r="E257" s="271">
        <f t="array" ref="E257">IF(B76=B257,H76)</f>
        <v>324</v>
      </c>
      <c r="F257" s="271">
        <f t="array" ref="F257">IF(B131=B257,H131)</f>
        <v>865</v>
      </c>
      <c r="G257" s="271">
        <f t="array" ref="G257">IF(B178=B257,H178)</f>
        <v>6124</v>
      </c>
      <c r="H257" s="271">
        <f t="array" ref="H257">IF(B228=B257,H228)</f>
        <v>1000</v>
      </c>
      <c r="I257" s="271">
        <f t="shared" si="34"/>
        <v>1820.6</v>
      </c>
      <c r="J257" s="273">
        <f t="shared" si="35"/>
        <v>2593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821</v>
      </c>
      <c r="E258" s="257">
        <f t="array" ref="E258">IF(B77=B258,H77)</f>
        <v>327</v>
      </c>
      <c r="F258" s="257">
        <f t="array" ref="F258">IF(B132=B258,H132)</f>
        <v>895</v>
      </c>
      <c r="G258" s="257">
        <f t="array" ref="G258">IF(B179=B258,H179)</f>
        <v>6621</v>
      </c>
      <c r="H258" s="257">
        <f t="array" ref="H258">IF(B229=B258,H229)</f>
        <v>1000</v>
      </c>
      <c r="I258" s="257">
        <f t="shared" si="34"/>
        <v>1932.8</v>
      </c>
      <c r="J258" s="266">
        <f t="shared" si="35"/>
        <v>2779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853</v>
      </c>
      <c r="E259" s="257">
        <f t="array" ref="E259">IF(B78=B259,H78)</f>
        <v>330</v>
      </c>
      <c r="F259" s="257">
        <f t="array" ref="F259">IF(B133=B259,H133)</f>
        <v>924</v>
      </c>
      <c r="G259" s="257">
        <f t="array" ref="G259">IF(B180=B259,H180)</f>
        <v>7138</v>
      </c>
      <c r="H259" s="257">
        <f t="array" ref="H259">IF(B230=B259,H230)</f>
        <v>1000</v>
      </c>
      <c r="I259" s="257">
        <f t="shared" si="34"/>
        <v>2049</v>
      </c>
      <c r="J259" s="266">
        <f t="shared" si="35"/>
        <v>2972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884</v>
      </c>
      <c r="E260" s="257">
        <f t="array" ref="E260">IF(B79=B260,H79)</f>
        <v>332</v>
      </c>
      <c r="F260" s="257">
        <f t="array" ref="F260">IF(B134=B260,H134)</f>
        <v>953</v>
      </c>
      <c r="G260" s="257">
        <f t="array" ref="G260">IF(B181=B260,H181)</f>
        <v>7674</v>
      </c>
      <c r="H260" s="257">
        <f t="array" ref="H260">IF(B231=B260,H231)</f>
        <v>1000</v>
      </c>
      <c r="I260" s="257">
        <f t="shared" si="34"/>
        <v>2168.6</v>
      </c>
      <c r="J260" s="266">
        <f t="shared" si="35"/>
        <v>3170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916</v>
      </c>
      <c r="E261" s="257">
        <f t="array" ref="E261">IF(B80=B261,H80)</f>
        <v>335</v>
      </c>
      <c r="F261" s="257">
        <f t="array" ref="F261">IF(B135=B261,H135)</f>
        <v>982</v>
      </c>
      <c r="G261" s="257">
        <f t="array" ref="G261">IF(B182=B261,H182)</f>
        <v>8229</v>
      </c>
      <c r="H261" s="257">
        <f t="array" ref="H261">IF(B232=B261,H232)</f>
        <v>1000</v>
      </c>
      <c r="I261" s="257">
        <f t="shared" si="34"/>
        <v>2292.4</v>
      </c>
      <c r="J261" s="266">
        <f t="shared" si="35"/>
        <v>3376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948</v>
      </c>
      <c r="E262" s="271">
        <f t="array" ref="E262">IF(B81=B262,H81)</f>
        <v>338</v>
      </c>
      <c r="F262" s="271">
        <f t="array" ref="F262">IF(B136=B262,H136)</f>
        <v>1011</v>
      </c>
      <c r="G262" s="271">
        <f t="array" ref="G262">IF(B183=B262,H183)</f>
        <v>8803</v>
      </c>
      <c r="H262" s="271">
        <f t="array" ref="H262">IF(B233=B262,H233)</f>
        <v>1000</v>
      </c>
      <c r="I262" s="271">
        <f t="shared" si="34"/>
        <v>2420</v>
      </c>
      <c r="J262" s="273">
        <f t="shared" si="35"/>
        <v>3587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rgb="FF000066"/>
  </sheetPr>
  <dimension ref="A1:P114"/>
  <sheetViews>
    <sheetView view="pageBreakPreview" zoomScaleNormal="100" zoomScaleSheetLayoutView="100" workbookViewId="0"/>
  </sheetViews>
  <sheetFormatPr defaultRowHeight="16.5"/>
  <cols>
    <col min="1" max="1" width="7.33203125" style="52" customWidth="1"/>
    <col min="2" max="2" width="6.33203125" style="52" customWidth="1"/>
    <col min="3" max="8" width="11.77734375" style="52" customWidth="1"/>
    <col min="9" max="13" width="9" style="2" bestFit="1" customWidth="1"/>
    <col min="14" max="14" width="9" style="2" customWidth="1"/>
    <col min="15" max="16" width="9" style="2" bestFit="1" customWidth="1"/>
    <col min="17" max="16384" width="8.88671875" style="2"/>
  </cols>
  <sheetData>
    <row r="1" spans="1:16" ht="24.95" customHeight="1">
      <c r="A1" s="51" t="s">
        <v>441</v>
      </c>
      <c r="D1" s="53"/>
      <c r="E1" s="53"/>
      <c r="F1" s="53"/>
      <c r="H1" s="54"/>
    </row>
    <row r="2" spans="1:16" ht="24.95" customHeight="1">
      <c r="A2" s="52" t="s">
        <v>442</v>
      </c>
      <c r="D2" s="53"/>
      <c r="H2" s="167" t="s">
        <v>281</v>
      </c>
    </row>
    <row r="3" spans="1:16" ht="23.1" customHeight="1">
      <c r="A3" s="1636" t="s">
        <v>135</v>
      </c>
      <c r="B3" s="1637"/>
      <c r="C3" s="1637" t="s">
        <v>58</v>
      </c>
      <c r="D3" s="1637" t="s">
        <v>12</v>
      </c>
      <c r="E3" s="1637" t="s">
        <v>870</v>
      </c>
      <c r="F3" s="1637" t="s">
        <v>871</v>
      </c>
      <c r="G3" s="1637" t="s">
        <v>872</v>
      </c>
      <c r="H3" s="1634" t="s">
        <v>14</v>
      </c>
      <c r="I3" s="382"/>
      <c r="J3" s="809" t="s">
        <v>451</v>
      </c>
      <c r="K3" s="809" t="s">
        <v>452</v>
      </c>
      <c r="L3" s="809" t="s">
        <v>453</v>
      </c>
      <c r="M3" s="809" t="s">
        <v>454</v>
      </c>
      <c r="N3" s="809" t="s">
        <v>873</v>
      </c>
      <c r="O3" s="809"/>
      <c r="P3" s="809" t="s">
        <v>455</v>
      </c>
    </row>
    <row r="4" spans="1:16" ht="23.1" customHeight="1">
      <c r="A4" s="1638"/>
      <c r="B4" s="1639"/>
      <c r="C4" s="1643"/>
      <c r="D4" s="1643"/>
      <c r="E4" s="1639"/>
      <c r="F4" s="1639"/>
      <c r="G4" s="1639"/>
      <c r="H4" s="1635"/>
      <c r="I4" s="383"/>
      <c r="J4" s="808"/>
      <c r="K4" s="808"/>
      <c r="L4" s="808"/>
      <c r="M4" s="808"/>
      <c r="N4" s="808"/>
      <c r="O4" s="808"/>
      <c r="P4" s="809" t="s">
        <v>456</v>
      </c>
    </row>
    <row r="5" spans="1:16" s="389" customFormat="1" ht="23.1" customHeight="1">
      <c r="A5" s="1640" t="str">
        <f>'3.면별급수현황'!A4</f>
        <v>음성군</v>
      </c>
      <c r="B5" s="750" t="s">
        <v>69</v>
      </c>
      <c r="C5" s="888">
        <v>3386000</v>
      </c>
      <c r="D5" s="888">
        <v>2439000</v>
      </c>
      <c r="E5" s="889">
        <v>639000</v>
      </c>
      <c r="F5" s="889">
        <v>13000</v>
      </c>
      <c r="G5" s="890"/>
      <c r="H5" s="891">
        <v>295000</v>
      </c>
      <c r="I5" s="388">
        <f t="shared" ref="I5:I16" si="0">ROUND(C5/365,0)</f>
        <v>9277</v>
      </c>
      <c r="J5" s="807">
        <f t="shared" ref="J5:J68" si="1">ROUND($D5/365,0)</f>
        <v>6682</v>
      </c>
      <c r="K5" s="807">
        <f t="shared" ref="K5:K68" si="2">ROUND($E5/365,0)</f>
        <v>1751</v>
      </c>
      <c r="L5" s="807">
        <f t="shared" ref="L5:L14" si="3">ROUND($F5/365,0)</f>
        <v>36</v>
      </c>
      <c r="M5" s="807">
        <f t="shared" ref="M5:M14" si="4">ROUND($G5/365,0)</f>
        <v>0</v>
      </c>
      <c r="N5" s="804">
        <f t="shared" ref="N5:N23" si="5">ROUND($H5/365,0)</f>
        <v>808</v>
      </c>
      <c r="O5" s="806">
        <f>I5-M5</f>
        <v>9277</v>
      </c>
      <c r="P5" s="806">
        <f t="shared" ref="P5:P23" si="6">J5+K5+L5+N5</f>
        <v>9277</v>
      </c>
    </row>
    <row r="6" spans="1:16" s="389" customFormat="1" ht="23.1" customHeight="1">
      <c r="A6" s="1641"/>
      <c r="B6" s="892" t="s">
        <v>1</v>
      </c>
      <c r="C6" s="893">
        <v>3823000</v>
      </c>
      <c r="D6" s="893">
        <v>2641000</v>
      </c>
      <c r="E6" s="894">
        <v>831000</v>
      </c>
      <c r="F6" s="894">
        <v>8000</v>
      </c>
      <c r="G6" s="895"/>
      <c r="H6" s="896">
        <v>343000</v>
      </c>
      <c r="I6" s="388">
        <f t="shared" si="0"/>
        <v>10474</v>
      </c>
      <c r="J6" s="807">
        <f t="shared" si="1"/>
        <v>7236</v>
      </c>
      <c r="K6" s="807">
        <f t="shared" si="2"/>
        <v>2277</v>
      </c>
      <c r="L6" s="807">
        <f t="shared" si="3"/>
        <v>22</v>
      </c>
      <c r="M6" s="807">
        <f t="shared" si="4"/>
        <v>0</v>
      </c>
      <c r="N6" s="804">
        <f t="shared" si="5"/>
        <v>940</v>
      </c>
      <c r="O6" s="806">
        <f t="shared" ref="O6:O16" si="7">I6-M6</f>
        <v>10474</v>
      </c>
      <c r="P6" s="806">
        <f t="shared" si="6"/>
        <v>10475</v>
      </c>
    </row>
    <row r="7" spans="1:16" s="389" customFormat="1" ht="23.1" customHeight="1">
      <c r="A7" s="1641"/>
      <c r="B7" s="892" t="s">
        <v>2</v>
      </c>
      <c r="C7" s="893">
        <v>6174862</v>
      </c>
      <c r="D7" s="893">
        <v>2847163</v>
      </c>
      <c r="E7" s="894">
        <v>894407</v>
      </c>
      <c r="F7" s="894">
        <v>9794</v>
      </c>
      <c r="G7" s="895"/>
      <c r="H7" s="896">
        <v>2423498</v>
      </c>
      <c r="I7" s="388">
        <f t="shared" si="0"/>
        <v>16917</v>
      </c>
      <c r="J7" s="807">
        <f t="shared" si="1"/>
        <v>7800</v>
      </c>
      <c r="K7" s="807">
        <f t="shared" si="2"/>
        <v>2450</v>
      </c>
      <c r="L7" s="807">
        <f t="shared" si="3"/>
        <v>27</v>
      </c>
      <c r="M7" s="807">
        <f t="shared" si="4"/>
        <v>0</v>
      </c>
      <c r="N7" s="804">
        <f t="shared" si="5"/>
        <v>6640</v>
      </c>
      <c r="O7" s="806">
        <f t="shared" si="7"/>
        <v>16917</v>
      </c>
      <c r="P7" s="806">
        <f t="shared" si="6"/>
        <v>16917</v>
      </c>
    </row>
    <row r="8" spans="1:16" s="389" customFormat="1" ht="23.1" customHeight="1">
      <c r="A8" s="1641"/>
      <c r="B8" s="892" t="s">
        <v>3</v>
      </c>
      <c r="C8" s="893">
        <v>7371015</v>
      </c>
      <c r="D8" s="893">
        <v>3183133</v>
      </c>
      <c r="E8" s="894">
        <v>1384172</v>
      </c>
      <c r="F8" s="894">
        <v>13900</v>
      </c>
      <c r="G8" s="895">
        <v>2789810</v>
      </c>
      <c r="H8" s="896">
        <v>0</v>
      </c>
      <c r="I8" s="388">
        <f t="shared" si="0"/>
        <v>20195</v>
      </c>
      <c r="J8" s="807">
        <f t="shared" si="1"/>
        <v>8721</v>
      </c>
      <c r="K8" s="807">
        <f t="shared" si="2"/>
        <v>3792</v>
      </c>
      <c r="L8" s="807">
        <f t="shared" si="3"/>
        <v>38</v>
      </c>
      <c r="M8" s="807">
        <f t="shared" si="4"/>
        <v>7643</v>
      </c>
      <c r="N8" s="804">
        <f t="shared" si="5"/>
        <v>0</v>
      </c>
      <c r="O8" s="806">
        <f t="shared" si="7"/>
        <v>12552</v>
      </c>
      <c r="P8" s="806">
        <f t="shared" si="6"/>
        <v>12551</v>
      </c>
    </row>
    <row r="9" spans="1:16" s="389" customFormat="1" ht="23.1" customHeight="1">
      <c r="A9" s="1641"/>
      <c r="B9" s="892" t="s">
        <v>65</v>
      </c>
      <c r="C9" s="893">
        <v>7647472</v>
      </c>
      <c r="D9" s="893">
        <v>3437381</v>
      </c>
      <c r="E9" s="894">
        <v>1469027</v>
      </c>
      <c r="F9" s="894">
        <v>6629</v>
      </c>
      <c r="G9" s="895">
        <v>2734435</v>
      </c>
      <c r="H9" s="896">
        <v>0</v>
      </c>
      <c r="I9" s="388">
        <f t="shared" si="0"/>
        <v>20952</v>
      </c>
      <c r="J9" s="807">
        <f t="shared" si="1"/>
        <v>9417</v>
      </c>
      <c r="K9" s="807">
        <f t="shared" si="2"/>
        <v>4025</v>
      </c>
      <c r="L9" s="807">
        <f t="shared" si="3"/>
        <v>18</v>
      </c>
      <c r="M9" s="807">
        <f t="shared" si="4"/>
        <v>7492</v>
      </c>
      <c r="N9" s="804">
        <f t="shared" si="5"/>
        <v>0</v>
      </c>
      <c r="O9" s="806">
        <f t="shared" si="7"/>
        <v>13460</v>
      </c>
      <c r="P9" s="806">
        <f t="shared" si="6"/>
        <v>13460</v>
      </c>
    </row>
    <row r="10" spans="1:16" s="389" customFormat="1" ht="23.1" customHeight="1">
      <c r="A10" s="1641"/>
      <c r="B10" s="892" t="s">
        <v>16</v>
      </c>
      <c r="C10" s="893">
        <v>8472462</v>
      </c>
      <c r="D10" s="893">
        <v>3729025</v>
      </c>
      <c r="E10" s="894">
        <v>1501377</v>
      </c>
      <c r="F10" s="894">
        <v>7433</v>
      </c>
      <c r="G10" s="895">
        <v>3234627</v>
      </c>
      <c r="H10" s="896">
        <v>0</v>
      </c>
      <c r="I10" s="388">
        <f t="shared" si="0"/>
        <v>23212</v>
      </c>
      <c r="J10" s="807">
        <f t="shared" si="1"/>
        <v>10217</v>
      </c>
      <c r="K10" s="807">
        <f t="shared" si="2"/>
        <v>4113</v>
      </c>
      <c r="L10" s="807">
        <f t="shared" si="3"/>
        <v>20</v>
      </c>
      <c r="M10" s="807">
        <f t="shared" si="4"/>
        <v>8862</v>
      </c>
      <c r="N10" s="804">
        <f t="shared" si="5"/>
        <v>0</v>
      </c>
      <c r="O10" s="806">
        <f t="shared" si="7"/>
        <v>14350</v>
      </c>
      <c r="P10" s="806">
        <f t="shared" si="6"/>
        <v>14350</v>
      </c>
    </row>
    <row r="11" spans="1:16" s="389" customFormat="1" ht="23.1" customHeight="1">
      <c r="A11" s="1641"/>
      <c r="B11" s="892" t="s">
        <v>66</v>
      </c>
      <c r="C11" s="893">
        <v>9711470</v>
      </c>
      <c r="D11" s="893">
        <v>4067725</v>
      </c>
      <c r="E11" s="894">
        <v>1619789</v>
      </c>
      <c r="F11" s="894">
        <v>4477</v>
      </c>
      <c r="G11" s="895">
        <v>4019479</v>
      </c>
      <c r="H11" s="896">
        <v>0</v>
      </c>
      <c r="I11" s="388">
        <f t="shared" si="0"/>
        <v>26607</v>
      </c>
      <c r="J11" s="807">
        <f t="shared" si="1"/>
        <v>11144</v>
      </c>
      <c r="K11" s="807">
        <f t="shared" si="2"/>
        <v>4438</v>
      </c>
      <c r="L11" s="807">
        <f t="shared" si="3"/>
        <v>12</v>
      </c>
      <c r="M11" s="807">
        <f t="shared" si="4"/>
        <v>11012</v>
      </c>
      <c r="N11" s="804">
        <f t="shared" si="5"/>
        <v>0</v>
      </c>
      <c r="O11" s="806">
        <f t="shared" si="7"/>
        <v>15595</v>
      </c>
      <c r="P11" s="806">
        <f t="shared" si="6"/>
        <v>15594</v>
      </c>
    </row>
    <row r="12" spans="1:16" s="389" customFormat="1" ht="23.1" customHeight="1">
      <c r="A12" s="1641"/>
      <c r="B12" s="892" t="s">
        <v>67</v>
      </c>
      <c r="C12" s="893">
        <v>10935410</v>
      </c>
      <c r="D12" s="893">
        <v>4597824</v>
      </c>
      <c r="E12" s="894">
        <v>1528255</v>
      </c>
      <c r="F12" s="894">
        <v>887</v>
      </c>
      <c r="G12" s="895">
        <v>4808444</v>
      </c>
      <c r="H12" s="896">
        <v>0</v>
      </c>
      <c r="I12" s="388">
        <f t="shared" si="0"/>
        <v>29960</v>
      </c>
      <c r="J12" s="807">
        <f t="shared" si="1"/>
        <v>12597</v>
      </c>
      <c r="K12" s="807">
        <f t="shared" si="2"/>
        <v>4187</v>
      </c>
      <c r="L12" s="807">
        <f t="shared" si="3"/>
        <v>2</v>
      </c>
      <c r="M12" s="807">
        <f t="shared" si="4"/>
        <v>13174</v>
      </c>
      <c r="N12" s="804">
        <f t="shared" si="5"/>
        <v>0</v>
      </c>
      <c r="O12" s="806">
        <f t="shared" si="7"/>
        <v>16786</v>
      </c>
      <c r="P12" s="806">
        <f t="shared" si="6"/>
        <v>16786</v>
      </c>
    </row>
    <row r="13" spans="1:16" s="389" customFormat="1" ht="23.1" customHeight="1">
      <c r="A13" s="1641"/>
      <c r="B13" s="892" t="s">
        <v>68</v>
      </c>
      <c r="C13" s="893">
        <v>11226064</v>
      </c>
      <c r="D13" s="893">
        <v>4944841</v>
      </c>
      <c r="E13" s="894">
        <v>1562047</v>
      </c>
      <c r="F13" s="894">
        <v>917</v>
      </c>
      <c r="G13" s="895">
        <v>4718259</v>
      </c>
      <c r="H13" s="896">
        <v>0</v>
      </c>
      <c r="I13" s="388">
        <f t="shared" si="0"/>
        <v>30756</v>
      </c>
      <c r="J13" s="807">
        <f t="shared" si="1"/>
        <v>13548</v>
      </c>
      <c r="K13" s="807">
        <f t="shared" si="2"/>
        <v>4280</v>
      </c>
      <c r="L13" s="807">
        <f t="shared" si="3"/>
        <v>3</v>
      </c>
      <c r="M13" s="807">
        <f t="shared" si="4"/>
        <v>12927</v>
      </c>
      <c r="N13" s="804">
        <f t="shared" si="5"/>
        <v>0</v>
      </c>
      <c r="O13" s="806">
        <f t="shared" si="7"/>
        <v>17829</v>
      </c>
      <c r="P13" s="806">
        <f t="shared" si="6"/>
        <v>17831</v>
      </c>
    </row>
    <row r="14" spans="1:16" s="389" customFormat="1" ht="23.1" customHeight="1">
      <c r="A14" s="1642"/>
      <c r="B14" s="897" t="s">
        <v>869</v>
      </c>
      <c r="C14" s="898">
        <v>12016547</v>
      </c>
      <c r="D14" s="898">
        <v>5215500</v>
      </c>
      <c r="E14" s="899">
        <v>1654621</v>
      </c>
      <c r="F14" s="899">
        <v>287</v>
      </c>
      <c r="G14" s="900">
        <v>4946057</v>
      </c>
      <c r="H14" s="901">
        <v>200080</v>
      </c>
      <c r="I14" s="388">
        <f t="shared" si="0"/>
        <v>32922</v>
      </c>
      <c r="J14" s="807">
        <f t="shared" si="1"/>
        <v>14289</v>
      </c>
      <c r="K14" s="807">
        <f t="shared" si="2"/>
        <v>4533</v>
      </c>
      <c r="L14" s="807">
        <f t="shared" si="3"/>
        <v>1</v>
      </c>
      <c r="M14" s="807">
        <f t="shared" si="4"/>
        <v>13551</v>
      </c>
      <c r="N14" s="804">
        <f t="shared" si="5"/>
        <v>548</v>
      </c>
      <c r="O14" s="806">
        <f t="shared" si="7"/>
        <v>19371</v>
      </c>
      <c r="P14" s="806">
        <f t="shared" si="6"/>
        <v>19371</v>
      </c>
    </row>
    <row r="15" spans="1:16" s="389" customFormat="1" ht="23.1" customHeight="1">
      <c r="A15" s="1640" t="s">
        <v>944</v>
      </c>
      <c r="B15" s="750" t="str">
        <f t="shared" ref="B15:B46" si="8">+B5</f>
        <v>2005년</v>
      </c>
      <c r="C15" s="888">
        <v>1111671</v>
      </c>
      <c r="D15" s="888">
        <v>744822</v>
      </c>
      <c r="E15" s="889">
        <v>353824</v>
      </c>
      <c r="F15" s="889">
        <v>13025</v>
      </c>
      <c r="G15" s="890">
        <v>0</v>
      </c>
      <c r="H15" s="891"/>
      <c r="I15" s="387">
        <f t="shared" si="0"/>
        <v>3046</v>
      </c>
      <c r="J15" s="807">
        <f t="shared" si="1"/>
        <v>2041</v>
      </c>
      <c r="K15" s="807">
        <f t="shared" si="2"/>
        <v>969</v>
      </c>
      <c r="L15" s="807">
        <f>ROUND($F15/365,0)</f>
        <v>36</v>
      </c>
      <c r="M15" s="807">
        <f>ROUND($G15/365,0)</f>
        <v>0</v>
      </c>
      <c r="N15" s="804">
        <f t="shared" si="5"/>
        <v>0</v>
      </c>
      <c r="O15" s="807">
        <f t="shared" si="7"/>
        <v>3046</v>
      </c>
      <c r="P15" s="806">
        <f t="shared" si="6"/>
        <v>3046</v>
      </c>
    </row>
    <row r="16" spans="1:16" s="389" customFormat="1" ht="23.1" customHeight="1">
      <c r="A16" s="1641"/>
      <c r="B16" s="892" t="str">
        <f t="shared" si="8"/>
        <v>2006년</v>
      </c>
      <c r="C16" s="893">
        <v>1111190</v>
      </c>
      <c r="D16" s="893">
        <v>770935</v>
      </c>
      <c r="E16" s="894">
        <v>337155</v>
      </c>
      <c r="F16" s="894">
        <v>3100</v>
      </c>
      <c r="G16" s="895"/>
      <c r="H16" s="896"/>
      <c r="I16" s="387">
        <f t="shared" si="0"/>
        <v>3044</v>
      </c>
      <c r="J16" s="807">
        <f t="shared" si="1"/>
        <v>2112</v>
      </c>
      <c r="K16" s="807">
        <f t="shared" si="2"/>
        <v>924</v>
      </c>
      <c r="L16" s="807">
        <f t="shared" ref="L16:L24" si="9">ROUND($F16/365,0)</f>
        <v>8</v>
      </c>
      <c r="M16" s="807">
        <f t="shared" ref="M16:M24" si="10">ROUND($G16/365,0)</f>
        <v>0</v>
      </c>
      <c r="N16" s="804">
        <f t="shared" si="5"/>
        <v>0</v>
      </c>
      <c r="O16" s="807">
        <f t="shared" si="7"/>
        <v>3044</v>
      </c>
      <c r="P16" s="806">
        <f t="shared" si="6"/>
        <v>3044</v>
      </c>
    </row>
    <row r="17" spans="1:16" s="389" customFormat="1" ht="23.1" customHeight="1">
      <c r="A17" s="1641"/>
      <c r="B17" s="892" t="str">
        <f t="shared" si="8"/>
        <v>2007년</v>
      </c>
      <c r="C17" s="893">
        <v>957793</v>
      </c>
      <c r="D17" s="893">
        <v>788719</v>
      </c>
      <c r="E17" s="894">
        <v>163636</v>
      </c>
      <c r="F17" s="894">
        <v>5438</v>
      </c>
      <c r="G17" s="895">
        <v>0</v>
      </c>
      <c r="H17" s="896">
        <v>0</v>
      </c>
      <c r="I17" s="387"/>
      <c r="J17" s="807">
        <f t="shared" si="1"/>
        <v>2161</v>
      </c>
      <c r="K17" s="807">
        <f t="shared" si="2"/>
        <v>448</v>
      </c>
      <c r="L17" s="807">
        <f t="shared" si="9"/>
        <v>15</v>
      </c>
      <c r="M17" s="807">
        <f t="shared" si="10"/>
        <v>0</v>
      </c>
      <c r="N17" s="804">
        <f t="shared" si="5"/>
        <v>0</v>
      </c>
      <c r="O17" s="807"/>
      <c r="P17" s="806">
        <f t="shared" si="6"/>
        <v>2624</v>
      </c>
    </row>
    <row r="18" spans="1:16" s="389" customFormat="1" ht="23.1" customHeight="1">
      <c r="A18" s="1641"/>
      <c r="B18" s="892" t="str">
        <f t="shared" si="8"/>
        <v>2008년</v>
      </c>
      <c r="C18" s="893">
        <v>1184184</v>
      </c>
      <c r="D18" s="893">
        <v>816223</v>
      </c>
      <c r="E18" s="894">
        <v>346352</v>
      </c>
      <c r="F18" s="894">
        <v>5674</v>
      </c>
      <c r="G18" s="895">
        <v>15935</v>
      </c>
      <c r="H18" s="896">
        <v>0</v>
      </c>
      <c r="I18" s="387"/>
      <c r="J18" s="807">
        <f t="shared" si="1"/>
        <v>2236</v>
      </c>
      <c r="K18" s="807">
        <f t="shared" si="2"/>
        <v>949</v>
      </c>
      <c r="L18" s="807">
        <f t="shared" si="9"/>
        <v>16</v>
      </c>
      <c r="M18" s="807">
        <f t="shared" si="10"/>
        <v>44</v>
      </c>
      <c r="N18" s="804">
        <f t="shared" si="5"/>
        <v>0</v>
      </c>
      <c r="O18" s="807"/>
      <c r="P18" s="806">
        <f t="shared" si="6"/>
        <v>3201</v>
      </c>
    </row>
    <row r="19" spans="1:16" s="389" customFormat="1" ht="23.1" customHeight="1">
      <c r="A19" s="1641"/>
      <c r="B19" s="892" t="str">
        <f t="shared" si="8"/>
        <v>2009년</v>
      </c>
      <c r="C19" s="893">
        <v>1298400</v>
      </c>
      <c r="D19" s="893">
        <v>883576</v>
      </c>
      <c r="E19" s="894">
        <v>379083</v>
      </c>
      <c r="F19" s="894">
        <v>424</v>
      </c>
      <c r="G19" s="895">
        <v>35362</v>
      </c>
      <c r="H19" s="896">
        <v>0</v>
      </c>
      <c r="I19" s="387"/>
      <c r="J19" s="807">
        <f t="shared" si="1"/>
        <v>2421</v>
      </c>
      <c r="K19" s="807">
        <f t="shared" si="2"/>
        <v>1039</v>
      </c>
      <c r="L19" s="807">
        <f t="shared" si="9"/>
        <v>1</v>
      </c>
      <c r="M19" s="807">
        <f t="shared" si="10"/>
        <v>97</v>
      </c>
      <c r="N19" s="804">
        <f t="shared" si="5"/>
        <v>0</v>
      </c>
      <c r="O19" s="807"/>
      <c r="P19" s="806">
        <f t="shared" si="6"/>
        <v>3461</v>
      </c>
    </row>
    <row r="20" spans="1:16" s="389" customFormat="1" ht="23.1" customHeight="1">
      <c r="A20" s="1641"/>
      <c r="B20" s="892" t="str">
        <f t="shared" si="8"/>
        <v>2010년</v>
      </c>
      <c r="C20" s="893">
        <v>1301914</v>
      </c>
      <c r="D20" s="893">
        <v>934074</v>
      </c>
      <c r="E20" s="894">
        <v>344554</v>
      </c>
      <c r="F20" s="894">
        <v>511</v>
      </c>
      <c r="G20" s="895">
        <v>31246</v>
      </c>
      <c r="H20" s="896">
        <v>0</v>
      </c>
      <c r="I20" s="387"/>
      <c r="J20" s="807">
        <f t="shared" si="1"/>
        <v>2559</v>
      </c>
      <c r="K20" s="807">
        <f t="shared" si="2"/>
        <v>944</v>
      </c>
      <c r="L20" s="807">
        <f t="shared" si="9"/>
        <v>1</v>
      </c>
      <c r="M20" s="807">
        <f t="shared" si="10"/>
        <v>86</v>
      </c>
      <c r="N20" s="804">
        <f t="shared" si="5"/>
        <v>0</v>
      </c>
      <c r="O20" s="807"/>
      <c r="P20" s="806">
        <f t="shared" si="6"/>
        <v>3504</v>
      </c>
    </row>
    <row r="21" spans="1:16" s="389" customFormat="1" ht="23.1" customHeight="1">
      <c r="A21" s="1641"/>
      <c r="B21" s="892" t="str">
        <f t="shared" si="8"/>
        <v>2011년</v>
      </c>
      <c r="C21" s="893">
        <v>1355443</v>
      </c>
      <c r="D21" s="893">
        <v>960762</v>
      </c>
      <c r="E21" s="894">
        <v>351849</v>
      </c>
      <c r="F21" s="894">
        <v>4412</v>
      </c>
      <c r="G21" s="895">
        <v>38420</v>
      </c>
      <c r="H21" s="896">
        <v>0</v>
      </c>
      <c r="I21" s="387"/>
      <c r="J21" s="807">
        <f t="shared" si="1"/>
        <v>2632</v>
      </c>
      <c r="K21" s="807">
        <f t="shared" si="2"/>
        <v>964</v>
      </c>
      <c r="L21" s="807">
        <f t="shared" si="9"/>
        <v>12</v>
      </c>
      <c r="M21" s="807">
        <f t="shared" si="10"/>
        <v>105</v>
      </c>
      <c r="N21" s="804">
        <f t="shared" si="5"/>
        <v>0</v>
      </c>
      <c r="O21" s="807"/>
      <c r="P21" s="806">
        <f t="shared" si="6"/>
        <v>3608</v>
      </c>
    </row>
    <row r="22" spans="1:16" s="389" customFormat="1" ht="23.1" customHeight="1">
      <c r="A22" s="1641"/>
      <c r="B22" s="892" t="str">
        <f t="shared" si="8"/>
        <v>2012년</v>
      </c>
      <c r="C22" s="893">
        <v>1385426</v>
      </c>
      <c r="D22" s="893">
        <v>1009464</v>
      </c>
      <c r="E22" s="894">
        <v>327113</v>
      </c>
      <c r="F22" s="894">
        <v>524</v>
      </c>
      <c r="G22" s="895">
        <v>48325</v>
      </c>
      <c r="H22" s="896">
        <v>0</v>
      </c>
      <c r="I22" s="387"/>
      <c r="J22" s="807">
        <f t="shared" si="1"/>
        <v>2766</v>
      </c>
      <c r="K22" s="807">
        <f t="shared" si="2"/>
        <v>896</v>
      </c>
      <c r="L22" s="807">
        <f t="shared" si="9"/>
        <v>1</v>
      </c>
      <c r="M22" s="807">
        <f t="shared" si="10"/>
        <v>132</v>
      </c>
      <c r="N22" s="804">
        <f t="shared" si="5"/>
        <v>0</v>
      </c>
      <c r="O22" s="807"/>
      <c r="P22" s="806">
        <f t="shared" si="6"/>
        <v>3663</v>
      </c>
    </row>
    <row r="23" spans="1:16" s="389" customFormat="1" ht="23.1" customHeight="1">
      <c r="A23" s="1641"/>
      <c r="B23" s="892" t="str">
        <f t="shared" si="8"/>
        <v>2013년</v>
      </c>
      <c r="C23" s="893">
        <v>1453898</v>
      </c>
      <c r="D23" s="893">
        <v>1099195</v>
      </c>
      <c r="E23" s="894">
        <v>317380</v>
      </c>
      <c r="F23" s="894">
        <v>601</v>
      </c>
      <c r="G23" s="895">
        <v>36722</v>
      </c>
      <c r="H23" s="896">
        <v>0</v>
      </c>
      <c r="I23" s="387"/>
      <c r="J23" s="807">
        <f t="shared" si="1"/>
        <v>3011</v>
      </c>
      <c r="K23" s="807">
        <f t="shared" si="2"/>
        <v>870</v>
      </c>
      <c r="L23" s="807">
        <f t="shared" si="9"/>
        <v>2</v>
      </c>
      <c r="M23" s="807">
        <f t="shared" si="10"/>
        <v>101</v>
      </c>
      <c r="N23" s="804">
        <f t="shared" si="5"/>
        <v>0</v>
      </c>
      <c r="O23" s="807"/>
      <c r="P23" s="806">
        <f t="shared" si="6"/>
        <v>3883</v>
      </c>
    </row>
    <row r="24" spans="1:16" s="389" customFormat="1" ht="23.1" customHeight="1">
      <c r="A24" s="1642"/>
      <c r="B24" s="902" t="str">
        <f t="shared" si="8"/>
        <v>2014년</v>
      </c>
      <c r="C24" s="898">
        <v>1436498</v>
      </c>
      <c r="D24" s="898">
        <v>1105546</v>
      </c>
      <c r="E24" s="899">
        <v>298457</v>
      </c>
      <c r="F24" s="899">
        <v>266</v>
      </c>
      <c r="G24" s="900">
        <v>32229</v>
      </c>
      <c r="H24" s="901">
        <v>0</v>
      </c>
      <c r="I24" s="385"/>
      <c r="J24" s="807">
        <f t="shared" si="1"/>
        <v>3029</v>
      </c>
      <c r="K24" s="807">
        <f t="shared" si="2"/>
        <v>818</v>
      </c>
      <c r="L24" s="807">
        <f t="shared" si="9"/>
        <v>1</v>
      </c>
      <c r="M24" s="807">
        <f t="shared" si="10"/>
        <v>88</v>
      </c>
      <c r="N24" s="804">
        <f>ROUND($H24/365,0)</f>
        <v>0</v>
      </c>
      <c r="O24" s="805"/>
      <c r="P24" s="806">
        <f>J24+K24+L24+N24</f>
        <v>3848</v>
      </c>
    </row>
    <row r="25" spans="1:16" s="389" customFormat="1" ht="23.1" customHeight="1">
      <c r="A25" s="1640" t="s">
        <v>945</v>
      </c>
      <c r="B25" s="750" t="str">
        <f t="shared" si="8"/>
        <v>2005년</v>
      </c>
      <c r="C25" s="888">
        <v>999358</v>
      </c>
      <c r="D25" s="888">
        <v>627203</v>
      </c>
      <c r="E25" s="889">
        <v>228151</v>
      </c>
      <c r="F25" s="889">
        <v>809</v>
      </c>
      <c r="G25" s="890">
        <v>143195</v>
      </c>
      <c r="H25" s="891">
        <v>0</v>
      </c>
      <c r="I25" s="387"/>
      <c r="J25" s="807">
        <f t="shared" si="1"/>
        <v>1718</v>
      </c>
      <c r="K25" s="807">
        <f t="shared" si="2"/>
        <v>625</v>
      </c>
      <c r="L25" s="807">
        <f>ROUND($F25/365,0)</f>
        <v>2</v>
      </c>
      <c r="M25" s="807">
        <f>ROUND($G25/365,0)</f>
        <v>392</v>
      </c>
      <c r="N25" s="804">
        <f t="shared" ref="N25:N88" si="11">ROUND($H25/365,0)</f>
        <v>0</v>
      </c>
      <c r="O25" s="807"/>
      <c r="P25" s="806">
        <f t="shared" ref="P25:P88" si="12">J25+K25+L25+N25</f>
        <v>2345</v>
      </c>
    </row>
    <row r="26" spans="1:16" s="389" customFormat="1" ht="23.1" customHeight="1">
      <c r="A26" s="1641"/>
      <c r="B26" s="892" t="str">
        <f t="shared" si="8"/>
        <v>2006년</v>
      </c>
      <c r="C26" s="893">
        <v>1091200</v>
      </c>
      <c r="D26" s="893">
        <v>630795</v>
      </c>
      <c r="E26" s="894">
        <v>247701</v>
      </c>
      <c r="F26" s="894">
        <v>5472</v>
      </c>
      <c r="G26" s="895">
        <v>207232</v>
      </c>
      <c r="H26" s="896">
        <v>0</v>
      </c>
      <c r="I26" s="387"/>
      <c r="J26" s="807">
        <f t="shared" si="1"/>
        <v>1728</v>
      </c>
      <c r="K26" s="807">
        <f t="shared" si="2"/>
        <v>679</v>
      </c>
      <c r="L26" s="807">
        <f t="shared" ref="L26:L84" si="13">ROUND($F26/365,0)</f>
        <v>15</v>
      </c>
      <c r="M26" s="807">
        <f t="shared" ref="M26:M84" si="14">ROUND($G26/365,0)</f>
        <v>568</v>
      </c>
      <c r="N26" s="804">
        <f t="shared" si="11"/>
        <v>0</v>
      </c>
      <c r="O26" s="807"/>
      <c r="P26" s="806">
        <f t="shared" si="12"/>
        <v>2422</v>
      </c>
    </row>
    <row r="27" spans="1:16" s="389" customFormat="1" ht="23.1" customHeight="1">
      <c r="A27" s="1641"/>
      <c r="B27" s="892" t="str">
        <f t="shared" si="8"/>
        <v>2007년</v>
      </c>
      <c r="C27" s="893">
        <v>1252992</v>
      </c>
      <c r="D27" s="893">
        <v>702279</v>
      </c>
      <c r="E27" s="894">
        <v>263024</v>
      </c>
      <c r="F27" s="894">
        <v>4137</v>
      </c>
      <c r="G27" s="895">
        <v>0</v>
      </c>
      <c r="H27" s="896">
        <v>283552</v>
      </c>
      <c r="I27" s="387"/>
      <c r="J27" s="807">
        <f t="shared" si="1"/>
        <v>1924</v>
      </c>
      <c r="K27" s="807">
        <f t="shared" si="2"/>
        <v>721</v>
      </c>
      <c r="L27" s="807">
        <f t="shared" si="13"/>
        <v>11</v>
      </c>
      <c r="M27" s="807">
        <f t="shared" si="14"/>
        <v>0</v>
      </c>
      <c r="N27" s="804">
        <f t="shared" si="11"/>
        <v>777</v>
      </c>
      <c r="O27" s="807"/>
      <c r="P27" s="806">
        <f t="shared" si="12"/>
        <v>3433</v>
      </c>
    </row>
    <row r="28" spans="1:16" s="389" customFormat="1" ht="23.1" customHeight="1">
      <c r="A28" s="1641"/>
      <c r="B28" s="892" t="str">
        <f t="shared" si="8"/>
        <v>2008년</v>
      </c>
      <c r="C28" s="893">
        <v>1442893</v>
      </c>
      <c r="D28" s="893">
        <v>904956</v>
      </c>
      <c r="E28" s="894">
        <v>284289</v>
      </c>
      <c r="F28" s="894">
        <v>36</v>
      </c>
      <c r="G28" s="895">
        <v>253612</v>
      </c>
      <c r="H28" s="896">
        <v>0</v>
      </c>
      <c r="I28" s="387"/>
      <c r="J28" s="807">
        <f t="shared" si="1"/>
        <v>2479</v>
      </c>
      <c r="K28" s="807">
        <f t="shared" si="2"/>
        <v>779</v>
      </c>
      <c r="L28" s="807">
        <f t="shared" si="13"/>
        <v>0</v>
      </c>
      <c r="M28" s="807">
        <f t="shared" si="14"/>
        <v>695</v>
      </c>
      <c r="N28" s="804">
        <f t="shared" si="11"/>
        <v>0</v>
      </c>
      <c r="O28" s="807"/>
      <c r="P28" s="806">
        <f t="shared" si="12"/>
        <v>3258</v>
      </c>
    </row>
    <row r="29" spans="1:16" s="389" customFormat="1" ht="23.1" customHeight="1">
      <c r="A29" s="1641"/>
      <c r="B29" s="892" t="str">
        <f t="shared" si="8"/>
        <v>2009년</v>
      </c>
      <c r="C29" s="893">
        <v>1616151</v>
      </c>
      <c r="D29" s="893">
        <v>1005306</v>
      </c>
      <c r="E29" s="894">
        <v>367668</v>
      </c>
      <c r="F29" s="894">
        <v>3</v>
      </c>
      <c r="G29" s="895">
        <v>243174</v>
      </c>
      <c r="H29" s="896">
        <v>0</v>
      </c>
      <c r="I29" s="387"/>
      <c r="J29" s="807">
        <f t="shared" si="1"/>
        <v>2754</v>
      </c>
      <c r="K29" s="807">
        <f t="shared" si="2"/>
        <v>1007</v>
      </c>
      <c r="L29" s="807">
        <f t="shared" si="13"/>
        <v>0</v>
      </c>
      <c r="M29" s="807">
        <f t="shared" si="14"/>
        <v>666</v>
      </c>
      <c r="N29" s="804">
        <f t="shared" si="11"/>
        <v>0</v>
      </c>
      <c r="O29" s="807"/>
      <c r="P29" s="806">
        <f t="shared" si="12"/>
        <v>3761</v>
      </c>
    </row>
    <row r="30" spans="1:16" s="389" customFormat="1" ht="23.1" customHeight="1">
      <c r="A30" s="1641"/>
      <c r="B30" s="892" t="str">
        <f t="shared" si="8"/>
        <v>2010년</v>
      </c>
      <c r="C30" s="893">
        <v>1611283</v>
      </c>
      <c r="D30" s="893">
        <v>1033803</v>
      </c>
      <c r="E30" s="894">
        <v>325383</v>
      </c>
      <c r="F30" s="894">
        <v>9</v>
      </c>
      <c r="G30" s="895">
        <v>261421</v>
      </c>
      <c r="H30" s="896">
        <v>0</v>
      </c>
      <c r="I30" s="387"/>
      <c r="J30" s="807">
        <f t="shared" si="1"/>
        <v>2832</v>
      </c>
      <c r="K30" s="807">
        <f t="shared" si="2"/>
        <v>891</v>
      </c>
      <c r="L30" s="807">
        <f t="shared" si="13"/>
        <v>0</v>
      </c>
      <c r="M30" s="807">
        <f t="shared" si="14"/>
        <v>716</v>
      </c>
      <c r="N30" s="804">
        <f t="shared" si="11"/>
        <v>0</v>
      </c>
      <c r="O30" s="807"/>
      <c r="P30" s="806">
        <f t="shared" si="12"/>
        <v>3723</v>
      </c>
    </row>
    <row r="31" spans="1:16" s="389" customFormat="1" ht="23.1" customHeight="1">
      <c r="A31" s="1641"/>
      <c r="B31" s="892" t="str">
        <f t="shared" si="8"/>
        <v>2011년</v>
      </c>
      <c r="C31" s="893">
        <v>1797409</v>
      </c>
      <c r="D31" s="893">
        <v>1080662</v>
      </c>
      <c r="E31" s="894">
        <v>347503</v>
      </c>
      <c r="F31" s="894">
        <v>2</v>
      </c>
      <c r="G31" s="895">
        <v>369242</v>
      </c>
      <c r="H31" s="896">
        <v>0</v>
      </c>
      <c r="I31" s="387"/>
      <c r="J31" s="807">
        <f t="shared" si="1"/>
        <v>2961</v>
      </c>
      <c r="K31" s="807">
        <f t="shared" si="2"/>
        <v>952</v>
      </c>
      <c r="L31" s="807">
        <f t="shared" si="13"/>
        <v>0</v>
      </c>
      <c r="M31" s="807">
        <f t="shared" si="14"/>
        <v>1012</v>
      </c>
      <c r="N31" s="804">
        <f t="shared" si="11"/>
        <v>0</v>
      </c>
      <c r="O31" s="807"/>
      <c r="P31" s="806">
        <f t="shared" si="12"/>
        <v>3913</v>
      </c>
    </row>
    <row r="32" spans="1:16" s="389" customFormat="1" ht="23.1" customHeight="1">
      <c r="A32" s="1641"/>
      <c r="B32" s="892" t="str">
        <f t="shared" si="8"/>
        <v>2012년</v>
      </c>
      <c r="C32" s="893">
        <v>2000047</v>
      </c>
      <c r="D32" s="893">
        <v>1136708</v>
      </c>
      <c r="E32" s="894">
        <v>341678</v>
      </c>
      <c r="F32" s="894">
        <v>3</v>
      </c>
      <c r="G32" s="895">
        <v>521658</v>
      </c>
      <c r="H32" s="896">
        <v>0</v>
      </c>
      <c r="I32" s="387"/>
      <c r="J32" s="807">
        <f t="shared" si="1"/>
        <v>3114</v>
      </c>
      <c r="K32" s="807">
        <f t="shared" si="2"/>
        <v>936</v>
      </c>
      <c r="L32" s="807">
        <f t="shared" si="13"/>
        <v>0</v>
      </c>
      <c r="M32" s="807">
        <f t="shared" si="14"/>
        <v>1429</v>
      </c>
      <c r="N32" s="804">
        <f t="shared" si="11"/>
        <v>0</v>
      </c>
      <c r="O32" s="807"/>
      <c r="P32" s="806">
        <f t="shared" si="12"/>
        <v>4050</v>
      </c>
    </row>
    <row r="33" spans="1:16" s="389" customFormat="1" ht="23.1" customHeight="1">
      <c r="A33" s="1641"/>
      <c r="B33" s="892" t="str">
        <f t="shared" si="8"/>
        <v>2013년</v>
      </c>
      <c r="C33" s="893">
        <v>2111695</v>
      </c>
      <c r="D33" s="893">
        <v>1205174</v>
      </c>
      <c r="E33" s="894">
        <v>381336</v>
      </c>
      <c r="F33" s="894">
        <v>9</v>
      </c>
      <c r="G33" s="895">
        <v>525176</v>
      </c>
      <c r="H33" s="896">
        <v>0</v>
      </c>
      <c r="I33" s="387"/>
      <c r="J33" s="807">
        <f t="shared" si="1"/>
        <v>3302</v>
      </c>
      <c r="K33" s="807">
        <f t="shared" si="2"/>
        <v>1045</v>
      </c>
      <c r="L33" s="807">
        <f t="shared" si="13"/>
        <v>0</v>
      </c>
      <c r="M33" s="807">
        <f t="shared" si="14"/>
        <v>1439</v>
      </c>
      <c r="N33" s="804">
        <f t="shared" si="11"/>
        <v>0</v>
      </c>
      <c r="O33" s="807"/>
      <c r="P33" s="806">
        <f t="shared" si="12"/>
        <v>4347</v>
      </c>
    </row>
    <row r="34" spans="1:16" s="389" customFormat="1" ht="23.1" customHeight="1">
      <c r="A34" s="1642"/>
      <c r="B34" s="897" t="str">
        <f t="shared" si="8"/>
        <v>2014년</v>
      </c>
      <c r="C34" s="898">
        <v>2148651</v>
      </c>
      <c r="D34" s="898">
        <v>1226973</v>
      </c>
      <c r="E34" s="899">
        <v>419436</v>
      </c>
      <c r="F34" s="899">
        <v>21</v>
      </c>
      <c r="G34" s="900">
        <v>502221</v>
      </c>
      <c r="H34" s="901">
        <v>0</v>
      </c>
      <c r="I34" s="385"/>
      <c r="J34" s="807">
        <f t="shared" si="1"/>
        <v>3362</v>
      </c>
      <c r="K34" s="807">
        <f t="shared" si="2"/>
        <v>1149</v>
      </c>
      <c r="L34" s="807">
        <f t="shared" si="13"/>
        <v>0</v>
      </c>
      <c r="M34" s="807">
        <f t="shared" si="14"/>
        <v>1376</v>
      </c>
      <c r="N34" s="804">
        <f t="shared" si="11"/>
        <v>0</v>
      </c>
      <c r="O34" s="805"/>
      <c r="P34" s="806">
        <f t="shared" si="12"/>
        <v>4511</v>
      </c>
    </row>
    <row r="35" spans="1:16" s="389" customFormat="1" ht="24.95" customHeight="1">
      <c r="A35" s="1640" t="s">
        <v>946</v>
      </c>
      <c r="B35" s="750" t="str">
        <f t="shared" si="8"/>
        <v>2005년</v>
      </c>
      <c r="C35" s="888">
        <v>0</v>
      </c>
      <c r="D35" s="888">
        <v>0</v>
      </c>
      <c r="E35" s="889">
        <v>0</v>
      </c>
      <c r="F35" s="889">
        <v>0</v>
      </c>
      <c r="G35" s="890">
        <v>0</v>
      </c>
      <c r="H35" s="891">
        <v>0</v>
      </c>
      <c r="I35" s="386"/>
      <c r="J35" s="807">
        <f t="shared" si="1"/>
        <v>0</v>
      </c>
      <c r="K35" s="807">
        <f t="shared" si="2"/>
        <v>0</v>
      </c>
      <c r="L35" s="807">
        <f t="shared" si="13"/>
        <v>0</v>
      </c>
      <c r="M35" s="807">
        <f t="shared" si="14"/>
        <v>0</v>
      </c>
      <c r="N35" s="804">
        <f t="shared" si="11"/>
        <v>0</v>
      </c>
      <c r="O35" s="806"/>
      <c r="P35" s="806">
        <f t="shared" si="12"/>
        <v>0</v>
      </c>
    </row>
    <row r="36" spans="1:16" s="389" customFormat="1" ht="24.95" customHeight="1">
      <c r="A36" s="1641"/>
      <c r="B36" s="892" t="str">
        <f t="shared" si="8"/>
        <v>2006년</v>
      </c>
      <c r="C36" s="893">
        <v>0</v>
      </c>
      <c r="D36" s="893">
        <v>0</v>
      </c>
      <c r="E36" s="894">
        <v>0</v>
      </c>
      <c r="F36" s="894">
        <v>0</v>
      </c>
      <c r="G36" s="895">
        <v>0</v>
      </c>
      <c r="H36" s="896">
        <v>0</v>
      </c>
      <c r="I36" s="386"/>
      <c r="J36" s="807">
        <f t="shared" si="1"/>
        <v>0</v>
      </c>
      <c r="K36" s="807">
        <f t="shared" si="2"/>
        <v>0</v>
      </c>
      <c r="L36" s="807">
        <f t="shared" si="13"/>
        <v>0</v>
      </c>
      <c r="M36" s="807">
        <f t="shared" si="14"/>
        <v>0</v>
      </c>
      <c r="N36" s="804">
        <f t="shared" si="11"/>
        <v>0</v>
      </c>
      <c r="O36" s="806"/>
      <c r="P36" s="806">
        <f t="shared" si="12"/>
        <v>0</v>
      </c>
    </row>
    <row r="37" spans="1:16" s="389" customFormat="1" ht="24.95" customHeight="1">
      <c r="A37" s="1641"/>
      <c r="B37" s="892" t="str">
        <f t="shared" si="8"/>
        <v>2007년</v>
      </c>
      <c r="C37" s="893">
        <v>44070</v>
      </c>
      <c r="D37" s="893">
        <v>31507</v>
      </c>
      <c r="E37" s="894">
        <v>12563</v>
      </c>
      <c r="F37" s="894">
        <v>0</v>
      </c>
      <c r="G37" s="895">
        <v>0</v>
      </c>
      <c r="H37" s="896">
        <v>0</v>
      </c>
      <c r="I37" s="386"/>
      <c r="J37" s="807">
        <f t="shared" si="1"/>
        <v>86</v>
      </c>
      <c r="K37" s="807">
        <f t="shared" si="2"/>
        <v>34</v>
      </c>
      <c r="L37" s="807">
        <f t="shared" si="13"/>
        <v>0</v>
      </c>
      <c r="M37" s="807">
        <f t="shared" si="14"/>
        <v>0</v>
      </c>
      <c r="N37" s="804">
        <f t="shared" si="11"/>
        <v>0</v>
      </c>
      <c r="O37" s="806"/>
      <c r="P37" s="806">
        <f t="shared" si="12"/>
        <v>120</v>
      </c>
    </row>
    <row r="38" spans="1:16" s="389" customFormat="1" ht="24.95" customHeight="1">
      <c r="A38" s="1641"/>
      <c r="B38" s="892" t="str">
        <f t="shared" si="8"/>
        <v>2008년</v>
      </c>
      <c r="C38" s="893">
        <v>54154</v>
      </c>
      <c r="D38" s="893">
        <v>38038</v>
      </c>
      <c r="E38" s="894">
        <v>16116</v>
      </c>
      <c r="F38" s="894">
        <v>0</v>
      </c>
      <c r="G38" s="895">
        <v>0</v>
      </c>
      <c r="H38" s="896">
        <v>0</v>
      </c>
      <c r="I38" s="386"/>
      <c r="J38" s="807">
        <f t="shared" si="1"/>
        <v>104</v>
      </c>
      <c r="K38" s="807">
        <f t="shared" si="2"/>
        <v>44</v>
      </c>
      <c r="L38" s="807">
        <f t="shared" si="13"/>
        <v>0</v>
      </c>
      <c r="M38" s="807">
        <f t="shared" si="14"/>
        <v>0</v>
      </c>
      <c r="N38" s="804">
        <f t="shared" si="11"/>
        <v>0</v>
      </c>
      <c r="O38" s="806"/>
      <c r="P38" s="806">
        <f t="shared" si="12"/>
        <v>148</v>
      </c>
    </row>
    <row r="39" spans="1:16" s="389" customFormat="1" ht="24.95" customHeight="1">
      <c r="A39" s="1641"/>
      <c r="B39" s="892" t="str">
        <f t="shared" si="8"/>
        <v>2009년</v>
      </c>
      <c r="C39" s="893">
        <v>126586</v>
      </c>
      <c r="D39" s="893">
        <v>62931</v>
      </c>
      <c r="E39" s="894">
        <v>17451</v>
      </c>
      <c r="F39" s="894">
        <v>0</v>
      </c>
      <c r="G39" s="895">
        <v>46204</v>
      </c>
      <c r="H39" s="896">
        <v>0</v>
      </c>
      <c r="I39" s="386"/>
      <c r="J39" s="807">
        <f t="shared" si="1"/>
        <v>172</v>
      </c>
      <c r="K39" s="807">
        <f t="shared" si="2"/>
        <v>48</v>
      </c>
      <c r="L39" s="807">
        <f t="shared" si="13"/>
        <v>0</v>
      </c>
      <c r="M39" s="807">
        <f t="shared" si="14"/>
        <v>127</v>
      </c>
      <c r="N39" s="804">
        <f t="shared" si="11"/>
        <v>0</v>
      </c>
      <c r="O39" s="806"/>
      <c r="P39" s="806">
        <f t="shared" si="12"/>
        <v>220</v>
      </c>
    </row>
    <row r="40" spans="1:16" s="389" customFormat="1" ht="24.95" customHeight="1">
      <c r="A40" s="1641"/>
      <c r="B40" s="892" t="str">
        <f t="shared" si="8"/>
        <v>2010년</v>
      </c>
      <c r="C40" s="893">
        <v>551111</v>
      </c>
      <c r="D40" s="893">
        <v>113974</v>
      </c>
      <c r="E40" s="894">
        <v>23031</v>
      </c>
      <c r="F40" s="894">
        <v>0</v>
      </c>
      <c r="G40" s="895">
        <v>413752</v>
      </c>
      <c r="H40" s="896">
        <v>0</v>
      </c>
      <c r="I40" s="386"/>
      <c r="J40" s="807">
        <f t="shared" si="1"/>
        <v>312</v>
      </c>
      <c r="K40" s="807">
        <f t="shared" si="2"/>
        <v>63</v>
      </c>
      <c r="L40" s="807">
        <f t="shared" si="13"/>
        <v>0</v>
      </c>
      <c r="M40" s="807">
        <f t="shared" si="14"/>
        <v>1134</v>
      </c>
      <c r="N40" s="804">
        <f t="shared" si="11"/>
        <v>0</v>
      </c>
      <c r="O40" s="806"/>
      <c r="P40" s="806">
        <f t="shared" si="12"/>
        <v>375</v>
      </c>
    </row>
    <row r="41" spans="1:16" s="389" customFormat="1" ht="24.95" customHeight="1">
      <c r="A41" s="1641"/>
      <c r="B41" s="892" t="str">
        <f t="shared" si="8"/>
        <v>2011년</v>
      </c>
      <c r="C41" s="893">
        <v>495340</v>
      </c>
      <c r="D41" s="893">
        <v>125635</v>
      </c>
      <c r="E41" s="894">
        <v>21929</v>
      </c>
      <c r="F41" s="894">
        <v>0</v>
      </c>
      <c r="G41" s="895">
        <v>347776</v>
      </c>
      <c r="H41" s="896">
        <v>0</v>
      </c>
      <c r="I41" s="386"/>
      <c r="J41" s="807">
        <f t="shared" si="1"/>
        <v>344</v>
      </c>
      <c r="K41" s="807">
        <f t="shared" si="2"/>
        <v>60</v>
      </c>
      <c r="L41" s="807">
        <f t="shared" si="13"/>
        <v>0</v>
      </c>
      <c r="M41" s="807">
        <f t="shared" si="14"/>
        <v>953</v>
      </c>
      <c r="N41" s="804">
        <f t="shared" si="11"/>
        <v>0</v>
      </c>
      <c r="O41" s="806"/>
      <c r="P41" s="806">
        <f t="shared" si="12"/>
        <v>404</v>
      </c>
    </row>
    <row r="42" spans="1:16" s="389" customFormat="1" ht="24.95" customHeight="1">
      <c r="A42" s="1641"/>
      <c r="B42" s="892" t="str">
        <f t="shared" si="8"/>
        <v>2012년</v>
      </c>
      <c r="C42" s="893">
        <v>516539</v>
      </c>
      <c r="D42" s="893">
        <v>128741</v>
      </c>
      <c r="E42" s="894">
        <v>17060</v>
      </c>
      <c r="F42" s="894">
        <v>0</v>
      </c>
      <c r="G42" s="895">
        <v>370738</v>
      </c>
      <c r="H42" s="896">
        <v>0</v>
      </c>
      <c r="I42" s="386"/>
      <c r="J42" s="807">
        <f t="shared" si="1"/>
        <v>353</v>
      </c>
      <c r="K42" s="807">
        <f t="shared" si="2"/>
        <v>47</v>
      </c>
      <c r="L42" s="807">
        <f t="shared" si="13"/>
        <v>0</v>
      </c>
      <c r="M42" s="807">
        <f t="shared" si="14"/>
        <v>1016</v>
      </c>
      <c r="N42" s="804">
        <f t="shared" si="11"/>
        <v>0</v>
      </c>
      <c r="O42" s="806"/>
      <c r="P42" s="806">
        <f t="shared" si="12"/>
        <v>400</v>
      </c>
    </row>
    <row r="43" spans="1:16" s="389" customFormat="1" ht="24.95" customHeight="1">
      <c r="A43" s="1641"/>
      <c r="B43" s="892" t="str">
        <f t="shared" si="8"/>
        <v>2013년</v>
      </c>
      <c r="C43" s="893">
        <v>531727</v>
      </c>
      <c r="D43" s="893">
        <v>127981</v>
      </c>
      <c r="E43" s="894">
        <v>21337</v>
      </c>
      <c r="F43" s="894">
        <v>0</v>
      </c>
      <c r="G43" s="895">
        <v>382409</v>
      </c>
      <c r="H43" s="896">
        <v>0</v>
      </c>
      <c r="I43" s="386"/>
      <c r="J43" s="807">
        <f t="shared" si="1"/>
        <v>351</v>
      </c>
      <c r="K43" s="807">
        <f t="shared" si="2"/>
        <v>58</v>
      </c>
      <c r="L43" s="807">
        <f t="shared" si="13"/>
        <v>0</v>
      </c>
      <c r="M43" s="807">
        <f t="shared" si="14"/>
        <v>1048</v>
      </c>
      <c r="N43" s="804">
        <f t="shared" si="11"/>
        <v>0</v>
      </c>
      <c r="O43" s="806"/>
      <c r="P43" s="806">
        <f t="shared" si="12"/>
        <v>409</v>
      </c>
    </row>
    <row r="44" spans="1:16" s="389" customFormat="1" ht="24.95" customHeight="1">
      <c r="A44" s="1642"/>
      <c r="B44" s="897" t="str">
        <f t="shared" si="8"/>
        <v>2014년</v>
      </c>
      <c r="C44" s="898">
        <v>500818</v>
      </c>
      <c r="D44" s="898">
        <v>137408</v>
      </c>
      <c r="E44" s="899">
        <v>19742</v>
      </c>
      <c r="F44" s="899">
        <v>0</v>
      </c>
      <c r="G44" s="900">
        <v>343668</v>
      </c>
      <c r="H44" s="901"/>
      <c r="I44" s="387">
        <f>ROUND($C44/365,0)</f>
        <v>1372</v>
      </c>
      <c r="J44" s="807">
        <f t="shared" si="1"/>
        <v>376</v>
      </c>
      <c r="K44" s="807">
        <f t="shared" si="2"/>
        <v>54</v>
      </c>
      <c r="L44" s="807">
        <f t="shared" si="13"/>
        <v>0</v>
      </c>
      <c r="M44" s="807">
        <f t="shared" si="14"/>
        <v>942</v>
      </c>
      <c r="N44" s="804">
        <f t="shared" si="11"/>
        <v>0</v>
      </c>
      <c r="O44" s="806">
        <f>+J44/I44*1000</f>
        <v>274.05247813411074</v>
      </c>
      <c r="P44" s="806">
        <f t="shared" si="12"/>
        <v>430</v>
      </c>
    </row>
    <row r="45" spans="1:16" s="389" customFormat="1" ht="24.95" customHeight="1">
      <c r="A45" s="1640" t="s">
        <v>947</v>
      </c>
      <c r="B45" s="750" t="str">
        <f t="shared" si="8"/>
        <v>2005년</v>
      </c>
      <c r="C45" s="888"/>
      <c r="D45" s="888"/>
      <c r="E45" s="889"/>
      <c r="F45" s="889"/>
      <c r="G45" s="890"/>
      <c r="H45" s="891"/>
      <c r="I45" s="386"/>
      <c r="J45" s="807">
        <f t="shared" si="1"/>
        <v>0</v>
      </c>
      <c r="K45" s="807">
        <f t="shared" si="2"/>
        <v>0</v>
      </c>
      <c r="L45" s="807">
        <f t="shared" si="13"/>
        <v>0</v>
      </c>
      <c r="M45" s="807">
        <f t="shared" si="14"/>
        <v>0</v>
      </c>
      <c r="N45" s="804">
        <f t="shared" si="11"/>
        <v>0</v>
      </c>
      <c r="O45" s="806"/>
      <c r="P45" s="806">
        <f t="shared" si="12"/>
        <v>0</v>
      </c>
    </row>
    <row r="46" spans="1:16" s="389" customFormat="1" ht="24.95" customHeight="1">
      <c r="A46" s="1641"/>
      <c r="B46" s="892" t="str">
        <f t="shared" si="8"/>
        <v>2006년</v>
      </c>
      <c r="C46" s="893"/>
      <c r="D46" s="893"/>
      <c r="E46" s="894"/>
      <c r="F46" s="894"/>
      <c r="G46" s="895"/>
      <c r="H46" s="896"/>
      <c r="I46" s="386"/>
      <c r="J46" s="807">
        <f t="shared" si="1"/>
        <v>0</v>
      </c>
      <c r="K46" s="807">
        <f t="shared" si="2"/>
        <v>0</v>
      </c>
      <c r="L46" s="807">
        <f t="shared" si="13"/>
        <v>0</v>
      </c>
      <c r="M46" s="807">
        <f t="shared" si="14"/>
        <v>0</v>
      </c>
      <c r="N46" s="804">
        <f t="shared" si="11"/>
        <v>0</v>
      </c>
      <c r="O46" s="806"/>
      <c r="P46" s="806">
        <f t="shared" si="12"/>
        <v>0</v>
      </c>
    </row>
    <row r="47" spans="1:16" s="389" customFormat="1" ht="24.95" customHeight="1">
      <c r="A47" s="1641"/>
      <c r="B47" s="892" t="str">
        <f t="shared" ref="B47:B78" si="15">+B37</f>
        <v>2007년</v>
      </c>
      <c r="C47" s="893">
        <v>99160</v>
      </c>
      <c r="D47" s="893">
        <v>33061</v>
      </c>
      <c r="E47" s="894">
        <v>38618</v>
      </c>
      <c r="F47" s="894">
        <v>0</v>
      </c>
      <c r="G47" s="895">
        <v>0</v>
      </c>
      <c r="H47" s="896">
        <v>27481</v>
      </c>
      <c r="I47" s="386"/>
      <c r="J47" s="807">
        <f t="shared" si="1"/>
        <v>91</v>
      </c>
      <c r="K47" s="807">
        <f t="shared" si="2"/>
        <v>106</v>
      </c>
      <c r="L47" s="807">
        <f t="shared" si="13"/>
        <v>0</v>
      </c>
      <c r="M47" s="807">
        <f t="shared" si="14"/>
        <v>0</v>
      </c>
      <c r="N47" s="804">
        <f t="shared" si="11"/>
        <v>75</v>
      </c>
      <c r="O47" s="806"/>
      <c r="P47" s="806">
        <f t="shared" si="12"/>
        <v>272</v>
      </c>
    </row>
    <row r="48" spans="1:16" s="389" customFormat="1" ht="24.95" customHeight="1">
      <c r="A48" s="1641"/>
      <c r="B48" s="892" t="str">
        <f t="shared" si="15"/>
        <v>2008년</v>
      </c>
      <c r="C48" s="893">
        <v>82893</v>
      </c>
      <c r="D48" s="893">
        <v>50294</v>
      </c>
      <c r="E48" s="894">
        <v>32599</v>
      </c>
      <c r="F48" s="894">
        <v>0</v>
      </c>
      <c r="G48" s="895">
        <v>0</v>
      </c>
      <c r="H48" s="896">
        <v>0</v>
      </c>
      <c r="I48" s="386"/>
      <c r="J48" s="807">
        <f t="shared" si="1"/>
        <v>138</v>
      </c>
      <c r="K48" s="807">
        <f t="shared" si="2"/>
        <v>89</v>
      </c>
      <c r="L48" s="807">
        <f t="shared" si="13"/>
        <v>0</v>
      </c>
      <c r="M48" s="807">
        <f t="shared" si="14"/>
        <v>0</v>
      </c>
      <c r="N48" s="804">
        <f t="shared" si="11"/>
        <v>0</v>
      </c>
      <c r="O48" s="806"/>
      <c r="P48" s="806">
        <f t="shared" si="12"/>
        <v>227</v>
      </c>
    </row>
    <row r="49" spans="1:16" s="389" customFormat="1" ht="24.95" customHeight="1">
      <c r="A49" s="1641"/>
      <c r="B49" s="892" t="str">
        <f t="shared" si="15"/>
        <v>2009년</v>
      </c>
      <c r="C49" s="893">
        <v>91842</v>
      </c>
      <c r="D49" s="893">
        <v>57466</v>
      </c>
      <c r="E49" s="894">
        <v>34376</v>
      </c>
      <c r="F49" s="894">
        <v>0</v>
      </c>
      <c r="G49" s="895">
        <v>0</v>
      </c>
      <c r="H49" s="896">
        <v>0</v>
      </c>
      <c r="I49" s="386"/>
      <c r="J49" s="807">
        <f t="shared" si="1"/>
        <v>157</v>
      </c>
      <c r="K49" s="807">
        <f t="shared" si="2"/>
        <v>94</v>
      </c>
      <c r="L49" s="807">
        <f t="shared" si="13"/>
        <v>0</v>
      </c>
      <c r="M49" s="807">
        <f t="shared" si="14"/>
        <v>0</v>
      </c>
      <c r="N49" s="804">
        <f t="shared" si="11"/>
        <v>0</v>
      </c>
      <c r="O49" s="806"/>
      <c r="P49" s="806">
        <f t="shared" si="12"/>
        <v>251</v>
      </c>
    </row>
    <row r="50" spans="1:16" s="389" customFormat="1" ht="24.95" customHeight="1">
      <c r="A50" s="1641"/>
      <c r="B50" s="892" t="str">
        <f t="shared" si="15"/>
        <v>2010년</v>
      </c>
      <c r="C50" s="893">
        <v>126523</v>
      </c>
      <c r="D50" s="893">
        <v>83200</v>
      </c>
      <c r="E50" s="894">
        <v>40799</v>
      </c>
      <c r="F50" s="894">
        <v>0</v>
      </c>
      <c r="G50" s="895">
        <v>0</v>
      </c>
      <c r="H50" s="896">
        <v>0</v>
      </c>
      <c r="I50" s="386"/>
      <c r="J50" s="807">
        <f t="shared" si="1"/>
        <v>228</v>
      </c>
      <c r="K50" s="807">
        <f t="shared" si="2"/>
        <v>112</v>
      </c>
      <c r="L50" s="807">
        <f t="shared" si="13"/>
        <v>0</v>
      </c>
      <c r="M50" s="807">
        <f t="shared" si="14"/>
        <v>0</v>
      </c>
      <c r="N50" s="804">
        <f t="shared" si="11"/>
        <v>0</v>
      </c>
      <c r="O50" s="806"/>
      <c r="P50" s="806">
        <f t="shared" si="12"/>
        <v>340</v>
      </c>
    </row>
    <row r="51" spans="1:16" s="389" customFormat="1" ht="24.95" customHeight="1">
      <c r="A51" s="1641"/>
      <c r="B51" s="892" t="str">
        <f t="shared" si="15"/>
        <v>2011년</v>
      </c>
      <c r="C51" s="893">
        <v>143491</v>
      </c>
      <c r="D51" s="893">
        <v>94042</v>
      </c>
      <c r="E51" s="894">
        <v>47994</v>
      </c>
      <c r="F51" s="894">
        <v>0</v>
      </c>
      <c r="G51" s="895">
        <v>1455</v>
      </c>
      <c r="H51" s="896">
        <v>0</v>
      </c>
      <c r="I51" s="386"/>
      <c r="J51" s="807">
        <f t="shared" si="1"/>
        <v>258</v>
      </c>
      <c r="K51" s="807">
        <f t="shared" si="2"/>
        <v>131</v>
      </c>
      <c r="L51" s="807">
        <f t="shared" si="13"/>
        <v>0</v>
      </c>
      <c r="M51" s="807">
        <f t="shared" si="14"/>
        <v>4</v>
      </c>
      <c r="N51" s="804">
        <f t="shared" si="11"/>
        <v>0</v>
      </c>
      <c r="O51" s="806"/>
      <c r="P51" s="806">
        <f t="shared" si="12"/>
        <v>389</v>
      </c>
    </row>
    <row r="52" spans="1:16" s="389" customFormat="1" ht="24.95" customHeight="1">
      <c r="A52" s="1641"/>
      <c r="B52" s="892" t="str">
        <f t="shared" si="15"/>
        <v>2012년</v>
      </c>
      <c r="C52" s="893">
        <v>160166</v>
      </c>
      <c r="D52" s="893">
        <v>105226</v>
      </c>
      <c r="E52" s="894">
        <v>42505</v>
      </c>
      <c r="F52" s="894">
        <v>0</v>
      </c>
      <c r="G52" s="895">
        <v>12435</v>
      </c>
      <c r="H52" s="896">
        <v>0</v>
      </c>
      <c r="I52" s="386"/>
      <c r="J52" s="807">
        <f t="shared" si="1"/>
        <v>288</v>
      </c>
      <c r="K52" s="807">
        <f t="shared" si="2"/>
        <v>116</v>
      </c>
      <c r="L52" s="807">
        <f t="shared" si="13"/>
        <v>0</v>
      </c>
      <c r="M52" s="807">
        <f t="shared" si="14"/>
        <v>34</v>
      </c>
      <c r="N52" s="804">
        <f t="shared" si="11"/>
        <v>0</v>
      </c>
      <c r="O52" s="806"/>
      <c r="P52" s="806">
        <f t="shared" si="12"/>
        <v>404</v>
      </c>
    </row>
    <row r="53" spans="1:16" s="389" customFormat="1" ht="24.95" customHeight="1">
      <c r="A53" s="1641"/>
      <c r="B53" s="892" t="str">
        <f t="shared" si="15"/>
        <v>2013년</v>
      </c>
      <c r="C53" s="893">
        <v>217914</v>
      </c>
      <c r="D53" s="893">
        <v>114692</v>
      </c>
      <c r="E53" s="894">
        <v>51072</v>
      </c>
      <c r="F53" s="894">
        <v>0</v>
      </c>
      <c r="G53" s="895">
        <v>52150</v>
      </c>
      <c r="H53" s="896">
        <v>0</v>
      </c>
      <c r="I53" s="386"/>
      <c r="J53" s="807">
        <f t="shared" si="1"/>
        <v>314</v>
      </c>
      <c r="K53" s="807">
        <f t="shared" si="2"/>
        <v>140</v>
      </c>
      <c r="L53" s="807">
        <f t="shared" si="13"/>
        <v>0</v>
      </c>
      <c r="M53" s="807">
        <f t="shared" si="14"/>
        <v>143</v>
      </c>
      <c r="N53" s="804">
        <f t="shared" si="11"/>
        <v>0</v>
      </c>
      <c r="O53" s="806"/>
      <c r="P53" s="806">
        <f t="shared" si="12"/>
        <v>454</v>
      </c>
    </row>
    <row r="54" spans="1:16" s="389" customFormat="1" ht="24.95" customHeight="1">
      <c r="A54" s="1642"/>
      <c r="B54" s="897" t="str">
        <f t="shared" si="15"/>
        <v>2014년</v>
      </c>
      <c r="C54" s="898">
        <v>342697</v>
      </c>
      <c r="D54" s="898">
        <v>119984</v>
      </c>
      <c r="E54" s="899">
        <v>47783</v>
      </c>
      <c r="F54" s="899">
        <v>0</v>
      </c>
      <c r="G54" s="900">
        <v>174930</v>
      </c>
      <c r="H54" s="901"/>
      <c r="I54" s="386"/>
      <c r="J54" s="807">
        <f t="shared" si="1"/>
        <v>329</v>
      </c>
      <c r="K54" s="807">
        <f t="shared" si="2"/>
        <v>131</v>
      </c>
      <c r="L54" s="807">
        <f t="shared" si="13"/>
        <v>0</v>
      </c>
      <c r="M54" s="807">
        <f t="shared" si="14"/>
        <v>479</v>
      </c>
      <c r="N54" s="804">
        <f t="shared" si="11"/>
        <v>0</v>
      </c>
      <c r="O54" s="806"/>
      <c r="P54" s="806">
        <f t="shared" si="12"/>
        <v>460</v>
      </c>
    </row>
    <row r="55" spans="1:16" s="389" customFormat="1" ht="24.95" customHeight="1">
      <c r="A55" s="1640" t="s">
        <v>948</v>
      </c>
      <c r="B55" s="750" t="str">
        <f t="shared" si="15"/>
        <v>2005년</v>
      </c>
      <c r="C55" s="888"/>
      <c r="D55" s="888"/>
      <c r="E55" s="889"/>
      <c r="F55" s="889"/>
      <c r="G55" s="890"/>
      <c r="H55" s="891"/>
      <c r="I55" s="386"/>
      <c r="J55" s="807">
        <f t="shared" si="1"/>
        <v>0</v>
      </c>
      <c r="K55" s="807">
        <f t="shared" si="2"/>
        <v>0</v>
      </c>
      <c r="L55" s="807">
        <f t="shared" si="13"/>
        <v>0</v>
      </c>
      <c r="M55" s="807">
        <f t="shared" si="14"/>
        <v>0</v>
      </c>
      <c r="N55" s="804">
        <f t="shared" si="11"/>
        <v>0</v>
      </c>
      <c r="O55" s="806"/>
      <c r="P55" s="806">
        <f t="shared" si="12"/>
        <v>0</v>
      </c>
    </row>
    <row r="56" spans="1:16" s="389" customFormat="1" ht="24.95" customHeight="1">
      <c r="A56" s="1641"/>
      <c r="B56" s="892" t="str">
        <f t="shared" si="15"/>
        <v>2006년</v>
      </c>
      <c r="C56" s="893"/>
      <c r="D56" s="893"/>
      <c r="E56" s="894"/>
      <c r="F56" s="894"/>
      <c r="G56" s="895"/>
      <c r="H56" s="896"/>
      <c r="I56" s="386"/>
      <c r="J56" s="807">
        <f t="shared" si="1"/>
        <v>0</v>
      </c>
      <c r="K56" s="807">
        <f t="shared" si="2"/>
        <v>0</v>
      </c>
      <c r="L56" s="807">
        <f t="shared" si="13"/>
        <v>0</v>
      </c>
      <c r="M56" s="807">
        <f t="shared" si="14"/>
        <v>0</v>
      </c>
      <c r="N56" s="804">
        <f t="shared" si="11"/>
        <v>0</v>
      </c>
      <c r="O56" s="806"/>
      <c r="P56" s="806">
        <f t="shared" si="12"/>
        <v>0</v>
      </c>
    </row>
    <row r="57" spans="1:16" s="389" customFormat="1" ht="24.95" customHeight="1">
      <c r="A57" s="1641"/>
      <c r="B57" s="892" t="str">
        <f t="shared" si="15"/>
        <v>2007년</v>
      </c>
      <c r="C57" s="893">
        <v>142703</v>
      </c>
      <c r="D57" s="893">
        <v>22999</v>
      </c>
      <c r="E57" s="894">
        <v>12891</v>
      </c>
      <c r="F57" s="894">
        <v>0</v>
      </c>
      <c r="G57" s="895">
        <v>0</v>
      </c>
      <c r="H57" s="896">
        <v>106813</v>
      </c>
      <c r="I57" s="386"/>
      <c r="J57" s="807">
        <f t="shared" si="1"/>
        <v>63</v>
      </c>
      <c r="K57" s="807">
        <f t="shared" si="2"/>
        <v>35</v>
      </c>
      <c r="L57" s="807">
        <f t="shared" si="13"/>
        <v>0</v>
      </c>
      <c r="M57" s="807">
        <f t="shared" si="14"/>
        <v>0</v>
      </c>
      <c r="N57" s="804">
        <f t="shared" si="11"/>
        <v>293</v>
      </c>
      <c r="O57" s="806"/>
      <c r="P57" s="806">
        <f t="shared" si="12"/>
        <v>391</v>
      </c>
    </row>
    <row r="58" spans="1:16" s="389" customFormat="1" ht="24.95" customHeight="1">
      <c r="A58" s="1641"/>
      <c r="B58" s="892" t="str">
        <f t="shared" si="15"/>
        <v>2008년</v>
      </c>
      <c r="C58" s="893">
        <v>292316</v>
      </c>
      <c r="D58" s="893">
        <v>38402</v>
      </c>
      <c r="E58" s="894">
        <v>17873</v>
      </c>
      <c r="F58" s="894">
        <v>0</v>
      </c>
      <c r="G58" s="895">
        <v>236041</v>
      </c>
      <c r="H58" s="896">
        <v>0</v>
      </c>
      <c r="I58" s="386"/>
      <c r="J58" s="807">
        <f t="shared" si="1"/>
        <v>105</v>
      </c>
      <c r="K58" s="807">
        <f t="shared" si="2"/>
        <v>49</v>
      </c>
      <c r="L58" s="807">
        <f t="shared" si="13"/>
        <v>0</v>
      </c>
      <c r="M58" s="807">
        <f t="shared" si="14"/>
        <v>647</v>
      </c>
      <c r="N58" s="804">
        <f t="shared" si="11"/>
        <v>0</v>
      </c>
      <c r="O58" s="806"/>
      <c r="P58" s="806">
        <f t="shared" si="12"/>
        <v>154</v>
      </c>
    </row>
    <row r="59" spans="1:16" s="389" customFormat="1" ht="24.95" customHeight="1">
      <c r="A59" s="1641"/>
      <c r="B59" s="892" t="str">
        <f t="shared" si="15"/>
        <v>2009년</v>
      </c>
      <c r="C59" s="893">
        <v>352503</v>
      </c>
      <c r="D59" s="893">
        <v>38204</v>
      </c>
      <c r="E59" s="894">
        <v>15526</v>
      </c>
      <c r="F59" s="894">
        <v>0</v>
      </c>
      <c r="G59" s="895">
        <v>298773</v>
      </c>
      <c r="H59" s="896">
        <v>0</v>
      </c>
      <c r="I59" s="386"/>
      <c r="J59" s="807">
        <f t="shared" si="1"/>
        <v>105</v>
      </c>
      <c r="K59" s="807">
        <f t="shared" si="2"/>
        <v>43</v>
      </c>
      <c r="L59" s="807">
        <f t="shared" si="13"/>
        <v>0</v>
      </c>
      <c r="M59" s="807">
        <f t="shared" si="14"/>
        <v>819</v>
      </c>
      <c r="N59" s="804">
        <f t="shared" si="11"/>
        <v>0</v>
      </c>
      <c r="O59" s="806"/>
      <c r="P59" s="806">
        <f t="shared" si="12"/>
        <v>148</v>
      </c>
    </row>
    <row r="60" spans="1:16" s="389" customFormat="1" ht="24.95" customHeight="1">
      <c r="A60" s="1641"/>
      <c r="B60" s="892" t="str">
        <f t="shared" si="15"/>
        <v>2010년</v>
      </c>
      <c r="C60" s="893">
        <v>423124</v>
      </c>
      <c r="D60" s="893">
        <v>65318</v>
      </c>
      <c r="E60" s="894">
        <v>17681</v>
      </c>
      <c r="F60" s="894">
        <v>0</v>
      </c>
      <c r="G60" s="895">
        <v>340254</v>
      </c>
      <c r="H60" s="896">
        <v>0</v>
      </c>
      <c r="I60" s="386"/>
      <c r="J60" s="807">
        <f t="shared" si="1"/>
        <v>179</v>
      </c>
      <c r="K60" s="807">
        <f t="shared" si="2"/>
        <v>48</v>
      </c>
      <c r="L60" s="807">
        <f t="shared" si="13"/>
        <v>0</v>
      </c>
      <c r="M60" s="807">
        <f t="shared" si="14"/>
        <v>932</v>
      </c>
      <c r="N60" s="804">
        <f t="shared" si="11"/>
        <v>0</v>
      </c>
      <c r="O60" s="806"/>
      <c r="P60" s="806">
        <f t="shared" si="12"/>
        <v>227</v>
      </c>
    </row>
    <row r="61" spans="1:16" s="389" customFormat="1" ht="24.95" customHeight="1">
      <c r="A61" s="1641"/>
      <c r="B61" s="892" t="str">
        <f t="shared" si="15"/>
        <v>2011년</v>
      </c>
      <c r="C61" s="893">
        <v>537606</v>
      </c>
      <c r="D61" s="893">
        <v>114002</v>
      </c>
      <c r="E61" s="894">
        <v>15566</v>
      </c>
      <c r="F61" s="894">
        <v>0</v>
      </c>
      <c r="G61" s="895">
        <v>408038</v>
      </c>
      <c r="H61" s="896">
        <v>0</v>
      </c>
      <c r="I61" s="386"/>
      <c r="J61" s="807">
        <f t="shared" si="1"/>
        <v>312</v>
      </c>
      <c r="K61" s="807">
        <f t="shared" si="2"/>
        <v>43</v>
      </c>
      <c r="L61" s="807">
        <f t="shared" si="13"/>
        <v>0</v>
      </c>
      <c r="M61" s="807">
        <f t="shared" si="14"/>
        <v>1118</v>
      </c>
      <c r="N61" s="804">
        <f t="shared" si="11"/>
        <v>0</v>
      </c>
      <c r="O61" s="806"/>
      <c r="P61" s="806">
        <f t="shared" si="12"/>
        <v>355</v>
      </c>
    </row>
    <row r="62" spans="1:16" s="389" customFormat="1" ht="24.95" customHeight="1">
      <c r="A62" s="1641"/>
      <c r="B62" s="892" t="str">
        <f t="shared" si="15"/>
        <v>2012년</v>
      </c>
      <c r="C62" s="893">
        <v>673271</v>
      </c>
      <c r="D62" s="893">
        <v>131679</v>
      </c>
      <c r="E62" s="894">
        <v>16673</v>
      </c>
      <c r="F62" s="894">
        <v>0</v>
      </c>
      <c r="G62" s="895">
        <v>524919</v>
      </c>
      <c r="H62" s="896">
        <v>0</v>
      </c>
      <c r="I62" s="386"/>
      <c r="J62" s="807">
        <f t="shared" si="1"/>
        <v>361</v>
      </c>
      <c r="K62" s="807">
        <f t="shared" si="2"/>
        <v>46</v>
      </c>
      <c r="L62" s="807">
        <f t="shared" si="13"/>
        <v>0</v>
      </c>
      <c r="M62" s="807">
        <f t="shared" si="14"/>
        <v>1438</v>
      </c>
      <c r="N62" s="804">
        <f t="shared" si="11"/>
        <v>0</v>
      </c>
      <c r="O62" s="806"/>
      <c r="P62" s="806">
        <f t="shared" si="12"/>
        <v>407</v>
      </c>
    </row>
    <row r="63" spans="1:16" s="389" customFormat="1" ht="24.95" customHeight="1">
      <c r="A63" s="1641"/>
      <c r="B63" s="892" t="str">
        <f t="shared" si="15"/>
        <v>2013년</v>
      </c>
      <c r="C63" s="893">
        <v>749691</v>
      </c>
      <c r="D63" s="893">
        <v>150132</v>
      </c>
      <c r="E63" s="894">
        <v>20751</v>
      </c>
      <c r="F63" s="894">
        <v>0</v>
      </c>
      <c r="G63" s="895">
        <v>578808</v>
      </c>
      <c r="H63" s="896">
        <v>0</v>
      </c>
      <c r="I63" s="386"/>
      <c r="J63" s="807">
        <f t="shared" si="1"/>
        <v>411</v>
      </c>
      <c r="K63" s="807">
        <f t="shared" si="2"/>
        <v>57</v>
      </c>
      <c r="L63" s="807">
        <f t="shared" si="13"/>
        <v>0</v>
      </c>
      <c r="M63" s="807">
        <f t="shared" si="14"/>
        <v>1586</v>
      </c>
      <c r="N63" s="804">
        <f t="shared" si="11"/>
        <v>0</v>
      </c>
      <c r="O63" s="806"/>
      <c r="P63" s="806">
        <f t="shared" si="12"/>
        <v>468</v>
      </c>
    </row>
    <row r="64" spans="1:16" s="389" customFormat="1" ht="24.95" customHeight="1">
      <c r="A64" s="1642"/>
      <c r="B64" s="897" t="str">
        <f t="shared" si="15"/>
        <v>2014년</v>
      </c>
      <c r="C64" s="898">
        <v>881972</v>
      </c>
      <c r="D64" s="898">
        <v>243843</v>
      </c>
      <c r="E64" s="899">
        <v>71448</v>
      </c>
      <c r="F64" s="899">
        <v>0</v>
      </c>
      <c r="G64" s="900">
        <v>566681</v>
      </c>
      <c r="H64" s="901"/>
      <c r="I64" s="386"/>
      <c r="J64" s="807">
        <f t="shared" si="1"/>
        <v>668</v>
      </c>
      <c r="K64" s="807">
        <f t="shared" si="2"/>
        <v>196</v>
      </c>
      <c r="L64" s="807">
        <f t="shared" si="13"/>
        <v>0</v>
      </c>
      <c r="M64" s="807">
        <f t="shared" si="14"/>
        <v>1553</v>
      </c>
      <c r="N64" s="804">
        <f t="shared" si="11"/>
        <v>0</v>
      </c>
      <c r="O64" s="806"/>
      <c r="P64" s="806">
        <f t="shared" si="12"/>
        <v>864</v>
      </c>
    </row>
    <row r="65" spans="1:16" s="389" customFormat="1" ht="24.95" customHeight="1">
      <c r="A65" s="1640" t="s">
        <v>949</v>
      </c>
      <c r="B65" s="750" t="str">
        <f t="shared" si="15"/>
        <v>2005년</v>
      </c>
      <c r="C65" s="888"/>
      <c r="D65" s="888"/>
      <c r="E65" s="889"/>
      <c r="F65" s="889"/>
      <c r="G65" s="890"/>
      <c r="H65" s="891"/>
      <c r="I65" s="386"/>
      <c r="J65" s="807">
        <f t="shared" si="1"/>
        <v>0</v>
      </c>
      <c r="K65" s="807">
        <f t="shared" si="2"/>
        <v>0</v>
      </c>
      <c r="L65" s="807">
        <f t="shared" si="13"/>
        <v>0</v>
      </c>
      <c r="M65" s="807">
        <f t="shared" si="14"/>
        <v>0</v>
      </c>
      <c r="N65" s="804">
        <f t="shared" si="11"/>
        <v>0</v>
      </c>
      <c r="O65" s="806"/>
      <c r="P65" s="806">
        <f t="shared" si="12"/>
        <v>0</v>
      </c>
    </row>
    <row r="66" spans="1:16" s="389" customFormat="1" ht="24.95" customHeight="1">
      <c r="A66" s="1641"/>
      <c r="B66" s="892" t="str">
        <f t="shared" si="15"/>
        <v>2006년</v>
      </c>
      <c r="C66" s="893"/>
      <c r="D66" s="893"/>
      <c r="E66" s="894"/>
      <c r="F66" s="894"/>
      <c r="G66" s="895"/>
      <c r="H66" s="896"/>
      <c r="I66" s="386"/>
      <c r="J66" s="807">
        <f t="shared" si="1"/>
        <v>0</v>
      </c>
      <c r="K66" s="807">
        <f t="shared" si="2"/>
        <v>0</v>
      </c>
      <c r="L66" s="807">
        <f t="shared" si="13"/>
        <v>0</v>
      </c>
      <c r="M66" s="807">
        <f t="shared" si="14"/>
        <v>0</v>
      </c>
      <c r="N66" s="804">
        <f t="shared" si="11"/>
        <v>0</v>
      </c>
      <c r="O66" s="806"/>
      <c r="P66" s="806">
        <f t="shared" si="12"/>
        <v>0</v>
      </c>
    </row>
    <row r="67" spans="1:16" s="389" customFormat="1" ht="24.95" customHeight="1">
      <c r="A67" s="1641"/>
      <c r="B67" s="892" t="str">
        <f t="shared" si="15"/>
        <v>2007년</v>
      </c>
      <c r="C67" s="893">
        <v>2459586</v>
      </c>
      <c r="D67" s="893">
        <v>591403</v>
      </c>
      <c r="E67" s="894">
        <v>305436</v>
      </c>
      <c r="F67" s="894">
        <v>18</v>
      </c>
      <c r="G67" s="895">
        <v>0</v>
      </c>
      <c r="H67" s="896">
        <v>1562729</v>
      </c>
      <c r="I67" s="386"/>
      <c r="J67" s="807">
        <f t="shared" si="1"/>
        <v>1620</v>
      </c>
      <c r="K67" s="807">
        <f t="shared" si="2"/>
        <v>837</v>
      </c>
      <c r="L67" s="807">
        <f t="shared" si="13"/>
        <v>0</v>
      </c>
      <c r="M67" s="807">
        <f t="shared" si="14"/>
        <v>0</v>
      </c>
      <c r="N67" s="804">
        <f t="shared" si="11"/>
        <v>4281</v>
      </c>
      <c r="O67" s="806"/>
      <c r="P67" s="806">
        <f t="shared" si="12"/>
        <v>6738</v>
      </c>
    </row>
    <row r="68" spans="1:16" s="389" customFormat="1" ht="24.95" customHeight="1">
      <c r="A68" s="1641"/>
      <c r="B68" s="892" t="str">
        <f t="shared" si="15"/>
        <v>2008년</v>
      </c>
      <c r="C68" s="893">
        <v>2943758</v>
      </c>
      <c r="D68" s="893">
        <v>643723</v>
      </c>
      <c r="E68" s="894">
        <v>163807</v>
      </c>
      <c r="F68" s="894">
        <v>8039</v>
      </c>
      <c r="G68" s="895">
        <v>2128189</v>
      </c>
      <c r="H68" s="896">
        <v>0</v>
      </c>
      <c r="I68" s="386"/>
      <c r="J68" s="807">
        <f t="shared" si="1"/>
        <v>1764</v>
      </c>
      <c r="K68" s="807">
        <f t="shared" si="2"/>
        <v>449</v>
      </c>
      <c r="L68" s="807">
        <f t="shared" si="13"/>
        <v>22</v>
      </c>
      <c r="M68" s="807">
        <f t="shared" si="14"/>
        <v>5831</v>
      </c>
      <c r="N68" s="804">
        <f t="shared" si="11"/>
        <v>0</v>
      </c>
      <c r="O68" s="806"/>
      <c r="P68" s="806">
        <f t="shared" si="12"/>
        <v>2235</v>
      </c>
    </row>
    <row r="69" spans="1:16" s="389" customFormat="1" ht="24.95" customHeight="1">
      <c r="A69" s="1641"/>
      <c r="B69" s="892" t="str">
        <f t="shared" si="15"/>
        <v>2009년</v>
      </c>
      <c r="C69" s="893">
        <v>2841272</v>
      </c>
      <c r="D69" s="893">
        <v>709409</v>
      </c>
      <c r="E69" s="894">
        <v>163709</v>
      </c>
      <c r="F69" s="894">
        <v>6095</v>
      </c>
      <c r="G69" s="895">
        <v>1962059</v>
      </c>
      <c r="H69" s="896">
        <v>0</v>
      </c>
      <c r="I69" s="386"/>
      <c r="J69" s="807">
        <f t="shared" ref="J69:J84" si="16">ROUND($D69/365,0)</f>
        <v>1944</v>
      </c>
      <c r="K69" s="807">
        <f t="shared" ref="K69:K84" si="17">ROUND($E69/365,0)</f>
        <v>449</v>
      </c>
      <c r="L69" s="807">
        <f t="shared" si="13"/>
        <v>17</v>
      </c>
      <c r="M69" s="807">
        <f t="shared" si="14"/>
        <v>5376</v>
      </c>
      <c r="N69" s="804">
        <f t="shared" si="11"/>
        <v>0</v>
      </c>
      <c r="O69" s="806"/>
      <c r="P69" s="806">
        <f t="shared" si="12"/>
        <v>2410</v>
      </c>
    </row>
    <row r="70" spans="1:16" s="389" customFormat="1" ht="24.95" customHeight="1">
      <c r="A70" s="1641"/>
      <c r="B70" s="892" t="str">
        <f t="shared" si="15"/>
        <v>2010년</v>
      </c>
      <c r="C70" s="893">
        <v>2942376</v>
      </c>
      <c r="D70" s="893">
        <v>708579</v>
      </c>
      <c r="E70" s="894">
        <v>227775</v>
      </c>
      <c r="F70" s="894">
        <v>6913</v>
      </c>
      <c r="G70" s="895">
        <v>1996412</v>
      </c>
      <c r="H70" s="896">
        <v>0</v>
      </c>
      <c r="I70" s="386"/>
      <c r="J70" s="807">
        <f t="shared" si="16"/>
        <v>1941</v>
      </c>
      <c r="K70" s="807">
        <f t="shared" si="17"/>
        <v>624</v>
      </c>
      <c r="L70" s="807">
        <f t="shared" si="13"/>
        <v>19</v>
      </c>
      <c r="M70" s="807">
        <f t="shared" si="14"/>
        <v>5470</v>
      </c>
      <c r="N70" s="804">
        <f t="shared" si="11"/>
        <v>0</v>
      </c>
      <c r="O70" s="806"/>
      <c r="P70" s="806">
        <f t="shared" si="12"/>
        <v>2584</v>
      </c>
    </row>
    <row r="71" spans="1:16" s="389" customFormat="1" ht="24.95" customHeight="1">
      <c r="A71" s="1641"/>
      <c r="B71" s="892" t="str">
        <f t="shared" si="15"/>
        <v>2011년</v>
      </c>
      <c r="C71" s="893">
        <v>3496398</v>
      </c>
      <c r="D71" s="893">
        <v>778617</v>
      </c>
      <c r="E71" s="894">
        <v>2343987</v>
      </c>
      <c r="F71" s="894">
        <v>0</v>
      </c>
      <c r="G71" s="895">
        <v>2473794</v>
      </c>
      <c r="H71" s="896">
        <v>0</v>
      </c>
      <c r="I71" s="386"/>
      <c r="J71" s="807">
        <f t="shared" si="16"/>
        <v>2133</v>
      </c>
      <c r="K71" s="807">
        <f t="shared" si="17"/>
        <v>6422</v>
      </c>
      <c r="L71" s="807">
        <f t="shared" si="13"/>
        <v>0</v>
      </c>
      <c r="M71" s="807">
        <f t="shared" si="14"/>
        <v>6778</v>
      </c>
      <c r="N71" s="804">
        <f t="shared" si="11"/>
        <v>0</v>
      </c>
      <c r="O71" s="806"/>
      <c r="P71" s="806">
        <f t="shared" si="12"/>
        <v>8555</v>
      </c>
    </row>
    <row r="72" spans="1:16" s="389" customFormat="1" ht="24.95" customHeight="1">
      <c r="A72" s="1641"/>
      <c r="B72" s="892" t="str">
        <f t="shared" si="15"/>
        <v>2012년</v>
      </c>
      <c r="C72" s="893">
        <v>3764230</v>
      </c>
      <c r="D72" s="893">
        <v>871049</v>
      </c>
      <c r="E72" s="894">
        <v>219866</v>
      </c>
      <c r="F72" s="894">
        <v>0</v>
      </c>
      <c r="G72" s="895">
        <v>2673315</v>
      </c>
      <c r="H72" s="896">
        <v>0</v>
      </c>
      <c r="I72" s="386"/>
      <c r="J72" s="807">
        <f t="shared" si="16"/>
        <v>2386</v>
      </c>
      <c r="K72" s="807">
        <f t="shared" si="17"/>
        <v>602</v>
      </c>
      <c r="L72" s="807">
        <f t="shared" si="13"/>
        <v>0</v>
      </c>
      <c r="M72" s="807">
        <f t="shared" si="14"/>
        <v>7324</v>
      </c>
      <c r="N72" s="804">
        <f t="shared" si="11"/>
        <v>0</v>
      </c>
      <c r="O72" s="806"/>
      <c r="P72" s="806">
        <f t="shared" si="12"/>
        <v>2988</v>
      </c>
    </row>
    <row r="73" spans="1:16" s="389" customFormat="1" ht="24.95" customHeight="1">
      <c r="A73" s="1641"/>
      <c r="B73" s="892" t="str">
        <f t="shared" si="15"/>
        <v>2013년</v>
      </c>
      <c r="C73" s="893">
        <v>3592144</v>
      </c>
      <c r="D73" s="893">
        <v>963283</v>
      </c>
      <c r="E73" s="894">
        <v>236170</v>
      </c>
      <c r="F73" s="894">
        <v>0</v>
      </c>
      <c r="G73" s="895">
        <v>2392691</v>
      </c>
      <c r="H73" s="896">
        <v>0</v>
      </c>
      <c r="I73" s="386"/>
      <c r="J73" s="807">
        <f t="shared" si="16"/>
        <v>2639</v>
      </c>
      <c r="K73" s="807">
        <f t="shared" si="17"/>
        <v>647</v>
      </c>
      <c r="L73" s="807">
        <f t="shared" si="13"/>
        <v>0</v>
      </c>
      <c r="M73" s="807">
        <f t="shared" si="14"/>
        <v>6555</v>
      </c>
      <c r="N73" s="804">
        <f t="shared" si="11"/>
        <v>0</v>
      </c>
      <c r="O73" s="806"/>
      <c r="P73" s="806">
        <f t="shared" si="12"/>
        <v>3286</v>
      </c>
    </row>
    <row r="74" spans="1:16" s="389" customFormat="1" ht="24.95" customHeight="1">
      <c r="A74" s="1642"/>
      <c r="B74" s="897" t="str">
        <f t="shared" si="15"/>
        <v>2014년</v>
      </c>
      <c r="C74" s="898">
        <v>3807787</v>
      </c>
      <c r="D74" s="898">
        <v>1034606</v>
      </c>
      <c r="E74" s="899">
        <v>247656</v>
      </c>
      <c r="F74" s="899">
        <v>0</v>
      </c>
      <c r="G74" s="900">
        <v>2525525</v>
      </c>
      <c r="H74" s="901"/>
      <c r="I74" s="386"/>
      <c r="J74" s="807">
        <f t="shared" si="16"/>
        <v>2835</v>
      </c>
      <c r="K74" s="807">
        <f t="shared" si="17"/>
        <v>679</v>
      </c>
      <c r="L74" s="807">
        <f t="shared" si="13"/>
        <v>0</v>
      </c>
      <c r="M74" s="807">
        <f t="shared" si="14"/>
        <v>6919</v>
      </c>
      <c r="N74" s="804">
        <f t="shared" si="11"/>
        <v>0</v>
      </c>
      <c r="O74" s="806"/>
      <c r="P74" s="806">
        <f t="shared" si="12"/>
        <v>3514</v>
      </c>
    </row>
    <row r="75" spans="1:16" s="389" customFormat="1" ht="24.95" customHeight="1">
      <c r="A75" s="1640" t="s">
        <v>1941</v>
      </c>
      <c r="B75" s="750" t="str">
        <f t="shared" si="15"/>
        <v>2005년</v>
      </c>
      <c r="C75" s="888"/>
      <c r="D75" s="888"/>
      <c r="E75" s="889"/>
      <c r="F75" s="889"/>
      <c r="G75" s="890"/>
      <c r="H75" s="891"/>
      <c r="I75" s="386"/>
      <c r="J75" s="807">
        <f t="shared" si="16"/>
        <v>0</v>
      </c>
      <c r="K75" s="807">
        <f t="shared" si="17"/>
        <v>0</v>
      </c>
      <c r="L75" s="807">
        <f t="shared" si="13"/>
        <v>0</v>
      </c>
      <c r="M75" s="807">
        <f t="shared" si="14"/>
        <v>0</v>
      </c>
      <c r="N75" s="804">
        <f t="shared" si="11"/>
        <v>0</v>
      </c>
      <c r="O75" s="806"/>
      <c r="P75" s="806">
        <f t="shared" si="12"/>
        <v>0</v>
      </c>
    </row>
    <row r="76" spans="1:16" s="389" customFormat="1" ht="24.95" customHeight="1">
      <c r="A76" s="1641"/>
      <c r="B76" s="892" t="str">
        <f t="shared" si="15"/>
        <v>2006년</v>
      </c>
      <c r="C76" s="893"/>
      <c r="D76" s="893"/>
      <c r="E76" s="894"/>
      <c r="F76" s="894"/>
      <c r="G76" s="895"/>
      <c r="H76" s="896"/>
      <c r="I76" s="386"/>
      <c r="J76" s="807">
        <f t="shared" si="16"/>
        <v>0</v>
      </c>
      <c r="K76" s="807">
        <f t="shared" si="17"/>
        <v>0</v>
      </c>
      <c r="L76" s="807">
        <f t="shared" si="13"/>
        <v>0</v>
      </c>
      <c r="M76" s="807">
        <f t="shared" si="14"/>
        <v>0</v>
      </c>
      <c r="N76" s="804">
        <f t="shared" si="11"/>
        <v>0</v>
      </c>
      <c r="O76" s="806"/>
      <c r="P76" s="806">
        <f t="shared" si="12"/>
        <v>0</v>
      </c>
    </row>
    <row r="77" spans="1:16" s="389" customFormat="1" ht="24.95" customHeight="1">
      <c r="A77" s="1641"/>
      <c r="B77" s="892" t="str">
        <f t="shared" si="15"/>
        <v>2007년</v>
      </c>
      <c r="C77" s="893">
        <v>72538</v>
      </c>
      <c r="D77" s="893">
        <v>27064</v>
      </c>
      <c r="E77" s="894">
        <v>41993</v>
      </c>
      <c r="F77" s="894">
        <v>0</v>
      </c>
      <c r="G77" s="895">
        <v>0</v>
      </c>
      <c r="H77" s="896">
        <v>3481</v>
      </c>
      <c r="I77" s="386"/>
      <c r="J77" s="807">
        <f t="shared" si="16"/>
        <v>74</v>
      </c>
      <c r="K77" s="807">
        <f t="shared" si="17"/>
        <v>115</v>
      </c>
      <c r="L77" s="807">
        <f t="shared" si="13"/>
        <v>0</v>
      </c>
      <c r="M77" s="807">
        <f t="shared" si="14"/>
        <v>0</v>
      </c>
      <c r="N77" s="804">
        <f t="shared" si="11"/>
        <v>10</v>
      </c>
      <c r="O77" s="806"/>
      <c r="P77" s="806">
        <f t="shared" si="12"/>
        <v>199</v>
      </c>
    </row>
    <row r="78" spans="1:16" s="389" customFormat="1" ht="24.95" customHeight="1">
      <c r="A78" s="1641"/>
      <c r="B78" s="892" t="str">
        <f t="shared" si="15"/>
        <v>2008년</v>
      </c>
      <c r="C78" s="893">
        <v>178433</v>
      </c>
      <c r="D78" s="893">
        <v>46716</v>
      </c>
      <c r="E78" s="894">
        <v>45982</v>
      </c>
      <c r="F78" s="894">
        <v>0</v>
      </c>
      <c r="G78" s="895">
        <v>85735</v>
      </c>
      <c r="H78" s="896">
        <v>0</v>
      </c>
      <c r="I78" s="386"/>
      <c r="J78" s="807">
        <f t="shared" si="16"/>
        <v>128</v>
      </c>
      <c r="K78" s="807">
        <f t="shared" si="17"/>
        <v>126</v>
      </c>
      <c r="L78" s="807">
        <f t="shared" si="13"/>
        <v>0</v>
      </c>
      <c r="M78" s="807">
        <f t="shared" si="14"/>
        <v>235</v>
      </c>
      <c r="N78" s="804">
        <f t="shared" si="11"/>
        <v>0</v>
      </c>
      <c r="O78" s="806"/>
      <c r="P78" s="806">
        <f t="shared" si="12"/>
        <v>254</v>
      </c>
    </row>
    <row r="79" spans="1:16" s="389" customFormat="1" ht="24.95" customHeight="1">
      <c r="A79" s="1641"/>
      <c r="B79" s="892" t="str">
        <f t="shared" ref="B79:B114" si="18">+B69</f>
        <v>2009년</v>
      </c>
      <c r="C79" s="893">
        <v>195106</v>
      </c>
      <c r="D79" s="893">
        <v>63384</v>
      </c>
      <c r="E79" s="894">
        <v>47073</v>
      </c>
      <c r="F79" s="894">
        <v>0</v>
      </c>
      <c r="G79" s="895">
        <v>84649</v>
      </c>
      <c r="H79" s="896">
        <v>0</v>
      </c>
      <c r="I79" s="386"/>
      <c r="J79" s="807">
        <f t="shared" si="16"/>
        <v>174</v>
      </c>
      <c r="K79" s="807">
        <f t="shared" si="17"/>
        <v>129</v>
      </c>
      <c r="L79" s="807">
        <f t="shared" si="13"/>
        <v>0</v>
      </c>
      <c r="M79" s="807">
        <f t="shared" si="14"/>
        <v>232</v>
      </c>
      <c r="N79" s="804">
        <f t="shared" si="11"/>
        <v>0</v>
      </c>
      <c r="O79" s="806"/>
      <c r="P79" s="806">
        <f t="shared" si="12"/>
        <v>303</v>
      </c>
    </row>
    <row r="80" spans="1:16" s="389" customFormat="1" ht="24.95" customHeight="1">
      <c r="A80" s="1641"/>
      <c r="B80" s="892" t="str">
        <f t="shared" si="18"/>
        <v>2010년</v>
      </c>
      <c r="C80" s="893">
        <v>281933</v>
      </c>
      <c r="D80" s="893">
        <v>80162</v>
      </c>
      <c r="E80" s="894">
        <v>65093</v>
      </c>
      <c r="F80" s="894">
        <v>0</v>
      </c>
      <c r="G80" s="895">
        <v>135241</v>
      </c>
      <c r="H80" s="896">
        <v>0</v>
      </c>
      <c r="I80" s="386"/>
      <c r="J80" s="807">
        <f t="shared" si="16"/>
        <v>220</v>
      </c>
      <c r="K80" s="807">
        <f t="shared" si="17"/>
        <v>178</v>
      </c>
      <c r="L80" s="807">
        <f t="shared" si="13"/>
        <v>0</v>
      </c>
      <c r="M80" s="807">
        <f t="shared" si="14"/>
        <v>371</v>
      </c>
      <c r="N80" s="804">
        <f t="shared" si="11"/>
        <v>0</v>
      </c>
      <c r="O80" s="806"/>
      <c r="P80" s="806">
        <f t="shared" si="12"/>
        <v>398</v>
      </c>
    </row>
    <row r="81" spans="1:16" s="389" customFormat="1" ht="24.95" customHeight="1">
      <c r="A81" s="1641"/>
      <c r="B81" s="892" t="str">
        <f t="shared" si="18"/>
        <v>2011년</v>
      </c>
      <c r="C81" s="893">
        <v>519379</v>
      </c>
      <c r="D81" s="893">
        <v>145703</v>
      </c>
      <c r="E81" s="894">
        <v>118223</v>
      </c>
      <c r="F81" s="894">
        <v>0</v>
      </c>
      <c r="G81" s="895">
        <v>255453</v>
      </c>
      <c r="H81" s="896">
        <v>0</v>
      </c>
      <c r="I81" s="386"/>
      <c r="J81" s="807">
        <f t="shared" si="16"/>
        <v>399</v>
      </c>
      <c r="K81" s="807">
        <f t="shared" si="17"/>
        <v>324</v>
      </c>
      <c r="L81" s="807">
        <f t="shared" si="13"/>
        <v>0</v>
      </c>
      <c r="M81" s="807">
        <f t="shared" si="14"/>
        <v>700</v>
      </c>
      <c r="N81" s="804">
        <f t="shared" si="11"/>
        <v>0</v>
      </c>
      <c r="O81" s="806"/>
      <c r="P81" s="806">
        <f t="shared" si="12"/>
        <v>723</v>
      </c>
    </row>
    <row r="82" spans="1:16" s="389" customFormat="1" ht="24.95" customHeight="1">
      <c r="A82" s="1641"/>
      <c r="B82" s="892" t="str">
        <f t="shared" si="18"/>
        <v>2012년</v>
      </c>
      <c r="C82" s="893">
        <v>964301</v>
      </c>
      <c r="D82" s="893">
        <v>407048</v>
      </c>
      <c r="E82" s="894">
        <v>75695</v>
      </c>
      <c r="F82" s="894">
        <v>0</v>
      </c>
      <c r="G82" s="895">
        <v>481558</v>
      </c>
      <c r="H82" s="896">
        <v>0</v>
      </c>
      <c r="I82" s="386"/>
      <c r="J82" s="807">
        <f t="shared" si="16"/>
        <v>1115</v>
      </c>
      <c r="K82" s="807">
        <f t="shared" si="17"/>
        <v>207</v>
      </c>
      <c r="L82" s="807">
        <f t="shared" si="13"/>
        <v>0</v>
      </c>
      <c r="M82" s="807">
        <f t="shared" si="14"/>
        <v>1319</v>
      </c>
      <c r="N82" s="804">
        <f t="shared" si="11"/>
        <v>0</v>
      </c>
      <c r="O82" s="806"/>
      <c r="P82" s="806">
        <f t="shared" si="12"/>
        <v>1322</v>
      </c>
    </row>
    <row r="83" spans="1:16" s="389" customFormat="1" ht="24.95" customHeight="1">
      <c r="A83" s="1641"/>
      <c r="B83" s="892" t="str">
        <f t="shared" si="18"/>
        <v>2013년</v>
      </c>
      <c r="C83" s="893">
        <v>1099806</v>
      </c>
      <c r="D83" s="893">
        <v>421013</v>
      </c>
      <c r="E83" s="894">
        <v>95972</v>
      </c>
      <c r="F83" s="894">
        <v>0</v>
      </c>
      <c r="G83" s="895">
        <v>582821</v>
      </c>
      <c r="H83" s="896">
        <v>0</v>
      </c>
      <c r="I83" s="386"/>
      <c r="J83" s="807">
        <f t="shared" si="16"/>
        <v>1153</v>
      </c>
      <c r="K83" s="807">
        <f t="shared" si="17"/>
        <v>263</v>
      </c>
      <c r="L83" s="807">
        <f t="shared" si="13"/>
        <v>0</v>
      </c>
      <c r="M83" s="807">
        <f t="shared" si="14"/>
        <v>1597</v>
      </c>
      <c r="N83" s="804">
        <f t="shared" si="11"/>
        <v>0</v>
      </c>
      <c r="O83" s="806"/>
      <c r="P83" s="806">
        <f t="shared" si="12"/>
        <v>1416</v>
      </c>
    </row>
    <row r="84" spans="1:16" s="389" customFormat="1" ht="24.95" customHeight="1">
      <c r="A84" s="1642"/>
      <c r="B84" s="897" t="str">
        <f t="shared" si="18"/>
        <v>2014년</v>
      </c>
      <c r="C84" s="898">
        <v>1151280</v>
      </c>
      <c r="D84" s="898">
        <v>438973</v>
      </c>
      <c r="E84" s="899">
        <v>100457</v>
      </c>
      <c r="F84" s="899">
        <v>0</v>
      </c>
      <c r="G84" s="900">
        <v>611850</v>
      </c>
      <c r="H84" s="901"/>
      <c r="J84" s="807">
        <f t="shared" si="16"/>
        <v>1203</v>
      </c>
      <c r="K84" s="807">
        <f t="shared" si="17"/>
        <v>275</v>
      </c>
      <c r="L84" s="807">
        <f t="shared" si="13"/>
        <v>0</v>
      </c>
      <c r="M84" s="807">
        <f t="shared" si="14"/>
        <v>1676</v>
      </c>
      <c r="N84" s="804">
        <f t="shared" si="11"/>
        <v>0</v>
      </c>
      <c r="O84" s="806"/>
      <c r="P84" s="806">
        <f t="shared" si="12"/>
        <v>1478</v>
      </c>
    </row>
    <row r="85" spans="1:16" s="389" customFormat="1" ht="24.95" customHeight="1">
      <c r="A85" s="1640" t="s">
        <v>951</v>
      </c>
      <c r="B85" s="750" t="str">
        <f t="shared" si="18"/>
        <v>2005년</v>
      </c>
      <c r="C85" s="888"/>
      <c r="D85" s="888"/>
      <c r="E85" s="889"/>
      <c r="F85" s="889"/>
      <c r="G85" s="890"/>
      <c r="H85" s="891"/>
      <c r="I85" s="387"/>
      <c r="J85" s="807">
        <f t="shared" ref="J85:J114" si="19">ROUND($D85/365,0)</f>
        <v>0</v>
      </c>
      <c r="K85" s="807">
        <f t="shared" ref="K85:K114" si="20">ROUND($E85/365,0)</f>
        <v>0</v>
      </c>
      <c r="L85" s="807">
        <f t="shared" ref="L85:L114" si="21">ROUND($F85/365,0)</f>
        <v>0</v>
      </c>
      <c r="M85" s="807">
        <f t="shared" ref="M85:M114" si="22">ROUND($G85/365,0)</f>
        <v>0</v>
      </c>
      <c r="N85" s="804">
        <f t="shared" si="11"/>
        <v>0</v>
      </c>
      <c r="O85" s="807"/>
      <c r="P85" s="806">
        <f t="shared" si="12"/>
        <v>0</v>
      </c>
    </row>
    <row r="86" spans="1:16" s="389" customFormat="1" ht="24.95" customHeight="1">
      <c r="A86" s="1641"/>
      <c r="B86" s="892" t="str">
        <f t="shared" si="18"/>
        <v>2006년</v>
      </c>
      <c r="C86" s="893"/>
      <c r="D86" s="893"/>
      <c r="E86" s="894"/>
      <c r="F86" s="894"/>
      <c r="G86" s="895"/>
      <c r="H86" s="896"/>
      <c r="I86" s="387"/>
      <c r="J86" s="807">
        <f t="shared" si="19"/>
        <v>0</v>
      </c>
      <c r="K86" s="807">
        <f t="shared" si="20"/>
        <v>0</v>
      </c>
      <c r="L86" s="807">
        <f t="shared" si="21"/>
        <v>0</v>
      </c>
      <c r="M86" s="807">
        <f t="shared" si="22"/>
        <v>0</v>
      </c>
      <c r="N86" s="804">
        <f t="shared" si="11"/>
        <v>0</v>
      </c>
      <c r="O86" s="807"/>
      <c r="P86" s="806">
        <f t="shared" si="12"/>
        <v>0</v>
      </c>
    </row>
    <row r="87" spans="1:16" s="389" customFormat="1" ht="24.95" customHeight="1">
      <c r="A87" s="1641"/>
      <c r="B87" s="892" t="str">
        <f t="shared" si="18"/>
        <v>2007년</v>
      </c>
      <c r="C87" s="893">
        <v>403577</v>
      </c>
      <c r="D87" s="893">
        <v>168419</v>
      </c>
      <c r="E87" s="894">
        <v>192190</v>
      </c>
      <c r="F87" s="894">
        <v>201</v>
      </c>
      <c r="G87" s="895">
        <f t="shared" ref="G87" si="23">G27+G37+G47+G57+G67+G77</f>
        <v>0</v>
      </c>
      <c r="H87" s="896">
        <v>68340</v>
      </c>
      <c r="I87" s="387"/>
      <c r="J87" s="807">
        <f t="shared" si="19"/>
        <v>461</v>
      </c>
      <c r="K87" s="807">
        <f t="shared" si="20"/>
        <v>527</v>
      </c>
      <c r="L87" s="807">
        <f t="shared" si="21"/>
        <v>1</v>
      </c>
      <c r="M87" s="807">
        <f t="shared" si="22"/>
        <v>0</v>
      </c>
      <c r="N87" s="804">
        <f t="shared" si="11"/>
        <v>187</v>
      </c>
      <c r="O87" s="807"/>
      <c r="P87" s="806">
        <f t="shared" si="12"/>
        <v>1176</v>
      </c>
    </row>
    <row r="88" spans="1:16" s="389" customFormat="1" ht="24.95" customHeight="1">
      <c r="A88" s="1641"/>
      <c r="B88" s="892" t="str">
        <f t="shared" si="18"/>
        <v>2008년</v>
      </c>
      <c r="C88" s="893">
        <v>444097</v>
      </c>
      <c r="D88" s="893">
        <v>158976</v>
      </c>
      <c r="E88" s="894">
        <v>280253</v>
      </c>
      <c r="F88" s="894">
        <v>0</v>
      </c>
      <c r="G88" s="895">
        <v>4868</v>
      </c>
      <c r="H88" s="896">
        <f t="shared" ref="H88" si="24">H28+H38+H48+H58+H68+H78</f>
        <v>0</v>
      </c>
      <c r="I88" s="387"/>
      <c r="J88" s="807">
        <f t="shared" si="19"/>
        <v>436</v>
      </c>
      <c r="K88" s="807">
        <f t="shared" si="20"/>
        <v>768</v>
      </c>
      <c r="L88" s="807">
        <f t="shared" si="21"/>
        <v>0</v>
      </c>
      <c r="M88" s="807">
        <f t="shared" si="22"/>
        <v>13</v>
      </c>
      <c r="N88" s="804">
        <f t="shared" si="11"/>
        <v>0</v>
      </c>
      <c r="O88" s="807"/>
      <c r="P88" s="806">
        <f t="shared" si="12"/>
        <v>1204</v>
      </c>
    </row>
    <row r="89" spans="1:16" s="389" customFormat="1" ht="24.95" customHeight="1">
      <c r="A89" s="1641"/>
      <c r="B89" s="892" t="str">
        <f t="shared" si="18"/>
        <v>2009년</v>
      </c>
      <c r="C89" s="893">
        <v>408122</v>
      </c>
      <c r="D89" s="893">
        <v>149719</v>
      </c>
      <c r="E89" s="894">
        <v>254849</v>
      </c>
      <c r="F89" s="894">
        <v>0</v>
      </c>
      <c r="G89" s="895">
        <v>3554</v>
      </c>
      <c r="H89" s="896">
        <f t="shared" ref="H89" si="25">H29+H39+H49+H59+H69+H79</f>
        <v>0</v>
      </c>
      <c r="I89" s="387"/>
      <c r="J89" s="807">
        <f t="shared" si="19"/>
        <v>410</v>
      </c>
      <c r="K89" s="807">
        <f t="shared" si="20"/>
        <v>698</v>
      </c>
      <c r="L89" s="807">
        <f t="shared" si="21"/>
        <v>0</v>
      </c>
      <c r="M89" s="807">
        <f t="shared" si="22"/>
        <v>10</v>
      </c>
      <c r="N89" s="804">
        <f t="shared" ref="N89:N114" si="26">ROUND($H89/365,0)</f>
        <v>0</v>
      </c>
      <c r="O89" s="807"/>
      <c r="P89" s="806">
        <f t="shared" ref="P89:P98" si="27">J89+K89+L89+N89</f>
        <v>1108</v>
      </c>
    </row>
    <row r="90" spans="1:16" s="389" customFormat="1" ht="24.95" customHeight="1">
      <c r="A90" s="1641"/>
      <c r="B90" s="892" t="str">
        <f t="shared" si="18"/>
        <v>2010년</v>
      </c>
      <c r="C90" s="893">
        <v>436656</v>
      </c>
      <c r="D90" s="893">
        <v>176458</v>
      </c>
      <c r="E90" s="894">
        <v>253382</v>
      </c>
      <c r="F90" s="894">
        <v>0</v>
      </c>
      <c r="G90" s="895">
        <v>3681</v>
      </c>
      <c r="H90" s="896">
        <f t="shared" ref="H90" si="28">H30+H40+H50+H60+H70+H80</f>
        <v>0</v>
      </c>
      <c r="I90" s="387"/>
      <c r="J90" s="807">
        <f t="shared" si="19"/>
        <v>483</v>
      </c>
      <c r="K90" s="807">
        <f t="shared" si="20"/>
        <v>694</v>
      </c>
      <c r="L90" s="807">
        <f t="shared" si="21"/>
        <v>0</v>
      </c>
      <c r="M90" s="807">
        <f t="shared" si="22"/>
        <v>10</v>
      </c>
      <c r="N90" s="804">
        <f t="shared" si="26"/>
        <v>0</v>
      </c>
      <c r="O90" s="807"/>
      <c r="P90" s="806">
        <f t="shared" si="27"/>
        <v>1177</v>
      </c>
    </row>
    <row r="91" spans="1:16" s="389" customFormat="1" ht="24.95" customHeight="1">
      <c r="A91" s="1641"/>
      <c r="B91" s="892" t="str">
        <f t="shared" si="18"/>
        <v>2011년</v>
      </c>
      <c r="C91" s="893">
        <v>462352</v>
      </c>
      <c r="D91" s="893">
        <v>183040</v>
      </c>
      <c r="E91" s="894">
        <v>261258</v>
      </c>
      <c r="F91" s="894">
        <v>0</v>
      </c>
      <c r="G91" s="895">
        <v>18054</v>
      </c>
      <c r="H91" s="896">
        <f t="shared" ref="H91" si="29">H31+H41+H51+H61+H71+H81</f>
        <v>0</v>
      </c>
      <c r="I91" s="387"/>
      <c r="J91" s="807">
        <f t="shared" si="19"/>
        <v>501</v>
      </c>
      <c r="K91" s="807">
        <f t="shared" si="20"/>
        <v>716</v>
      </c>
      <c r="L91" s="807">
        <f t="shared" si="21"/>
        <v>0</v>
      </c>
      <c r="M91" s="807">
        <f t="shared" si="22"/>
        <v>49</v>
      </c>
      <c r="N91" s="804">
        <f t="shared" si="26"/>
        <v>0</v>
      </c>
      <c r="O91" s="807"/>
      <c r="P91" s="806">
        <f t="shared" si="27"/>
        <v>1217</v>
      </c>
    </row>
    <row r="92" spans="1:16" s="389" customFormat="1" ht="24.95" customHeight="1">
      <c r="A92" s="1641"/>
      <c r="B92" s="892" t="str">
        <f t="shared" si="18"/>
        <v>2012년</v>
      </c>
      <c r="C92" s="893">
        <v>554876</v>
      </c>
      <c r="D92" s="893">
        <v>211884</v>
      </c>
      <c r="E92" s="894">
        <v>285315</v>
      </c>
      <c r="F92" s="894">
        <v>0</v>
      </c>
      <c r="G92" s="895">
        <v>57677</v>
      </c>
      <c r="H92" s="896">
        <f t="shared" ref="H92" si="30">H32+H42+H52+H62+H72+H82</f>
        <v>0</v>
      </c>
      <c r="I92" s="387"/>
      <c r="J92" s="807">
        <f t="shared" si="19"/>
        <v>581</v>
      </c>
      <c r="K92" s="807">
        <f t="shared" si="20"/>
        <v>782</v>
      </c>
      <c r="L92" s="807">
        <f t="shared" si="21"/>
        <v>0</v>
      </c>
      <c r="M92" s="807">
        <f t="shared" si="22"/>
        <v>158</v>
      </c>
      <c r="N92" s="804">
        <f t="shared" si="26"/>
        <v>0</v>
      </c>
      <c r="O92" s="807"/>
      <c r="P92" s="806">
        <f t="shared" si="27"/>
        <v>1363</v>
      </c>
    </row>
    <row r="93" spans="1:16" s="389" customFormat="1" ht="24.95" customHeight="1">
      <c r="A93" s="1641"/>
      <c r="B93" s="892" t="str">
        <f t="shared" si="18"/>
        <v>2013년</v>
      </c>
      <c r="C93" s="893">
        <v>526500</v>
      </c>
      <c r="D93" s="893">
        <v>246516</v>
      </c>
      <c r="E93" s="894">
        <v>232009</v>
      </c>
      <c r="F93" s="894">
        <v>0</v>
      </c>
      <c r="G93" s="895">
        <v>47975</v>
      </c>
      <c r="H93" s="896">
        <f t="shared" ref="H93" si="31">H33+H43+H53+H63+H73+H83</f>
        <v>0</v>
      </c>
      <c r="I93" s="387"/>
      <c r="J93" s="807">
        <f t="shared" si="19"/>
        <v>675</v>
      </c>
      <c r="K93" s="807">
        <f t="shared" si="20"/>
        <v>636</v>
      </c>
      <c r="L93" s="807">
        <f t="shared" si="21"/>
        <v>0</v>
      </c>
      <c r="M93" s="807">
        <f t="shared" si="22"/>
        <v>131</v>
      </c>
      <c r="N93" s="804">
        <f t="shared" si="26"/>
        <v>0</v>
      </c>
      <c r="O93" s="807"/>
      <c r="P93" s="806">
        <f t="shared" si="27"/>
        <v>1311</v>
      </c>
    </row>
    <row r="94" spans="1:16" s="389" customFormat="1" ht="24.95" customHeight="1">
      <c r="A94" s="1642"/>
      <c r="B94" s="897" t="str">
        <f t="shared" si="18"/>
        <v>2014년</v>
      </c>
      <c r="C94" s="898">
        <v>557744</v>
      </c>
      <c r="D94" s="898">
        <v>252789</v>
      </c>
      <c r="E94" s="899">
        <v>233058</v>
      </c>
      <c r="F94" s="899">
        <v>0</v>
      </c>
      <c r="G94" s="900">
        <v>71897</v>
      </c>
      <c r="H94" s="901">
        <f t="shared" ref="H94" si="32">H34+H44+H54+H64+H74+H84</f>
        <v>0</v>
      </c>
      <c r="I94" s="385"/>
      <c r="J94" s="807">
        <f t="shared" si="19"/>
        <v>693</v>
      </c>
      <c r="K94" s="807">
        <f t="shared" si="20"/>
        <v>639</v>
      </c>
      <c r="L94" s="807">
        <f t="shared" si="21"/>
        <v>0</v>
      </c>
      <c r="M94" s="807">
        <f t="shared" si="22"/>
        <v>197</v>
      </c>
      <c r="N94" s="804">
        <f t="shared" si="26"/>
        <v>0</v>
      </c>
      <c r="O94" s="805"/>
      <c r="P94" s="806">
        <f t="shared" si="27"/>
        <v>1332</v>
      </c>
    </row>
    <row r="95" spans="1:16" s="389" customFormat="1" ht="24.95" customHeight="1">
      <c r="A95" s="1640" t="s">
        <v>952</v>
      </c>
      <c r="B95" s="750" t="str">
        <f t="shared" si="18"/>
        <v>2005년</v>
      </c>
      <c r="C95" s="888"/>
      <c r="D95" s="888"/>
      <c r="E95" s="889"/>
      <c r="F95" s="889"/>
      <c r="G95" s="890"/>
      <c r="H95" s="891"/>
      <c r="I95" s="387"/>
      <c r="J95" s="807">
        <f t="shared" si="19"/>
        <v>0</v>
      </c>
      <c r="K95" s="807">
        <f t="shared" si="20"/>
        <v>0</v>
      </c>
      <c r="L95" s="807">
        <f t="shared" si="21"/>
        <v>0</v>
      </c>
      <c r="M95" s="807">
        <f t="shared" si="22"/>
        <v>0</v>
      </c>
      <c r="N95" s="804">
        <f t="shared" si="26"/>
        <v>0</v>
      </c>
      <c r="O95" s="807"/>
      <c r="P95" s="806">
        <f t="shared" si="27"/>
        <v>0</v>
      </c>
    </row>
    <row r="96" spans="1:16" s="389" customFormat="1" ht="24.95" customHeight="1">
      <c r="A96" s="1641"/>
      <c r="B96" s="892" t="str">
        <f t="shared" si="18"/>
        <v>2006년</v>
      </c>
      <c r="C96" s="893"/>
      <c r="D96" s="893"/>
      <c r="E96" s="894"/>
      <c r="F96" s="894"/>
      <c r="G96" s="895"/>
      <c r="H96" s="896"/>
      <c r="I96" s="387"/>
      <c r="J96" s="807">
        <f t="shared" si="19"/>
        <v>0</v>
      </c>
      <c r="K96" s="807">
        <f t="shared" si="20"/>
        <v>0</v>
      </c>
      <c r="L96" s="807">
        <f t="shared" si="21"/>
        <v>0</v>
      </c>
      <c r="M96" s="807">
        <f t="shared" si="22"/>
        <v>0</v>
      </c>
      <c r="N96" s="804">
        <f t="shared" si="26"/>
        <v>0</v>
      </c>
      <c r="O96" s="807"/>
      <c r="P96" s="806">
        <f t="shared" si="27"/>
        <v>0</v>
      </c>
    </row>
    <row r="97" spans="1:16" s="389" customFormat="1" ht="24.95" customHeight="1">
      <c r="A97" s="1641"/>
      <c r="B97" s="892" t="str">
        <f t="shared" si="18"/>
        <v>2007년</v>
      </c>
      <c r="C97" s="893">
        <v>742443</v>
      </c>
      <c r="D97" s="893">
        <v>481712</v>
      </c>
      <c r="E97" s="894">
        <v>192190</v>
      </c>
      <c r="F97" s="894">
        <v>201</v>
      </c>
      <c r="G97" s="895">
        <f t="shared" ref="G97" si="33">G37+G47+G57+G67+G77+G87</f>
        <v>0</v>
      </c>
      <c r="H97" s="896">
        <v>68340</v>
      </c>
      <c r="I97" s="387"/>
      <c r="J97" s="807">
        <f t="shared" si="19"/>
        <v>1320</v>
      </c>
      <c r="K97" s="807">
        <f t="shared" si="20"/>
        <v>527</v>
      </c>
      <c r="L97" s="807">
        <f t="shared" si="21"/>
        <v>1</v>
      </c>
      <c r="M97" s="807">
        <f t="shared" si="22"/>
        <v>0</v>
      </c>
      <c r="N97" s="804">
        <f t="shared" si="26"/>
        <v>187</v>
      </c>
      <c r="O97" s="807"/>
      <c r="P97" s="806">
        <f t="shared" si="27"/>
        <v>2035</v>
      </c>
    </row>
    <row r="98" spans="1:16" s="389" customFormat="1" ht="24.95" customHeight="1">
      <c r="A98" s="1641"/>
      <c r="B98" s="892" t="str">
        <f t="shared" si="18"/>
        <v>2008년</v>
      </c>
      <c r="C98" s="893">
        <v>748287</v>
      </c>
      <c r="D98" s="893">
        <v>485805</v>
      </c>
      <c r="E98" s="894">
        <v>196901</v>
      </c>
      <c r="F98" s="894">
        <v>151</v>
      </c>
      <c r="G98" s="895">
        <v>65430</v>
      </c>
      <c r="H98" s="896">
        <f t="shared" ref="H98" si="34">H38+H48+H58+H68+H78+H88</f>
        <v>0</v>
      </c>
      <c r="I98" s="387"/>
      <c r="J98" s="807">
        <f t="shared" si="19"/>
        <v>1331</v>
      </c>
      <c r="K98" s="807">
        <f t="shared" si="20"/>
        <v>539</v>
      </c>
      <c r="L98" s="807">
        <f t="shared" si="21"/>
        <v>0</v>
      </c>
      <c r="M98" s="807">
        <f t="shared" si="22"/>
        <v>179</v>
      </c>
      <c r="N98" s="804">
        <f t="shared" si="26"/>
        <v>0</v>
      </c>
      <c r="O98" s="807"/>
      <c r="P98" s="806">
        <f t="shared" si="27"/>
        <v>1870</v>
      </c>
    </row>
    <row r="99" spans="1:16" s="389" customFormat="1" ht="24.95" customHeight="1">
      <c r="A99" s="1641"/>
      <c r="B99" s="892" t="str">
        <f t="shared" si="18"/>
        <v>2009년</v>
      </c>
      <c r="C99" s="893">
        <v>717490</v>
      </c>
      <c r="D99" s="893">
        <v>467386</v>
      </c>
      <c r="E99" s="894">
        <v>189337</v>
      </c>
      <c r="F99" s="894">
        <v>107</v>
      </c>
      <c r="G99" s="895">
        <v>60660</v>
      </c>
      <c r="H99" s="896">
        <f t="shared" ref="H99" si="35">H39+H49+H59+H69+H79+H89</f>
        <v>0</v>
      </c>
      <c r="I99" s="387"/>
      <c r="J99" s="807">
        <f t="shared" si="19"/>
        <v>1281</v>
      </c>
      <c r="K99" s="807">
        <f t="shared" si="20"/>
        <v>519</v>
      </c>
      <c r="L99" s="807">
        <f t="shared" si="21"/>
        <v>0</v>
      </c>
      <c r="M99" s="807">
        <f t="shared" si="22"/>
        <v>166</v>
      </c>
      <c r="N99" s="804">
        <f t="shared" si="26"/>
        <v>0</v>
      </c>
      <c r="O99" s="807"/>
      <c r="P99" s="806">
        <f t="shared" ref="P99:P108" si="36">J99+K99+L99+N99</f>
        <v>1800</v>
      </c>
    </row>
    <row r="100" spans="1:16" s="389" customFormat="1" ht="24.95" customHeight="1">
      <c r="A100" s="1641"/>
      <c r="B100" s="892" t="str">
        <f t="shared" si="18"/>
        <v>2010년</v>
      </c>
      <c r="C100" s="893">
        <v>797542</v>
      </c>
      <c r="D100" s="893">
        <v>533457</v>
      </c>
      <c r="E100" s="894">
        <v>203679</v>
      </c>
      <c r="F100" s="894">
        <v>0</v>
      </c>
      <c r="G100" s="895">
        <v>52620</v>
      </c>
      <c r="H100" s="896">
        <f t="shared" ref="H100" si="37">H40+H50+H60+H70+H80+H90</f>
        <v>0</v>
      </c>
      <c r="I100" s="387"/>
      <c r="J100" s="807">
        <f t="shared" si="19"/>
        <v>1462</v>
      </c>
      <c r="K100" s="807">
        <f t="shared" si="20"/>
        <v>558</v>
      </c>
      <c r="L100" s="807">
        <f t="shared" si="21"/>
        <v>0</v>
      </c>
      <c r="M100" s="807">
        <f t="shared" si="22"/>
        <v>144</v>
      </c>
      <c r="N100" s="804">
        <f t="shared" si="26"/>
        <v>0</v>
      </c>
      <c r="O100" s="807"/>
      <c r="P100" s="806">
        <f t="shared" si="36"/>
        <v>2020</v>
      </c>
    </row>
    <row r="101" spans="1:16" s="389" customFormat="1" ht="24.95" customHeight="1">
      <c r="A101" s="1641"/>
      <c r="B101" s="892" t="str">
        <f t="shared" si="18"/>
        <v>2011년</v>
      </c>
      <c r="C101" s="893">
        <v>904052</v>
      </c>
      <c r="D101" s="893">
        <v>585262</v>
      </c>
      <c r="E101" s="894">
        <v>211480</v>
      </c>
      <c r="F101" s="894">
        <v>63</v>
      </c>
      <c r="G101" s="895">
        <v>107247</v>
      </c>
      <c r="H101" s="896">
        <f t="shared" ref="H101" si="38">H41+H51+H61+H71+H81+H91</f>
        <v>0</v>
      </c>
      <c r="I101" s="387"/>
      <c r="J101" s="807">
        <f t="shared" si="19"/>
        <v>1603</v>
      </c>
      <c r="K101" s="807">
        <f t="shared" si="20"/>
        <v>579</v>
      </c>
      <c r="L101" s="807">
        <f t="shared" si="21"/>
        <v>0</v>
      </c>
      <c r="M101" s="807">
        <f t="shared" si="22"/>
        <v>294</v>
      </c>
      <c r="N101" s="804">
        <f t="shared" si="26"/>
        <v>0</v>
      </c>
      <c r="O101" s="807"/>
      <c r="P101" s="806">
        <f t="shared" si="36"/>
        <v>2182</v>
      </c>
    </row>
    <row r="102" spans="1:16" s="389" customFormat="1" ht="24.95" customHeight="1">
      <c r="A102" s="1641"/>
      <c r="B102" s="892" t="str">
        <f t="shared" si="18"/>
        <v>2012년</v>
      </c>
      <c r="C102" s="893">
        <v>916554</v>
      </c>
      <c r="D102" s="893">
        <v>596025</v>
      </c>
      <c r="E102" s="894">
        <v>202305</v>
      </c>
      <c r="F102" s="894">
        <v>360</v>
      </c>
      <c r="G102" s="895">
        <v>117819</v>
      </c>
      <c r="H102" s="896">
        <f t="shared" ref="H102" si="39">H42+H52+H62+H72+H82+H92</f>
        <v>0</v>
      </c>
      <c r="I102" s="387"/>
      <c r="J102" s="807">
        <f t="shared" si="19"/>
        <v>1633</v>
      </c>
      <c r="K102" s="807">
        <f t="shared" si="20"/>
        <v>554</v>
      </c>
      <c r="L102" s="807">
        <f t="shared" si="21"/>
        <v>1</v>
      </c>
      <c r="M102" s="807">
        <f t="shared" si="22"/>
        <v>323</v>
      </c>
      <c r="N102" s="804">
        <f t="shared" si="26"/>
        <v>0</v>
      </c>
      <c r="O102" s="807"/>
      <c r="P102" s="806">
        <f t="shared" si="36"/>
        <v>2188</v>
      </c>
    </row>
    <row r="103" spans="1:16" s="389" customFormat="1" ht="24.95" customHeight="1">
      <c r="A103" s="1641"/>
      <c r="B103" s="892" t="str">
        <f t="shared" si="18"/>
        <v>2013년</v>
      </c>
      <c r="C103" s="893">
        <v>942689</v>
      </c>
      <c r="D103" s="893">
        <v>616855</v>
      </c>
      <c r="E103" s="894">
        <v>206020</v>
      </c>
      <c r="F103" s="894">
        <v>307</v>
      </c>
      <c r="G103" s="895">
        <v>119507</v>
      </c>
      <c r="H103" s="896">
        <f t="shared" ref="H103" si="40">H43+H53+H63+H73+H83+H93</f>
        <v>0</v>
      </c>
      <c r="I103" s="387"/>
      <c r="J103" s="807">
        <f t="shared" si="19"/>
        <v>1690</v>
      </c>
      <c r="K103" s="807">
        <f t="shared" si="20"/>
        <v>564</v>
      </c>
      <c r="L103" s="807">
        <f t="shared" si="21"/>
        <v>1</v>
      </c>
      <c r="M103" s="807">
        <f t="shared" si="22"/>
        <v>327</v>
      </c>
      <c r="N103" s="804">
        <f t="shared" si="26"/>
        <v>0</v>
      </c>
      <c r="O103" s="807"/>
      <c r="P103" s="806">
        <f t="shared" si="36"/>
        <v>2255</v>
      </c>
    </row>
    <row r="104" spans="1:16" s="389" customFormat="1" ht="24.95" customHeight="1">
      <c r="A104" s="1642"/>
      <c r="B104" s="897" t="str">
        <f t="shared" si="18"/>
        <v>2014년</v>
      </c>
      <c r="C104" s="898">
        <v>989020</v>
      </c>
      <c r="D104" s="898">
        <v>655378</v>
      </c>
      <c r="E104" s="899">
        <v>216584</v>
      </c>
      <c r="F104" s="899">
        <v>0</v>
      </c>
      <c r="G104" s="900">
        <v>117058</v>
      </c>
      <c r="H104" s="901">
        <f t="shared" ref="H104" si="41">H44+H54+H64+H74+H84+H94</f>
        <v>0</v>
      </c>
      <c r="I104" s="385"/>
      <c r="J104" s="807">
        <f t="shared" si="19"/>
        <v>1796</v>
      </c>
      <c r="K104" s="807">
        <f t="shared" si="20"/>
        <v>593</v>
      </c>
      <c r="L104" s="807">
        <f t="shared" si="21"/>
        <v>0</v>
      </c>
      <c r="M104" s="807">
        <f t="shared" si="22"/>
        <v>321</v>
      </c>
      <c r="N104" s="804">
        <f t="shared" si="26"/>
        <v>0</v>
      </c>
      <c r="O104" s="805"/>
      <c r="P104" s="806">
        <f t="shared" si="36"/>
        <v>2389</v>
      </c>
    </row>
    <row r="105" spans="1:16" s="389" customFormat="1" ht="24.95" customHeight="1">
      <c r="A105" s="1640" t="s">
        <v>667</v>
      </c>
      <c r="B105" s="750" t="str">
        <f t="shared" si="18"/>
        <v>2005년</v>
      </c>
      <c r="C105" s="888">
        <f>C35+C45+C55+C65+C75+C85+C95</f>
        <v>0</v>
      </c>
      <c r="D105" s="888">
        <f t="shared" ref="D105:H105" si="42">D35+D45+D55+D65+D75+D85+D95</f>
        <v>0</v>
      </c>
      <c r="E105" s="889">
        <f t="shared" si="42"/>
        <v>0</v>
      </c>
      <c r="F105" s="889">
        <f t="shared" si="42"/>
        <v>0</v>
      </c>
      <c r="G105" s="890">
        <f t="shared" si="42"/>
        <v>0</v>
      </c>
      <c r="H105" s="891">
        <f t="shared" si="42"/>
        <v>0</v>
      </c>
      <c r="I105" s="387"/>
      <c r="J105" s="807">
        <f t="shared" si="19"/>
        <v>0</v>
      </c>
      <c r="K105" s="807">
        <f t="shared" si="20"/>
        <v>0</v>
      </c>
      <c r="L105" s="807">
        <f t="shared" si="21"/>
        <v>0</v>
      </c>
      <c r="M105" s="807">
        <f t="shared" si="22"/>
        <v>0</v>
      </c>
      <c r="N105" s="804">
        <f t="shared" si="26"/>
        <v>0</v>
      </c>
      <c r="O105" s="807"/>
      <c r="P105" s="806">
        <f t="shared" si="36"/>
        <v>0</v>
      </c>
    </row>
    <row r="106" spans="1:16" s="389" customFormat="1" ht="24.95" customHeight="1">
      <c r="A106" s="1641"/>
      <c r="B106" s="892" t="str">
        <f t="shared" si="18"/>
        <v>2006년</v>
      </c>
      <c r="C106" s="893">
        <f t="shared" ref="C106:H106" si="43">C36+C46+C56+C66+C76+C86+C96</f>
        <v>0</v>
      </c>
      <c r="D106" s="893">
        <f t="shared" si="43"/>
        <v>0</v>
      </c>
      <c r="E106" s="894">
        <f t="shared" si="43"/>
        <v>0</v>
      </c>
      <c r="F106" s="894">
        <f t="shared" si="43"/>
        <v>0</v>
      </c>
      <c r="G106" s="895">
        <f t="shared" si="43"/>
        <v>0</v>
      </c>
      <c r="H106" s="896">
        <f t="shared" si="43"/>
        <v>0</v>
      </c>
      <c r="I106" s="387"/>
      <c r="J106" s="807">
        <f t="shared" si="19"/>
        <v>0</v>
      </c>
      <c r="K106" s="807">
        <f t="shared" si="20"/>
        <v>0</v>
      </c>
      <c r="L106" s="807">
        <f t="shared" si="21"/>
        <v>0</v>
      </c>
      <c r="M106" s="807">
        <f t="shared" si="22"/>
        <v>0</v>
      </c>
      <c r="N106" s="804">
        <f t="shared" si="26"/>
        <v>0</v>
      </c>
      <c r="O106" s="807"/>
      <c r="P106" s="806">
        <f t="shared" si="36"/>
        <v>0</v>
      </c>
    </row>
    <row r="107" spans="1:16" s="389" customFormat="1" ht="24.95" customHeight="1">
      <c r="A107" s="1641"/>
      <c r="B107" s="892" t="str">
        <f t="shared" si="18"/>
        <v>2007년</v>
      </c>
      <c r="C107" s="893">
        <f t="shared" ref="C107:H107" si="44">C37+C47+C57+C67+C77+C87+C97</f>
        <v>3964077</v>
      </c>
      <c r="D107" s="893">
        <f t="shared" si="44"/>
        <v>1356165</v>
      </c>
      <c r="E107" s="894">
        <f t="shared" si="44"/>
        <v>795881</v>
      </c>
      <c r="F107" s="894">
        <f t="shared" si="44"/>
        <v>420</v>
      </c>
      <c r="G107" s="895">
        <f t="shared" si="44"/>
        <v>0</v>
      </c>
      <c r="H107" s="896">
        <f t="shared" si="44"/>
        <v>1837184</v>
      </c>
      <c r="I107" s="387"/>
      <c r="J107" s="807">
        <f t="shared" si="19"/>
        <v>3716</v>
      </c>
      <c r="K107" s="807">
        <f t="shared" si="20"/>
        <v>2180</v>
      </c>
      <c r="L107" s="807">
        <f t="shared" si="21"/>
        <v>1</v>
      </c>
      <c r="M107" s="807">
        <f t="shared" si="22"/>
        <v>0</v>
      </c>
      <c r="N107" s="804">
        <f t="shared" si="26"/>
        <v>5033</v>
      </c>
      <c r="O107" s="807"/>
      <c r="P107" s="806">
        <f t="shared" si="36"/>
        <v>10930</v>
      </c>
    </row>
    <row r="108" spans="1:16" s="389" customFormat="1" ht="24.95" customHeight="1">
      <c r="A108" s="1641"/>
      <c r="B108" s="892" t="str">
        <f t="shared" si="18"/>
        <v>2008년</v>
      </c>
      <c r="C108" s="893">
        <f t="shared" ref="C108:H108" si="45">C38+C48+C58+C68+C78+C88+C98</f>
        <v>4743938</v>
      </c>
      <c r="D108" s="893">
        <f t="shared" si="45"/>
        <v>1461954</v>
      </c>
      <c r="E108" s="894">
        <f t="shared" si="45"/>
        <v>753531</v>
      </c>
      <c r="F108" s="894">
        <f t="shared" si="45"/>
        <v>8190</v>
      </c>
      <c r="G108" s="895">
        <f t="shared" si="45"/>
        <v>2520263</v>
      </c>
      <c r="H108" s="896">
        <f t="shared" si="45"/>
        <v>0</v>
      </c>
      <c r="I108" s="387"/>
      <c r="J108" s="807">
        <f t="shared" si="19"/>
        <v>4005</v>
      </c>
      <c r="K108" s="807">
        <f t="shared" si="20"/>
        <v>2064</v>
      </c>
      <c r="L108" s="807">
        <f t="shared" si="21"/>
        <v>22</v>
      </c>
      <c r="M108" s="807">
        <f t="shared" si="22"/>
        <v>6905</v>
      </c>
      <c r="N108" s="804">
        <f t="shared" si="26"/>
        <v>0</v>
      </c>
      <c r="O108" s="807"/>
      <c r="P108" s="806">
        <f t="shared" si="36"/>
        <v>6091</v>
      </c>
    </row>
    <row r="109" spans="1:16" s="389" customFormat="1" ht="24.95" customHeight="1">
      <c r="A109" s="1641"/>
      <c r="B109" s="892" t="str">
        <f t="shared" si="18"/>
        <v>2009년</v>
      </c>
      <c r="C109" s="893">
        <f t="shared" ref="C109:H109" si="46">C39+C49+C59+C69+C79+C89+C99</f>
        <v>4732921</v>
      </c>
      <c r="D109" s="893">
        <f t="shared" si="46"/>
        <v>1548499</v>
      </c>
      <c r="E109" s="894">
        <f t="shared" si="46"/>
        <v>722321</v>
      </c>
      <c r="F109" s="894">
        <f t="shared" si="46"/>
        <v>6202</v>
      </c>
      <c r="G109" s="895">
        <f t="shared" si="46"/>
        <v>2455899</v>
      </c>
      <c r="H109" s="896">
        <f t="shared" si="46"/>
        <v>0</v>
      </c>
      <c r="I109" s="387"/>
      <c r="J109" s="807">
        <f t="shared" si="19"/>
        <v>4242</v>
      </c>
      <c r="K109" s="807">
        <f t="shared" si="20"/>
        <v>1979</v>
      </c>
      <c r="L109" s="807">
        <f t="shared" si="21"/>
        <v>17</v>
      </c>
      <c r="M109" s="807">
        <f t="shared" si="22"/>
        <v>6728</v>
      </c>
      <c r="N109" s="804">
        <f t="shared" si="26"/>
        <v>0</v>
      </c>
      <c r="O109" s="807"/>
      <c r="P109" s="806">
        <f t="shared" ref="P109:P114" si="47">J109+K109+L109+N109</f>
        <v>6238</v>
      </c>
    </row>
    <row r="110" spans="1:16" s="389" customFormat="1" ht="24.95" customHeight="1">
      <c r="A110" s="1641"/>
      <c r="B110" s="892" t="str">
        <f t="shared" si="18"/>
        <v>2010년</v>
      </c>
      <c r="C110" s="893">
        <f t="shared" ref="C110:H110" si="48">C40+C50+C60+C70+C80+C90+C100</f>
        <v>5559265</v>
      </c>
      <c r="D110" s="893">
        <f t="shared" si="48"/>
        <v>1761148</v>
      </c>
      <c r="E110" s="894">
        <f t="shared" si="48"/>
        <v>831440</v>
      </c>
      <c r="F110" s="894">
        <f t="shared" si="48"/>
        <v>6913</v>
      </c>
      <c r="G110" s="895">
        <f t="shared" si="48"/>
        <v>2941960</v>
      </c>
      <c r="H110" s="896">
        <f t="shared" si="48"/>
        <v>0</v>
      </c>
      <c r="I110" s="387"/>
      <c r="J110" s="807">
        <f t="shared" si="19"/>
        <v>4825</v>
      </c>
      <c r="K110" s="807">
        <f t="shared" si="20"/>
        <v>2278</v>
      </c>
      <c r="L110" s="807">
        <f t="shared" si="21"/>
        <v>19</v>
      </c>
      <c r="M110" s="807">
        <f t="shared" si="22"/>
        <v>8060</v>
      </c>
      <c r="N110" s="804">
        <f t="shared" si="26"/>
        <v>0</v>
      </c>
      <c r="O110" s="807"/>
      <c r="P110" s="806">
        <f t="shared" si="47"/>
        <v>7122</v>
      </c>
    </row>
    <row r="111" spans="1:16" s="389" customFormat="1" ht="24.95" customHeight="1">
      <c r="A111" s="1641"/>
      <c r="B111" s="892" t="str">
        <f t="shared" si="18"/>
        <v>2011년</v>
      </c>
      <c r="C111" s="893">
        <f t="shared" ref="C111:H111" si="49">C41+C51+C61+C71+C81+C91+C101</f>
        <v>6558618</v>
      </c>
      <c r="D111" s="893">
        <f t="shared" si="49"/>
        <v>2026301</v>
      </c>
      <c r="E111" s="894">
        <f t="shared" si="49"/>
        <v>3020437</v>
      </c>
      <c r="F111" s="894">
        <f t="shared" si="49"/>
        <v>63</v>
      </c>
      <c r="G111" s="895">
        <f t="shared" si="49"/>
        <v>3611817</v>
      </c>
      <c r="H111" s="896">
        <f t="shared" si="49"/>
        <v>0</v>
      </c>
      <c r="I111" s="387"/>
      <c r="J111" s="807">
        <f t="shared" si="19"/>
        <v>5552</v>
      </c>
      <c r="K111" s="807">
        <f t="shared" si="20"/>
        <v>8275</v>
      </c>
      <c r="L111" s="807">
        <f t="shared" si="21"/>
        <v>0</v>
      </c>
      <c r="M111" s="807">
        <f t="shared" si="22"/>
        <v>9895</v>
      </c>
      <c r="N111" s="804">
        <f t="shared" si="26"/>
        <v>0</v>
      </c>
      <c r="O111" s="807"/>
      <c r="P111" s="806">
        <f t="shared" si="47"/>
        <v>13827</v>
      </c>
    </row>
    <row r="112" spans="1:16" s="389" customFormat="1" ht="24.95" customHeight="1">
      <c r="A112" s="1641"/>
      <c r="B112" s="892" t="str">
        <f t="shared" si="18"/>
        <v>2012년</v>
      </c>
      <c r="C112" s="893">
        <f t="shared" ref="C112:H112" si="50">C42+C52+C62+C72+C82+C92+C102</f>
        <v>7549937</v>
      </c>
      <c r="D112" s="893">
        <f t="shared" si="50"/>
        <v>2451652</v>
      </c>
      <c r="E112" s="894">
        <f t="shared" si="50"/>
        <v>859419</v>
      </c>
      <c r="F112" s="894">
        <f t="shared" si="50"/>
        <v>360</v>
      </c>
      <c r="G112" s="895">
        <f t="shared" si="50"/>
        <v>4238461</v>
      </c>
      <c r="H112" s="896">
        <f t="shared" si="50"/>
        <v>0</v>
      </c>
      <c r="I112" s="387"/>
      <c r="J112" s="807">
        <f t="shared" si="19"/>
        <v>6717</v>
      </c>
      <c r="K112" s="807">
        <f t="shared" si="20"/>
        <v>2355</v>
      </c>
      <c r="L112" s="807">
        <f t="shared" si="21"/>
        <v>1</v>
      </c>
      <c r="M112" s="807">
        <f t="shared" si="22"/>
        <v>11612</v>
      </c>
      <c r="N112" s="804">
        <f t="shared" si="26"/>
        <v>0</v>
      </c>
      <c r="O112" s="807"/>
      <c r="P112" s="806">
        <f t="shared" si="47"/>
        <v>9073</v>
      </c>
    </row>
    <row r="113" spans="1:16" s="389" customFormat="1" ht="24.95" customHeight="1">
      <c r="A113" s="1641"/>
      <c r="B113" s="892" t="str">
        <f t="shared" si="18"/>
        <v>2013년</v>
      </c>
      <c r="C113" s="893">
        <f t="shared" ref="C113:H113" si="51">C43+C53+C63+C73+C83+C93+C103</f>
        <v>7660471</v>
      </c>
      <c r="D113" s="893">
        <f t="shared" si="51"/>
        <v>2640472</v>
      </c>
      <c r="E113" s="894">
        <f t="shared" si="51"/>
        <v>863331</v>
      </c>
      <c r="F113" s="894">
        <f t="shared" si="51"/>
        <v>307</v>
      </c>
      <c r="G113" s="895">
        <f t="shared" si="51"/>
        <v>4156361</v>
      </c>
      <c r="H113" s="896">
        <f t="shared" si="51"/>
        <v>0</v>
      </c>
      <c r="I113" s="387"/>
      <c r="J113" s="807">
        <f t="shared" si="19"/>
        <v>7234</v>
      </c>
      <c r="K113" s="807">
        <f t="shared" si="20"/>
        <v>2365</v>
      </c>
      <c r="L113" s="807">
        <f t="shared" si="21"/>
        <v>1</v>
      </c>
      <c r="M113" s="807">
        <f t="shared" si="22"/>
        <v>11387</v>
      </c>
      <c r="N113" s="804">
        <f t="shared" si="26"/>
        <v>0</v>
      </c>
      <c r="O113" s="807"/>
      <c r="P113" s="806">
        <f t="shared" si="47"/>
        <v>9600</v>
      </c>
    </row>
    <row r="114" spans="1:16" s="389" customFormat="1" ht="24.95" customHeight="1">
      <c r="A114" s="1642"/>
      <c r="B114" s="897" t="str">
        <f t="shared" si="18"/>
        <v>2014년</v>
      </c>
      <c r="C114" s="898">
        <f t="shared" ref="C114:H114" si="52">C44+C54+C64+C74+C84+C94+C104</f>
        <v>8231318</v>
      </c>
      <c r="D114" s="898">
        <f t="shared" si="52"/>
        <v>2882981</v>
      </c>
      <c r="E114" s="899">
        <f t="shared" si="52"/>
        <v>936728</v>
      </c>
      <c r="F114" s="899">
        <f t="shared" si="52"/>
        <v>0</v>
      </c>
      <c r="G114" s="900">
        <f t="shared" si="52"/>
        <v>4411609</v>
      </c>
      <c r="H114" s="901">
        <f t="shared" si="52"/>
        <v>0</v>
      </c>
      <c r="I114" s="385"/>
      <c r="J114" s="807">
        <f t="shared" si="19"/>
        <v>7899</v>
      </c>
      <c r="K114" s="807">
        <f t="shared" si="20"/>
        <v>2566</v>
      </c>
      <c r="L114" s="807">
        <f t="shared" si="21"/>
        <v>0</v>
      </c>
      <c r="M114" s="807">
        <f t="shared" si="22"/>
        <v>12087</v>
      </c>
      <c r="N114" s="804">
        <f t="shared" si="26"/>
        <v>0</v>
      </c>
      <c r="O114" s="805"/>
      <c r="P114" s="806">
        <f t="shared" si="47"/>
        <v>10465</v>
      </c>
    </row>
  </sheetData>
  <mergeCells count="18">
    <mergeCell ref="A45:A54"/>
    <mergeCell ref="A55:A64"/>
    <mergeCell ref="A105:A114"/>
    <mergeCell ref="A25:A34"/>
    <mergeCell ref="A65:A74"/>
    <mergeCell ref="A95:A104"/>
    <mergeCell ref="A75:A84"/>
    <mergeCell ref="A85:A94"/>
    <mergeCell ref="A35:A44"/>
    <mergeCell ref="H3:H4"/>
    <mergeCell ref="A3:B4"/>
    <mergeCell ref="A5:A14"/>
    <mergeCell ref="A15:A24"/>
    <mergeCell ref="D3:D4"/>
    <mergeCell ref="C3:C4"/>
    <mergeCell ref="G3:G4"/>
    <mergeCell ref="E3:E4"/>
    <mergeCell ref="F3:F4"/>
  </mergeCells>
  <phoneticPr fontId="7" type="noConversion"/>
  <pageMargins left="0.75" right="0.75" top="1" bottom="1" header="0.5" footer="0.5"/>
  <pageSetup paperSize="9" scale="8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2251" t="s">
        <v>1594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439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2010</v>
      </c>
      <c r="C7" s="840"/>
      <c r="D7" s="844">
        <f>+'삼성면(10년)'!D12</f>
        <v>362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1000</v>
      </c>
      <c r="L7" s="203"/>
      <c r="M7" s="203"/>
      <c r="N7" s="203"/>
      <c r="O7" s="203"/>
    </row>
    <row r="8" spans="1:15" ht="15" customHeight="1">
      <c r="A8" s="203"/>
      <c r="B8" s="840">
        <v>2011</v>
      </c>
      <c r="C8" s="840"/>
      <c r="D8" s="844">
        <f>+'삼성면(10년)'!D13</f>
        <v>123</v>
      </c>
      <c r="E8" s="844"/>
      <c r="F8" s="206">
        <f>D8-D7</f>
        <v>-239</v>
      </c>
      <c r="G8" s="206"/>
      <c r="H8" s="207">
        <f>ROUND(F8/D7*100,2)</f>
        <v>-66.02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v>2012</v>
      </c>
      <c r="C9" s="840"/>
      <c r="D9" s="844">
        <f>+'삼성면(10년)'!D14</f>
        <v>240</v>
      </c>
      <c r="E9" s="844"/>
      <c r="F9" s="206">
        <f>D9-D8</f>
        <v>117</v>
      </c>
      <c r="G9" s="206"/>
      <c r="H9" s="207">
        <f>ROUND(F9/D8*100,2)</f>
        <v>95.12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v>2013</v>
      </c>
      <c r="C10" s="840"/>
      <c r="D10" s="844">
        <f>+'삼성면(10년)'!D15</f>
        <v>214</v>
      </c>
      <c r="E10" s="844"/>
      <c r="F10" s="206">
        <f>D10-D9</f>
        <v>-26</v>
      </c>
      <c r="G10" s="206"/>
      <c r="H10" s="207">
        <f>ROUND(F10/D9*100,2)</f>
        <v>-10.83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v>2014</v>
      </c>
      <c r="C11" s="840"/>
      <c r="D11" s="844">
        <f>+'삼성면(10년)'!D16</f>
        <v>333</v>
      </c>
      <c r="E11" s="844"/>
      <c r="F11" s="206">
        <f>D11-D10</f>
        <v>119</v>
      </c>
      <c r="G11" s="206"/>
      <c r="H11" s="207">
        <f>ROUND(F11/D10*100,2)</f>
        <v>55.61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1272</v>
      </c>
      <c r="E12" s="214"/>
      <c r="F12" s="215"/>
      <c r="G12" s="215"/>
      <c r="H12" s="216">
        <f>SUM(H7:H11)</f>
        <v>73.88000000000001</v>
      </c>
      <c r="I12" s="216"/>
      <c r="J12" s="217">
        <f>ROUND(AVERAGE(H7:H11),1)</f>
        <v>14.8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333</v>
      </c>
      <c r="E21" s="221"/>
      <c r="F21" s="221">
        <v>0</v>
      </c>
      <c r="G21" s="221"/>
      <c r="H21" s="221">
        <f t="shared" ref="H21:H42" si="1">ROUND(D21*(1+F21),0)</f>
        <v>333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326</v>
      </c>
      <c r="E22" s="269"/>
      <c r="F22" s="269">
        <v>0</v>
      </c>
      <c r="G22" s="269"/>
      <c r="H22" s="269">
        <f t="shared" si="1"/>
        <v>326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318</v>
      </c>
      <c r="E23" s="221"/>
      <c r="F23" s="221">
        <v>0</v>
      </c>
      <c r="G23" s="221"/>
      <c r="H23" s="221">
        <f t="shared" si="1"/>
        <v>318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311</v>
      </c>
      <c r="E24" s="221"/>
      <c r="F24" s="221">
        <v>0</v>
      </c>
      <c r="G24" s="221"/>
      <c r="H24" s="221">
        <f t="shared" si="1"/>
        <v>311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304</v>
      </c>
      <c r="E25" s="221"/>
      <c r="F25" s="221">
        <v>0</v>
      </c>
      <c r="G25" s="221"/>
      <c r="H25" s="221">
        <f t="shared" si="1"/>
        <v>304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297</v>
      </c>
      <c r="E26" s="221"/>
      <c r="F26" s="221">
        <v>0</v>
      </c>
      <c r="G26" s="221"/>
      <c r="H26" s="221">
        <f t="shared" si="1"/>
        <v>297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289</v>
      </c>
      <c r="E27" s="269"/>
      <c r="F27" s="269">
        <v>0</v>
      </c>
      <c r="G27" s="269"/>
      <c r="H27" s="269">
        <f t="shared" si="1"/>
        <v>289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282</v>
      </c>
      <c r="E28" s="221"/>
      <c r="F28" s="221">
        <v>0</v>
      </c>
      <c r="G28" s="221"/>
      <c r="H28" s="221">
        <f t="shared" si="1"/>
        <v>282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275</v>
      </c>
      <c r="E29" s="221"/>
      <c r="F29" s="221">
        <v>0</v>
      </c>
      <c r="G29" s="221"/>
      <c r="H29" s="221">
        <f t="shared" si="1"/>
        <v>275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267</v>
      </c>
      <c r="E30" s="221"/>
      <c r="F30" s="221">
        <v>0</v>
      </c>
      <c r="G30" s="221"/>
      <c r="H30" s="221">
        <f t="shared" si="1"/>
        <v>267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260</v>
      </c>
      <c r="E31" s="221"/>
      <c r="F31" s="221">
        <v>0</v>
      </c>
      <c r="G31" s="221"/>
      <c r="H31" s="221">
        <f t="shared" si="1"/>
        <v>260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253</v>
      </c>
      <c r="E32" s="269"/>
      <c r="F32" s="269">
        <v>0</v>
      </c>
      <c r="G32" s="269"/>
      <c r="H32" s="269">
        <f t="shared" si="1"/>
        <v>253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245</v>
      </c>
      <c r="E33" s="221"/>
      <c r="F33" s="221">
        <v>0</v>
      </c>
      <c r="G33" s="221"/>
      <c r="H33" s="221">
        <f t="shared" si="1"/>
        <v>245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238</v>
      </c>
      <c r="E34" s="221"/>
      <c r="F34" s="221">
        <v>0</v>
      </c>
      <c r="G34" s="221"/>
      <c r="H34" s="221">
        <f t="shared" si="1"/>
        <v>238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231</v>
      </c>
      <c r="E35" s="221"/>
      <c r="F35" s="221">
        <v>0</v>
      </c>
      <c r="G35" s="221"/>
      <c r="H35" s="221">
        <f t="shared" si="1"/>
        <v>231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224</v>
      </c>
      <c r="E36" s="221"/>
      <c r="F36" s="221">
        <v>0</v>
      </c>
      <c r="G36" s="221"/>
      <c r="H36" s="221">
        <f t="shared" si="1"/>
        <v>224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216</v>
      </c>
      <c r="E37" s="269"/>
      <c r="F37" s="269">
        <v>0</v>
      </c>
      <c r="G37" s="269"/>
      <c r="H37" s="269">
        <f t="shared" si="1"/>
        <v>216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209</v>
      </c>
      <c r="E38" s="221"/>
      <c r="F38" s="221">
        <v>0</v>
      </c>
      <c r="G38" s="221"/>
      <c r="H38" s="221">
        <f t="shared" si="1"/>
        <v>209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202</v>
      </c>
      <c r="E39" s="221"/>
      <c r="F39" s="221">
        <v>0</v>
      </c>
      <c r="G39" s="221"/>
      <c r="H39" s="221">
        <f t="shared" si="1"/>
        <v>202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194</v>
      </c>
      <c r="E40" s="221"/>
      <c r="F40" s="221">
        <v>0</v>
      </c>
      <c r="G40" s="221"/>
      <c r="H40" s="221">
        <f t="shared" si="1"/>
        <v>194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187</v>
      </c>
      <c r="E41" s="221"/>
      <c r="F41" s="221">
        <v>0</v>
      </c>
      <c r="G41" s="221"/>
      <c r="H41" s="221">
        <f t="shared" si="1"/>
        <v>187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180</v>
      </c>
      <c r="E42" s="269"/>
      <c r="F42" s="269">
        <v>0</v>
      </c>
      <c r="G42" s="269"/>
      <c r="H42" s="269">
        <f t="shared" si="1"/>
        <v>180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333</v>
      </c>
      <c r="F43" s="226"/>
      <c r="G43" s="224" t="s">
        <v>162</v>
      </c>
      <c r="H43" s="224">
        <f>ROUND((D$11-D$7)/(COUNT(D$7:D$11)-1),1)</f>
        <v>-7.3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333</v>
      </c>
      <c r="E55" s="221"/>
      <c r="F55" s="221">
        <v>0</v>
      </c>
      <c r="G55" s="221"/>
      <c r="H55" s="221">
        <f t="shared" ref="H55:H76" si="3">ROUND(D55*(1+F55),0)</f>
        <v>333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326</v>
      </c>
      <c r="E56" s="269"/>
      <c r="F56" s="269">
        <v>0</v>
      </c>
      <c r="G56" s="269"/>
      <c r="H56" s="269">
        <f t="shared" si="3"/>
        <v>326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319</v>
      </c>
      <c r="E57" s="221"/>
      <c r="F57" s="221">
        <v>0</v>
      </c>
      <c r="G57" s="221"/>
      <c r="H57" s="221">
        <f t="shared" si="3"/>
        <v>319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313</v>
      </c>
      <c r="E58" s="221"/>
      <c r="F58" s="221">
        <v>0</v>
      </c>
      <c r="G58" s="221"/>
      <c r="H58" s="221">
        <f t="shared" si="3"/>
        <v>313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306</v>
      </c>
      <c r="E59" s="221"/>
      <c r="F59" s="221">
        <v>0</v>
      </c>
      <c r="G59" s="221"/>
      <c r="H59" s="221">
        <f t="shared" si="3"/>
        <v>306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300</v>
      </c>
      <c r="E60" s="221"/>
      <c r="F60" s="221">
        <v>0</v>
      </c>
      <c r="G60" s="221"/>
      <c r="H60" s="221">
        <f t="shared" si="3"/>
        <v>300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294</v>
      </c>
      <c r="E61" s="269"/>
      <c r="F61" s="269">
        <v>0</v>
      </c>
      <c r="G61" s="269"/>
      <c r="H61" s="269">
        <f t="shared" si="3"/>
        <v>294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288</v>
      </c>
      <c r="E62" s="221"/>
      <c r="F62" s="221">
        <v>0</v>
      </c>
      <c r="G62" s="221"/>
      <c r="H62" s="221">
        <f t="shared" si="3"/>
        <v>288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282</v>
      </c>
      <c r="E63" s="221"/>
      <c r="F63" s="221">
        <v>0</v>
      </c>
      <c r="G63" s="221"/>
      <c r="H63" s="221">
        <f t="shared" si="3"/>
        <v>282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276</v>
      </c>
      <c r="E64" s="221"/>
      <c r="F64" s="221">
        <v>0</v>
      </c>
      <c r="G64" s="221"/>
      <c r="H64" s="221">
        <f t="shared" si="3"/>
        <v>276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270</v>
      </c>
      <c r="E65" s="221"/>
      <c r="F65" s="221">
        <v>0</v>
      </c>
      <c r="G65" s="221"/>
      <c r="H65" s="221">
        <f t="shared" si="3"/>
        <v>270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265</v>
      </c>
      <c r="E66" s="269"/>
      <c r="F66" s="269">
        <v>0</v>
      </c>
      <c r="G66" s="269"/>
      <c r="H66" s="269">
        <f t="shared" si="3"/>
        <v>265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259</v>
      </c>
      <c r="E67" s="221"/>
      <c r="F67" s="221">
        <v>0</v>
      </c>
      <c r="G67" s="221"/>
      <c r="H67" s="221">
        <f t="shared" si="3"/>
        <v>259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254</v>
      </c>
      <c r="E68" s="221"/>
      <c r="F68" s="221">
        <v>0</v>
      </c>
      <c r="G68" s="221"/>
      <c r="H68" s="221">
        <f t="shared" si="3"/>
        <v>254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249</v>
      </c>
      <c r="E69" s="221"/>
      <c r="F69" s="221">
        <v>0</v>
      </c>
      <c r="G69" s="221"/>
      <c r="H69" s="221">
        <f t="shared" si="3"/>
        <v>249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243</v>
      </c>
      <c r="E70" s="221"/>
      <c r="F70" s="221">
        <v>0</v>
      </c>
      <c r="G70" s="221"/>
      <c r="H70" s="221">
        <f t="shared" si="3"/>
        <v>243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238</v>
      </c>
      <c r="E71" s="269"/>
      <c r="F71" s="269">
        <v>0</v>
      </c>
      <c r="G71" s="269"/>
      <c r="H71" s="269">
        <f t="shared" si="3"/>
        <v>238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234</v>
      </c>
      <c r="E72" s="221"/>
      <c r="F72" s="221">
        <v>0</v>
      </c>
      <c r="G72" s="221"/>
      <c r="H72" s="221">
        <f t="shared" si="3"/>
        <v>234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229</v>
      </c>
      <c r="E73" s="221"/>
      <c r="F73" s="221">
        <v>0</v>
      </c>
      <c r="G73" s="221"/>
      <c r="H73" s="221">
        <f t="shared" si="3"/>
        <v>229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224</v>
      </c>
      <c r="E74" s="221"/>
      <c r="F74" s="221">
        <v>0</v>
      </c>
      <c r="G74" s="221"/>
      <c r="H74" s="221">
        <f t="shared" si="3"/>
        <v>224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219</v>
      </c>
      <c r="E75" s="221"/>
      <c r="F75" s="221">
        <v>0</v>
      </c>
      <c r="G75" s="221"/>
      <c r="H75" s="221">
        <f t="shared" si="3"/>
        <v>219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215</v>
      </c>
      <c r="E76" s="269"/>
      <c r="F76" s="269">
        <v>0</v>
      </c>
      <c r="G76" s="269"/>
      <c r="H76" s="269">
        <f t="shared" si="3"/>
        <v>215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333</v>
      </c>
      <c r="F77" s="226"/>
      <c r="G77" s="224" t="s">
        <v>179</v>
      </c>
      <c r="H77" s="224">
        <f>ROUND((E$77/D$7)^(1/(COUNT(D$7:D$11)-1)),6)</f>
        <v>0.97934100000000002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840">
        <f>B7</f>
        <v>2010</v>
      </c>
      <c r="C94" s="840"/>
      <c r="D94" s="208">
        <f>VLOOKUP(B94,B$7:E$11,3,FALSE)</f>
        <v>362</v>
      </c>
      <c r="E94" s="840">
        <f>((COUNT(B$94:B$98)-1)/2)+(B94-$C$4)</f>
        <v>-2</v>
      </c>
      <c r="F94" s="208">
        <f>E94^2</f>
        <v>4</v>
      </c>
      <c r="G94" s="206"/>
      <c r="H94" s="230">
        <f>ROUND(D94*E94,2)</f>
        <v>-724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>B8</f>
        <v>2011</v>
      </c>
      <c r="C95" s="840"/>
      <c r="D95" s="208">
        <f>VLOOKUP(B95,B$7:E$11,3,FALSE)</f>
        <v>123</v>
      </c>
      <c r="E95" s="840">
        <f>((COUNT(B$94:B$98)-1)/2)+(B95-$C$4)</f>
        <v>-1</v>
      </c>
      <c r="F95" s="208">
        <f>E95^2</f>
        <v>1</v>
      </c>
      <c r="G95" s="206"/>
      <c r="H95" s="230">
        <f>ROUND(D95*E95,2)</f>
        <v>-123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>B9</f>
        <v>2012</v>
      </c>
      <c r="C96" s="840"/>
      <c r="D96" s="208">
        <f>VLOOKUP(B96,B$7:E$11,3,FALSE)</f>
        <v>240</v>
      </c>
      <c r="E96" s="840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840">
        <f>B10</f>
        <v>2013</v>
      </c>
      <c r="C97" s="840"/>
      <c r="D97" s="208">
        <f>VLOOKUP(B97,B$7:E$11,3,FALSE)</f>
        <v>214</v>
      </c>
      <c r="E97" s="840">
        <f>((COUNT(B$94:B$98)-1)/2)+(B97-$C$4)</f>
        <v>1</v>
      </c>
      <c r="F97" s="208">
        <f>E97^2</f>
        <v>1</v>
      </c>
      <c r="G97" s="206"/>
      <c r="H97" s="230">
        <f>ROUND(D97*E97,2)</f>
        <v>214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840">
        <f>B11</f>
        <v>2014</v>
      </c>
      <c r="C98" s="840"/>
      <c r="D98" s="208">
        <f>VLOOKUP(B98,B$7:E$11,3,FALSE)</f>
        <v>333</v>
      </c>
      <c r="E98" s="840">
        <f>((COUNT(B$94:B$98)-1)/2)+(B98-$C$4)</f>
        <v>2</v>
      </c>
      <c r="F98" s="208">
        <f>E98^2</f>
        <v>4</v>
      </c>
      <c r="G98" s="206"/>
      <c r="H98" s="230">
        <f>ROUND(D98*E98,2)</f>
        <v>666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1272</v>
      </c>
      <c r="E99" s="215"/>
      <c r="F99" s="233">
        <f>ROUND(SUM(F94:F98),0)</f>
        <v>10</v>
      </c>
      <c r="G99" s="212"/>
      <c r="H99" s="211">
        <f>SUM(H94:H98)</f>
        <v>33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3.3</v>
      </c>
      <c r="H100" s="236" t="s">
        <v>199</v>
      </c>
      <c r="I100" s="201"/>
      <c r="J100" s="201"/>
      <c r="K100" s="201">
        <f>ROUND((F99*D99-H99*E99)/(COUNT(B$94:B$98)*F99-E99*E99),0)</f>
        <v>254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261</v>
      </c>
      <c r="E105" s="221"/>
      <c r="F105" s="221">
        <v>0</v>
      </c>
      <c r="G105" s="221"/>
      <c r="H105" s="221">
        <f t="shared" ref="H105:H126" si="5">ROUND(D105*(1+F105),0)</f>
        <v>261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264</v>
      </c>
      <c r="E106" s="269"/>
      <c r="F106" s="269">
        <v>0</v>
      </c>
      <c r="G106" s="269"/>
      <c r="H106" s="269">
        <f t="shared" si="5"/>
        <v>264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268</v>
      </c>
      <c r="E107" s="221"/>
      <c r="F107" s="221">
        <v>0</v>
      </c>
      <c r="G107" s="221"/>
      <c r="H107" s="221">
        <f t="shared" si="5"/>
        <v>268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271</v>
      </c>
      <c r="E108" s="221"/>
      <c r="F108" s="221">
        <v>0</v>
      </c>
      <c r="G108" s="221"/>
      <c r="H108" s="221">
        <f t="shared" si="5"/>
        <v>271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274</v>
      </c>
      <c r="E109" s="221"/>
      <c r="F109" s="221">
        <v>0</v>
      </c>
      <c r="G109" s="221"/>
      <c r="H109" s="221">
        <f t="shared" si="5"/>
        <v>274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278</v>
      </c>
      <c r="E110" s="221"/>
      <c r="F110" s="221">
        <v>0</v>
      </c>
      <c r="G110" s="221"/>
      <c r="H110" s="221">
        <f t="shared" si="5"/>
        <v>278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281</v>
      </c>
      <c r="E111" s="269"/>
      <c r="F111" s="269">
        <v>0</v>
      </c>
      <c r="G111" s="269"/>
      <c r="H111" s="269">
        <f t="shared" si="5"/>
        <v>281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284</v>
      </c>
      <c r="E112" s="221"/>
      <c r="F112" s="221">
        <v>0</v>
      </c>
      <c r="G112" s="221"/>
      <c r="H112" s="221">
        <f t="shared" si="5"/>
        <v>284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287</v>
      </c>
      <c r="E113" s="221"/>
      <c r="F113" s="221">
        <v>0</v>
      </c>
      <c r="G113" s="221"/>
      <c r="H113" s="221">
        <f t="shared" si="5"/>
        <v>287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291</v>
      </c>
      <c r="E114" s="221"/>
      <c r="F114" s="221">
        <v>0</v>
      </c>
      <c r="G114" s="221"/>
      <c r="H114" s="221">
        <f t="shared" si="5"/>
        <v>291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294</v>
      </c>
      <c r="E115" s="221"/>
      <c r="F115" s="221">
        <v>0</v>
      </c>
      <c r="G115" s="221"/>
      <c r="H115" s="221">
        <f t="shared" si="5"/>
        <v>294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297</v>
      </c>
      <c r="E116" s="269"/>
      <c r="F116" s="269">
        <v>0</v>
      </c>
      <c r="G116" s="269"/>
      <c r="H116" s="269">
        <f t="shared" si="5"/>
        <v>297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301</v>
      </c>
      <c r="E117" s="221"/>
      <c r="F117" s="221">
        <v>0</v>
      </c>
      <c r="G117" s="221"/>
      <c r="H117" s="221">
        <f t="shared" si="5"/>
        <v>301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304</v>
      </c>
      <c r="E118" s="221"/>
      <c r="F118" s="221">
        <v>0</v>
      </c>
      <c r="G118" s="221"/>
      <c r="H118" s="221">
        <f t="shared" si="5"/>
        <v>304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307</v>
      </c>
      <c r="E119" s="221"/>
      <c r="F119" s="221">
        <v>0</v>
      </c>
      <c r="G119" s="221"/>
      <c r="H119" s="221">
        <f t="shared" si="5"/>
        <v>307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311</v>
      </c>
      <c r="E120" s="221"/>
      <c r="F120" s="221">
        <v>0</v>
      </c>
      <c r="G120" s="221"/>
      <c r="H120" s="221">
        <f t="shared" si="5"/>
        <v>311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314</v>
      </c>
      <c r="E121" s="269"/>
      <c r="F121" s="269">
        <v>0</v>
      </c>
      <c r="G121" s="269"/>
      <c r="H121" s="269">
        <f t="shared" si="5"/>
        <v>314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317</v>
      </c>
      <c r="E122" s="221"/>
      <c r="F122" s="221">
        <v>0</v>
      </c>
      <c r="G122" s="221"/>
      <c r="H122" s="221">
        <f t="shared" si="5"/>
        <v>317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320</v>
      </c>
      <c r="E123" s="221"/>
      <c r="F123" s="221">
        <v>0</v>
      </c>
      <c r="G123" s="221"/>
      <c r="H123" s="221">
        <f t="shared" si="5"/>
        <v>320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324</v>
      </c>
      <c r="E124" s="221"/>
      <c r="F124" s="221">
        <v>0</v>
      </c>
      <c r="G124" s="221"/>
      <c r="H124" s="221">
        <f t="shared" si="5"/>
        <v>324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327</v>
      </c>
      <c r="E125" s="221"/>
      <c r="F125" s="221">
        <v>0</v>
      </c>
      <c r="G125" s="221"/>
      <c r="H125" s="221">
        <f t="shared" si="5"/>
        <v>327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330</v>
      </c>
      <c r="E126" s="269"/>
      <c r="F126" s="269">
        <v>0</v>
      </c>
      <c r="G126" s="269"/>
      <c r="H126" s="269">
        <f t="shared" si="5"/>
        <v>330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840">
        <f>B94</f>
        <v>2010</v>
      </c>
      <c r="C136" s="840"/>
      <c r="D136" s="208">
        <f>VLOOKUP(B136,B$7:E$11,3,FALSE)</f>
        <v>362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840">
        <f>B95</f>
        <v>2011</v>
      </c>
      <c r="C137" s="840"/>
      <c r="D137" s="208">
        <f>VLOOKUP(B137,B$7:E$11,3,FALSE)</f>
        <v>123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239</v>
      </c>
      <c r="I137" s="231"/>
      <c r="J137" s="247">
        <f>IF(H137="","",LOG(H137))</f>
        <v>2.3783979009481375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840">
        <f>B96</f>
        <v>2012</v>
      </c>
      <c r="C138" s="840"/>
      <c r="D138" s="208">
        <f>VLOOKUP(B138,B$7:E$11,3,FALSE)</f>
        <v>240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122</v>
      </c>
      <c r="I138" s="231"/>
      <c r="J138" s="247">
        <f>IF(H138="","",LOG(H138))</f>
        <v>2.0863598306747484</v>
      </c>
      <c r="K138" s="247">
        <f>IF(J138="","",J138*F138)</f>
        <v>0.62805689078152405</v>
      </c>
      <c r="L138" s="203"/>
      <c r="M138" s="203"/>
      <c r="N138" s="203"/>
      <c r="O138" s="203"/>
    </row>
    <row r="139" spans="1:15" ht="15" customHeight="1">
      <c r="A139" s="203"/>
      <c r="B139" s="840">
        <f>B97</f>
        <v>2013</v>
      </c>
      <c r="C139" s="840"/>
      <c r="D139" s="208">
        <f>VLOOKUP(B139,B$7:E$11,3,FALSE)</f>
        <v>214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148</v>
      </c>
      <c r="I139" s="231"/>
      <c r="J139" s="247">
        <f>IF(H139="","",LOG(H139))</f>
        <v>2.1702617153949575</v>
      </c>
      <c r="K139" s="247">
        <f>IF(J139="","",J139*F139)</f>
        <v>1.035477992719289</v>
      </c>
      <c r="L139" s="203"/>
      <c r="M139" s="203"/>
      <c r="N139" s="203"/>
      <c r="O139" s="203"/>
    </row>
    <row r="140" spans="1:15" ht="15" customHeight="1">
      <c r="A140" s="203"/>
      <c r="B140" s="840">
        <f>B98</f>
        <v>2014</v>
      </c>
      <c r="C140" s="840"/>
      <c r="D140" s="208">
        <f>VLOOKUP(B140,B$7:E$11,3,FALSE)</f>
        <v>333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29</v>
      </c>
      <c r="I140" s="231"/>
      <c r="J140" s="247">
        <f>IF(H140="","",LOG(H140))</f>
        <v>1.4623979978989561</v>
      </c>
      <c r="K140" s="247">
        <f>IF(J140="","",J140*F140)</f>
        <v>0.88045132593307507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8.0974174449167986</v>
      </c>
      <c r="K141" s="253">
        <f>IF(K140="","",SUM(K136:K140))</f>
        <v>2.5439862094338883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51.271537642846177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-1.2227699999999999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372</v>
      </c>
      <c r="E147" s="257"/>
      <c r="F147" s="844">
        <v>0</v>
      </c>
      <c r="G147" s="844"/>
      <c r="H147" s="844">
        <f t="shared" ref="H147:H168" si="7">ROUND(D147*(1+F147),0)</f>
        <v>372</v>
      </c>
      <c r="I147" s="844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370</v>
      </c>
      <c r="E148" s="271"/>
      <c r="F148" s="272">
        <v>0</v>
      </c>
      <c r="G148" s="272"/>
      <c r="H148" s="272">
        <f t="shared" si="7"/>
        <v>370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368</v>
      </c>
      <c r="E149" s="257"/>
      <c r="F149" s="258">
        <v>0</v>
      </c>
      <c r="G149" s="258"/>
      <c r="H149" s="258">
        <f t="shared" si="7"/>
        <v>368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367</v>
      </c>
      <c r="E150" s="257"/>
      <c r="F150" s="258">
        <v>0</v>
      </c>
      <c r="G150" s="258"/>
      <c r="H150" s="258">
        <f t="shared" si="7"/>
        <v>367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367</v>
      </c>
      <c r="E151" s="257"/>
      <c r="F151" s="258">
        <v>0</v>
      </c>
      <c r="G151" s="258"/>
      <c r="H151" s="258">
        <f t="shared" si="7"/>
        <v>367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366</v>
      </c>
      <c r="E152" s="257"/>
      <c r="F152" s="258">
        <v>0</v>
      </c>
      <c r="G152" s="258"/>
      <c r="H152" s="258">
        <f t="shared" si="7"/>
        <v>366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366</v>
      </c>
      <c r="E153" s="271"/>
      <c r="F153" s="272">
        <v>0</v>
      </c>
      <c r="G153" s="272"/>
      <c r="H153" s="272">
        <f t="shared" si="7"/>
        <v>366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365</v>
      </c>
      <c r="E154" s="257"/>
      <c r="F154" s="258">
        <v>0</v>
      </c>
      <c r="G154" s="258"/>
      <c r="H154" s="258">
        <f t="shared" si="7"/>
        <v>365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365</v>
      </c>
      <c r="E155" s="257"/>
      <c r="F155" s="258">
        <v>0</v>
      </c>
      <c r="G155" s="258"/>
      <c r="H155" s="258">
        <f t="shared" si="7"/>
        <v>365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365</v>
      </c>
      <c r="E156" s="257"/>
      <c r="F156" s="258">
        <v>0</v>
      </c>
      <c r="G156" s="258"/>
      <c r="H156" s="258">
        <f t="shared" si="7"/>
        <v>365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365</v>
      </c>
      <c r="E157" s="257"/>
      <c r="F157" s="258">
        <v>0</v>
      </c>
      <c r="G157" s="258"/>
      <c r="H157" s="258">
        <f t="shared" si="7"/>
        <v>365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364</v>
      </c>
      <c r="E158" s="271"/>
      <c r="F158" s="272">
        <v>0</v>
      </c>
      <c r="G158" s="272"/>
      <c r="H158" s="272">
        <f t="shared" si="7"/>
        <v>364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364</v>
      </c>
      <c r="E159" s="257"/>
      <c r="F159" s="258">
        <v>0</v>
      </c>
      <c r="G159" s="258"/>
      <c r="H159" s="258">
        <f t="shared" si="7"/>
        <v>364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364</v>
      </c>
      <c r="E160" s="257"/>
      <c r="F160" s="258">
        <v>0</v>
      </c>
      <c r="G160" s="258"/>
      <c r="H160" s="258">
        <f t="shared" si="7"/>
        <v>364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364</v>
      </c>
      <c r="E161" s="257"/>
      <c r="F161" s="258">
        <v>0</v>
      </c>
      <c r="G161" s="258"/>
      <c r="H161" s="258">
        <f t="shared" si="7"/>
        <v>364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364</v>
      </c>
      <c r="E162" s="257"/>
      <c r="F162" s="258">
        <v>0</v>
      </c>
      <c r="G162" s="258"/>
      <c r="H162" s="258">
        <f t="shared" si="7"/>
        <v>364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364</v>
      </c>
      <c r="E163" s="271"/>
      <c r="F163" s="272">
        <v>0</v>
      </c>
      <c r="G163" s="272"/>
      <c r="H163" s="272">
        <f t="shared" si="7"/>
        <v>364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364</v>
      </c>
      <c r="E164" s="257"/>
      <c r="F164" s="258">
        <v>0</v>
      </c>
      <c r="G164" s="258"/>
      <c r="H164" s="258">
        <f t="shared" si="7"/>
        <v>364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364</v>
      </c>
      <c r="E165" s="257"/>
      <c r="F165" s="258">
        <v>0</v>
      </c>
      <c r="G165" s="258"/>
      <c r="H165" s="258">
        <f t="shared" si="7"/>
        <v>364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364</v>
      </c>
      <c r="E166" s="257"/>
      <c r="F166" s="258">
        <v>0</v>
      </c>
      <c r="G166" s="258"/>
      <c r="H166" s="258">
        <f t="shared" si="7"/>
        <v>364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364</v>
      </c>
      <c r="E167" s="257"/>
      <c r="F167" s="258">
        <v>0</v>
      </c>
      <c r="G167" s="258"/>
      <c r="H167" s="258">
        <f t="shared" si="7"/>
        <v>364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364</v>
      </c>
      <c r="E168" s="271"/>
      <c r="F168" s="272">
        <v>0</v>
      </c>
      <c r="G168" s="272"/>
      <c r="H168" s="272">
        <f t="shared" si="7"/>
        <v>364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1000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840">
        <f>B136</f>
        <v>2010</v>
      </c>
      <c r="C180" s="840"/>
      <c r="D180" s="208">
        <f>VLOOKUP(B180,B$7:E$11,3,FALSE)</f>
        <v>362</v>
      </c>
      <c r="E180" s="244">
        <f>((COUNT(B$180:B$184)-1)/2)+(B180-$C$4)</f>
        <v>-2</v>
      </c>
      <c r="F180" s="206">
        <f>E180^2</f>
        <v>4</v>
      </c>
      <c r="G180" s="844">
        <f>E$177-D180</f>
        <v>638</v>
      </c>
      <c r="H180" s="259">
        <f>LOG(D180)</f>
        <v>2.5587085705331658</v>
      </c>
      <c r="I180" s="245">
        <f>LOG(G180)</f>
        <v>2.8048206787211623</v>
      </c>
      <c r="J180" s="246">
        <f>H180-I180</f>
        <v>-0.24611210818799645</v>
      </c>
      <c r="K180" s="246">
        <f>E180*J180</f>
        <v>0.4922242163759929</v>
      </c>
      <c r="L180" s="203"/>
      <c r="M180" s="203"/>
      <c r="N180" s="203"/>
      <c r="O180" s="203"/>
    </row>
    <row r="181" spans="1:15" ht="15" customHeight="1">
      <c r="A181" s="203"/>
      <c r="B181" s="840">
        <f>B137</f>
        <v>2011</v>
      </c>
      <c r="C181" s="840"/>
      <c r="D181" s="208">
        <f>VLOOKUP(B181,B$7:E$11,3,FALSE)</f>
        <v>123</v>
      </c>
      <c r="E181" s="244">
        <f>((COUNT(B$180:B$184)-1)/2)+(B181-$C$4)</f>
        <v>-1</v>
      </c>
      <c r="F181" s="206">
        <f>E181^2</f>
        <v>1</v>
      </c>
      <c r="G181" s="844">
        <f>E$177-D181</f>
        <v>877</v>
      </c>
      <c r="H181" s="259">
        <f>LOG(D181)</f>
        <v>2.0899051114393981</v>
      </c>
      <c r="I181" s="245">
        <f>LOG(G181)</f>
        <v>2.9429995933660407</v>
      </c>
      <c r="J181" s="246">
        <f>H181-I181</f>
        <v>-0.85309448192664261</v>
      </c>
      <c r="K181" s="246">
        <f>E181*J181</f>
        <v>0.85309448192664261</v>
      </c>
      <c r="L181" s="203"/>
      <c r="M181" s="203"/>
      <c r="N181" s="203"/>
      <c r="O181" s="203"/>
    </row>
    <row r="182" spans="1:15" ht="15" customHeight="1">
      <c r="A182" s="203"/>
      <c r="B182" s="840">
        <f>B138</f>
        <v>2012</v>
      </c>
      <c r="C182" s="840"/>
      <c r="D182" s="208">
        <f>VLOOKUP(B182,B$7:E$11,3,FALSE)</f>
        <v>240</v>
      </c>
      <c r="E182" s="244">
        <f>((COUNT(B$180:B$184)-1)/2)+(B182-$C$4)</f>
        <v>0</v>
      </c>
      <c r="F182" s="206">
        <f>E182^2</f>
        <v>0</v>
      </c>
      <c r="G182" s="844">
        <f>E$177-D182</f>
        <v>760</v>
      </c>
      <c r="H182" s="259">
        <f>LOG(D182)</f>
        <v>2.3802112417116059</v>
      </c>
      <c r="I182" s="245">
        <f>LOG(G182)</f>
        <v>2.8808135922807914</v>
      </c>
      <c r="J182" s="246">
        <f>H182-I182</f>
        <v>-0.50060235056918545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840">
        <f>B139</f>
        <v>2013</v>
      </c>
      <c r="C183" s="840"/>
      <c r="D183" s="208">
        <f>VLOOKUP(B183,B$7:E$11,3,FALSE)</f>
        <v>214</v>
      </c>
      <c r="E183" s="244">
        <f>((COUNT(B$180:B$184)-1)/2)+(B183-$C$4)</f>
        <v>1</v>
      </c>
      <c r="F183" s="206">
        <f>E183^2</f>
        <v>1</v>
      </c>
      <c r="G183" s="844">
        <f>E$177-D183</f>
        <v>786</v>
      </c>
      <c r="H183" s="259">
        <f>LOG(D183)</f>
        <v>2.330413773349191</v>
      </c>
      <c r="I183" s="245">
        <f>LOG(G183)</f>
        <v>2.8954225460394079</v>
      </c>
      <c r="J183" s="246">
        <f>H183-I183</f>
        <v>-0.56500877269021688</v>
      </c>
      <c r="K183" s="246">
        <f>E183*J183</f>
        <v>-0.56500877269021688</v>
      </c>
      <c r="L183" s="203"/>
      <c r="M183" s="203"/>
      <c r="N183" s="203"/>
      <c r="O183" s="203"/>
    </row>
    <row r="184" spans="1:15" ht="15" customHeight="1">
      <c r="A184" s="203"/>
      <c r="B184" s="840">
        <f>B140</f>
        <v>2014</v>
      </c>
      <c r="C184" s="840"/>
      <c r="D184" s="208">
        <f>VLOOKUP(B184,B$7:E$11,3,FALSE)</f>
        <v>333</v>
      </c>
      <c r="E184" s="244">
        <f>((COUNT(B$180:B$184)-1)/2)+(B184-$C$4)</f>
        <v>2</v>
      </c>
      <c r="F184" s="206">
        <f>E184^2</f>
        <v>4</v>
      </c>
      <c r="G184" s="844">
        <f>E$177-D184</f>
        <v>667</v>
      </c>
      <c r="H184" s="259">
        <f>LOG(D184)</f>
        <v>2.5224442335063197</v>
      </c>
      <c r="I184" s="245">
        <f>LOG(G184)</f>
        <v>2.8241258339165491</v>
      </c>
      <c r="J184" s="246">
        <f>H184-I184</f>
        <v>-0.3016816004102294</v>
      </c>
      <c r="K184" s="246">
        <f>E184*J184</f>
        <v>-0.6033632008204588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1272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-2.4664993137842708</v>
      </c>
      <c r="K185" s="263">
        <f>SUM(K180:K184)</f>
        <v>0.17694672479195983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1.1358600000000001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4.0743000000000001E-2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279</v>
      </c>
      <c r="E192" s="208"/>
      <c r="F192" s="208">
        <v>0</v>
      </c>
      <c r="G192" s="208"/>
      <c r="H192" s="208">
        <f t="shared" ref="H192:H213" si="9">ROUND(D192*(1+F192),0)</f>
        <v>279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287</v>
      </c>
      <c r="E193" s="269"/>
      <c r="F193" s="269">
        <v>0</v>
      </c>
      <c r="G193" s="269"/>
      <c r="H193" s="269">
        <f t="shared" si="9"/>
        <v>287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296</v>
      </c>
      <c r="E194" s="221"/>
      <c r="F194" s="221">
        <v>0</v>
      </c>
      <c r="G194" s="221"/>
      <c r="H194" s="221">
        <f t="shared" si="9"/>
        <v>296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304</v>
      </c>
      <c r="E195" s="221"/>
      <c r="F195" s="221">
        <v>0</v>
      </c>
      <c r="G195" s="221"/>
      <c r="H195" s="221">
        <f t="shared" si="9"/>
        <v>304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313</v>
      </c>
      <c r="E196" s="221"/>
      <c r="F196" s="221">
        <v>0</v>
      </c>
      <c r="G196" s="221"/>
      <c r="H196" s="221">
        <f t="shared" si="9"/>
        <v>313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322</v>
      </c>
      <c r="E197" s="221"/>
      <c r="F197" s="221">
        <v>0</v>
      </c>
      <c r="G197" s="221"/>
      <c r="H197" s="221">
        <f t="shared" si="9"/>
        <v>322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331</v>
      </c>
      <c r="E198" s="269"/>
      <c r="F198" s="269">
        <v>0</v>
      </c>
      <c r="G198" s="269"/>
      <c r="H198" s="269">
        <f t="shared" si="9"/>
        <v>331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340</v>
      </c>
      <c r="E199" s="221"/>
      <c r="F199" s="221">
        <v>0</v>
      </c>
      <c r="G199" s="221"/>
      <c r="H199" s="221">
        <f t="shared" si="9"/>
        <v>340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349</v>
      </c>
      <c r="E200" s="221"/>
      <c r="F200" s="221">
        <v>0</v>
      </c>
      <c r="G200" s="221"/>
      <c r="H200" s="221">
        <f t="shared" si="9"/>
        <v>349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358</v>
      </c>
      <c r="E201" s="221"/>
      <c r="F201" s="221">
        <v>0</v>
      </c>
      <c r="G201" s="221"/>
      <c r="H201" s="221">
        <f t="shared" si="9"/>
        <v>358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368</v>
      </c>
      <c r="E202" s="221"/>
      <c r="F202" s="221">
        <v>0</v>
      </c>
      <c r="G202" s="221"/>
      <c r="H202" s="221">
        <f t="shared" si="9"/>
        <v>368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377</v>
      </c>
      <c r="E203" s="269"/>
      <c r="F203" s="269">
        <v>0</v>
      </c>
      <c r="G203" s="269"/>
      <c r="H203" s="269">
        <f t="shared" si="9"/>
        <v>377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387</v>
      </c>
      <c r="E204" s="221"/>
      <c r="F204" s="221">
        <v>0</v>
      </c>
      <c r="G204" s="221"/>
      <c r="H204" s="221">
        <f t="shared" si="9"/>
        <v>387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396</v>
      </c>
      <c r="E205" s="221"/>
      <c r="F205" s="221">
        <v>0</v>
      </c>
      <c r="G205" s="221"/>
      <c r="H205" s="221">
        <f t="shared" si="9"/>
        <v>396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406</v>
      </c>
      <c r="E206" s="221"/>
      <c r="F206" s="221">
        <v>0</v>
      </c>
      <c r="G206" s="221"/>
      <c r="H206" s="221">
        <f t="shared" si="9"/>
        <v>406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416</v>
      </c>
      <c r="E207" s="221"/>
      <c r="F207" s="221">
        <v>0</v>
      </c>
      <c r="G207" s="221"/>
      <c r="H207" s="221">
        <f t="shared" si="9"/>
        <v>416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426</v>
      </c>
      <c r="E208" s="269"/>
      <c r="F208" s="269">
        <v>0</v>
      </c>
      <c r="G208" s="269"/>
      <c r="H208" s="269">
        <f t="shared" si="9"/>
        <v>426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436</v>
      </c>
      <c r="E209" s="221"/>
      <c r="F209" s="221">
        <v>0</v>
      </c>
      <c r="G209" s="221"/>
      <c r="H209" s="221">
        <f t="shared" si="9"/>
        <v>436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446</v>
      </c>
      <c r="E210" s="221"/>
      <c r="F210" s="221">
        <v>0</v>
      </c>
      <c r="G210" s="221"/>
      <c r="H210" s="221">
        <f t="shared" si="9"/>
        <v>446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456</v>
      </c>
      <c r="E211" s="221"/>
      <c r="F211" s="221">
        <v>0</v>
      </c>
      <c r="G211" s="221"/>
      <c r="H211" s="221">
        <f t="shared" si="9"/>
        <v>456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466</v>
      </c>
      <c r="E212" s="221"/>
      <c r="F212" s="221">
        <v>0</v>
      </c>
      <c r="G212" s="221"/>
      <c r="H212" s="221">
        <f t="shared" si="9"/>
        <v>466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476</v>
      </c>
      <c r="E213" s="269"/>
      <c r="F213" s="269">
        <v>0</v>
      </c>
      <c r="G213" s="269"/>
      <c r="H213" s="269">
        <f t="shared" si="9"/>
        <v>476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333</v>
      </c>
      <c r="E221" s="257">
        <f t="array" ref="E221">IF(B55=B221,H55)</f>
        <v>333</v>
      </c>
      <c r="F221" s="257">
        <f t="array" ref="F221">IF(B105=B221,H105)</f>
        <v>261</v>
      </c>
      <c r="G221" s="257">
        <f t="array" ref="G221">IF(B147=B221,H147)</f>
        <v>372</v>
      </c>
      <c r="H221" s="257">
        <f t="array" ref="H221">IF(B192=B221,H192)</f>
        <v>279</v>
      </c>
      <c r="I221" s="257">
        <f t="shared" ref="I221:I242" si="10">IF(G221=0,AVERAGE(D221,E221,F221,H221),AVERAGE(D221:H221))</f>
        <v>315.60000000000002</v>
      </c>
      <c r="J221" s="266">
        <f t="shared" ref="J221:J242" si="11">ROUND(AVERAGE(D221,F221:G221),0)</f>
        <v>322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326</v>
      </c>
      <c r="E222" s="271">
        <f t="array" ref="E222">IF(B56=B222,H56)</f>
        <v>326</v>
      </c>
      <c r="F222" s="271">
        <f t="array" ref="F222">IF(B106=B222,H106)</f>
        <v>264</v>
      </c>
      <c r="G222" s="271">
        <f t="array" ref="G222">IF(B148=B222,H148)</f>
        <v>370</v>
      </c>
      <c r="H222" s="271">
        <f t="array" ref="H222">IF(B193=B222,H193)</f>
        <v>287</v>
      </c>
      <c r="I222" s="271">
        <f t="shared" si="10"/>
        <v>314.60000000000002</v>
      </c>
      <c r="J222" s="273">
        <f t="shared" si="11"/>
        <v>320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318</v>
      </c>
      <c r="E223" s="257">
        <f t="array" ref="E223">IF(B57=B223,H57)</f>
        <v>319</v>
      </c>
      <c r="F223" s="257">
        <f t="array" ref="F223">IF(B107=B223,H107)</f>
        <v>268</v>
      </c>
      <c r="G223" s="257">
        <f t="array" ref="G223">IF(B149=B223,H149)</f>
        <v>368</v>
      </c>
      <c r="H223" s="257">
        <f t="array" ref="H223">IF(B194=B223,H194)</f>
        <v>296</v>
      </c>
      <c r="I223" s="257">
        <f t="shared" si="10"/>
        <v>313.8</v>
      </c>
      <c r="J223" s="266">
        <f t="shared" si="11"/>
        <v>318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311</v>
      </c>
      <c r="E224" s="257">
        <f t="array" ref="E224">IF(B58=B224,H58)</f>
        <v>313</v>
      </c>
      <c r="F224" s="257">
        <f t="array" ref="F224">IF(B108=B224,H108)</f>
        <v>271</v>
      </c>
      <c r="G224" s="257">
        <f t="array" ref="G224">IF(B150=B224,H150)</f>
        <v>367</v>
      </c>
      <c r="H224" s="257">
        <f t="array" ref="H224">IF(B195=B224,H195)</f>
        <v>304</v>
      </c>
      <c r="I224" s="257">
        <f t="shared" si="10"/>
        <v>313.2</v>
      </c>
      <c r="J224" s="266">
        <f t="shared" si="11"/>
        <v>316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304</v>
      </c>
      <c r="E225" s="257">
        <f t="array" ref="E225">IF(B59=B225,H59)</f>
        <v>306</v>
      </c>
      <c r="F225" s="257">
        <f t="array" ref="F225">IF(B109=B225,H109)</f>
        <v>274</v>
      </c>
      <c r="G225" s="257">
        <f t="array" ref="G225">IF(B151=B225,H151)</f>
        <v>367</v>
      </c>
      <c r="H225" s="257">
        <f t="array" ref="H225">IF(B196=B225,H196)</f>
        <v>313</v>
      </c>
      <c r="I225" s="257">
        <f t="shared" si="10"/>
        <v>312.8</v>
      </c>
      <c r="J225" s="266">
        <f t="shared" si="11"/>
        <v>315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297</v>
      </c>
      <c r="E226" s="257">
        <f t="array" ref="E226">IF(B60=B226,H60)</f>
        <v>300</v>
      </c>
      <c r="F226" s="257">
        <f t="array" ref="F226">IF(B110=B226,H110)</f>
        <v>278</v>
      </c>
      <c r="G226" s="257">
        <f t="array" ref="G226">IF(B152=B226,H152)</f>
        <v>366</v>
      </c>
      <c r="H226" s="257">
        <f t="array" ref="H226">IF(B197=B226,H197)</f>
        <v>322</v>
      </c>
      <c r="I226" s="257">
        <f t="shared" si="10"/>
        <v>312.60000000000002</v>
      </c>
      <c r="J226" s="266">
        <f t="shared" si="11"/>
        <v>314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289</v>
      </c>
      <c r="E227" s="271">
        <f t="array" ref="E227">IF(B61=B227,H61)</f>
        <v>294</v>
      </c>
      <c r="F227" s="271">
        <f t="array" ref="F227">IF(B111=B227,H111)</f>
        <v>281</v>
      </c>
      <c r="G227" s="271">
        <f t="array" ref="G227">IF(B153=B227,H153)</f>
        <v>366</v>
      </c>
      <c r="H227" s="271">
        <f t="array" ref="H227">IF(B198=B227,H198)</f>
        <v>331</v>
      </c>
      <c r="I227" s="271">
        <f t="shared" si="10"/>
        <v>312.2</v>
      </c>
      <c r="J227" s="273">
        <f t="shared" si="11"/>
        <v>312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282</v>
      </c>
      <c r="E228" s="257">
        <f t="array" ref="E228">IF(B62=B228,H62)</f>
        <v>288</v>
      </c>
      <c r="F228" s="257">
        <f t="array" ref="F228">IF(B112=B228,H112)</f>
        <v>284</v>
      </c>
      <c r="G228" s="257">
        <f t="array" ref="G228">IF(B154=B228,H154)</f>
        <v>365</v>
      </c>
      <c r="H228" s="257">
        <f t="array" ref="H228">IF(B199=B228,H199)</f>
        <v>340</v>
      </c>
      <c r="I228" s="257">
        <f t="shared" si="10"/>
        <v>311.8</v>
      </c>
      <c r="J228" s="266">
        <f t="shared" si="11"/>
        <v>310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275</v>
      </c>
      <c r="E229" s="257">
        <f t="array" ref="E229">IF(B63=B229,H63)</f>
        <v>282</v>
      </c>
      <c r="F229" s="257">
        <f t="array" ref="F229">IF(B113=B229,H113)</f>
        <v>287</v>
      </c>
      <c r="G229" s="257">
        <f t="array" ref="G229">IF(B155=B229,H155)</f>
        <v>365</v>
      </c>
      <c r="H229" s="257">
        <f t="array" ref="H229">IF(B200=B229,H200)</f>
        <v>349</v>
      </c>
      <c r="I229" s="257">
        <f t="shared" si="10"/>
        <v>311.60000000000002</v>
      </c>
      <c r="J229" s="266">
        <f t="shared" si="11"/>
        <v>309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267</v>
      </c>
      <c r="E230" s="257">
        <f t="array" ref="E230">IF(B64=B230,H64)</f>
        <v>276</v>
      </c>
      <c r="F230" s="257">
        <f t="array" ref="F230">IF(B114=B230,H114)</f>
        <v>291</v>
      </c>
      <c r="G230" s="257">
        <f t="array" ref="G230">IF(B156=B230,H156)</f>
        <v>365</v>
      </c>
      <c r="H230" s="257">
        <f t="array" ref="H230">IF(B201=B230,H201)</f>
        <v>358</v>
      </c>
      <c r="I230" s="257">
        <f t="shared" si="10"/>
        <v>311.39999999999998</v>
      </c>
      <c r="J230" s="266">
        <f t="shared" si="11"/>
        <v>308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260</v>
      </c>
      <c r="E231" s="257">
        <f t="array" ref="E231">IF(B65=B231,H65)</f>
        <v>270</v>
      </c>
      <c r="F231" s="257">
        <f t="array" ref="F231">IF(B115=B231,H115)</f>
        <v>294</v>
      </c>
      <c r="G231" s="257">
        <f t="array" ref="G231">IF(B157=B231,H157)</f>
        <v>365</v>
      </c>
      <c r="H231" s="257">
        <f t="array" ref="H231">IF(B202=B231,H202)</f>
        <v>368</v>
      </c>
      <c r="I231" s="257">
        <f t="shared" si="10"/>
        <v>311.39999999999998</v>
      </c>
      <c r="J231" s="266">
        <f t="shared" si="11"/>
        <v>306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253</v>
      </c>
      <c r="E232" s="271">
        <f t="array" ref="E232">IF(B66=B232,H66)</f>
        <v>265</v>
      </c>
      <c r="F232" s="271">
        <f t="array" ref="F232">IF(B116=B232,H116)</f>
        <v>297</v>
      </c>
      <c r="G232" s="271">
        <f t="array" ref="G232">IF(B158=B232,H158)</f>
        <v>364</v>
      </c>
      <c r="H232" s="271">
        <f t="array" ref="H232">IF(B203=B232,H203)</f>
        <v>377</v>
      </c>
      <c r="I232" s="271">
        <f t="shared" si="10"/>
        <v>311.2</v>
      </c>
      <c r="J232" s="273">
        <f t="shared" si="11"/>
        <v>305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245</v>
      </c>
      <c r="E233" s="257">
        <f t="array" ref="E233">IF(B67=B233,H67)</f>
        <v>259</v>
      </c>
      <c r="F233" s="257">
        <f t="array" ref="F233">IF(B117=B233,H117)</f>
        <v>301</v>
      </c>
      <c r="G233" s="257">
        <f t="array" ref="G233">IF(B159=B233,H159)</f>
        <v>364</v>
      </c>
      <c r="H233" s="257">
        <f t="array" ref="H233">IF(B204=B233,H204)</f>
        <v>387</v>
      </c>
      <c r="I233" s="257">
        <f t="shared" si="10"/>
        <v>311.2</v>
      </c>
      <c r="J233" s="266">
        <f t="shared" si="11"/>
        <v>303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238</v>
      </c>
      <c r="E234" s="257">
        <f t="array" ref="E234">IF(B68=B234,H68)</f>
        <v>254</v>
      </c>
      <c r="F234" s="257">
        <f t="array" ref="F234">IF(B118=B234,H118)</f>
        <v>304</v>
      </c>
      <c r="G234" s="257">
        <f t="array" ref="G234">IF(B160=B234,H160)</f>
        <v>364</v>
      </c>
      <c r="H234" s="257">
        <f t="array" ref="H234">IF(B205=B234,H205)</f>
        <v>396</v>
      </c>
      <c r="I234" s="257">
        <f t="shared" si="10"/>
        <v>311.2</v>
      </c>
      <c r="J234" s="266">
        <f t="shared" si="11"/>
        <v>302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231</v>
      </c>
      <c r="E235" s="257">
        <f t="array" ref="E235">IF(B69=B235,H69)</f>
        <v>249</v>
      </c>
      <c r="F235" s="257">
        <f t="array" ref="F235">IF(B119=B235,H119)</f>
        <v>307</v>
      </c>
      <c r="G235" s="257">
        <f t="array" ref="G235">IF(B161=B235,H161)</f>
        <v>364</v>
      </c>
      <c r="H235" s="257">
        <f t="array" ref="H235">IF(B206=B235,H206)</f>
        <v>406</v>
      </c>
      <c r="I235" s="257">
        <f t="shared" si="10"/>
        <v>311.39999999999998</v>
      </c>
      <c r="J235" s="266">
        <f t="shared" si="11"/>
        <v>301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224</v>
      </c>
      <c r="E236" s="257">
        <f t="array" ref="E236">IF(B70=B236,H70)</f>
        <v>243</v>
      </c>
      <c r="F236" s="257">
        <f t="array" ref="F236">IF(B120=B236,H120)</f>
        <v>311</v>
      </c>
      <c r="G236" s="257">
        <f t="array" ref="G236">IF(B162=B236,H162)</f>
        <v>364</v>
      </c>
      <c r="H236" s="257">
        <f t="array" ref="H236">IF(B207=B236,H207)</f>
        <v>416</v>
      </c>
      <c r="I236" s="257">
        <f t="shared" si="10"/>
        <v>311.60000000000002</v>
      </c>
      <c r="J236" s="266">
        <f t="shared" si="11"/>
        <v>300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216</v>
      </c>
      <c r="E237" s="271">
        <f t="array" ref="E237">IF(B71=B237,H71)</f>
        <v>238</v>
      </c>
      <c r="F237" s="271">
        <f t="array" ref="F237">IF(B121=B237,H121)</f>
        <v>314</v>
      </c>
      <c r="G237" s="271">
        <f t="array" ref="G237">IF(B163=B237,H163)</f>
        <v>364</v>
      </c>
      <c r="H237" s="271">
        <f t="array" ref="H237">IF(B208=B237,H208)</f>
        <v>426</v>
      </c>
      <c r="I237" s="271">
        <f t="shared" si="10"/>
        <v>311.60000000000002</v>
      </c>
      <c r="J237" s="273">
        <f t="shared" si="11"/>
        <v>298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209</v>
      </c>
      <c r="E238" s="257">
        <f t="array" ref="E238">IF(B72=B238,H72)</f>
        <v>234</v>
      </c>
      <c r="F238" s="257">
        <f t="array" ref="F238">IF(B122=B238,H122)</f>
        <v>317</v>
      </c>
      <c r="G238" s="257">
        <f t="array" ref="G238">IF(B164=B238,H164)</f>
        <v>364</v>
      </c>
      <c r="H238" s="257">
        <f t="array" ref="H238">IF(B209=B238,H209)</f>
        <v>436</v>
      </c>
      <c r="I238" s="257">
        <f t="shared" si="10"/>
        <v>312</v>
      </c>
      <c r="J238" s="266">
        <f t="shared" si="11"/>
        <v>297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202</v>
      </c>
      <c r="E239" s="257">
        <f t="array" ref="E239">IF(B73=B239,H73)</f>
        <v>229</v>
      </c>
      <c r="F239" s="257">
        <f t="array" ref="F239">IF(B123=B239,H123)</f>
        <v>320</v>
      </c>
      <c r="G239" s="257">
        <f t="array" ref="G239">IF(B165=B239,H165)</f>
        <v>364</v>
      </c>
      <c r="H239" s="257">
        <f t="array" ref="H239">IF(B210=B239,H210)</f>
        <v>446</v>
      </c>
      <c r="I239" s="257">
        <f t="shared" si="10"/>
        <v>312.2</v>
      </c>
      <c r="J239" s="266">
        <f t="shared" si="11"/>
        <v>295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194</v>
      </c>
      <c r="E240" s="257">
        <f t="array" ref="E240">IF(B74=B240,H74)</f>
        <v>224</v>
      </c>
      <c r="F240" s="257">
        <f t="array" ref="F240">IF(B124=B240,H124)</f>
        <v>324</v>
      </c>
      <c r="G240" s="257">
        <f t="array" ref="G240">IF(B166=B240,H166)</f>
        <v>364</v>
      </c>
      <c r="H240" s="257">
        <f t="array" ref="H240">IF(B211=B240,H211)</f>
        <v>456</v>
      </c>
      <c r="I240" s="257">
        <f t="shared" si="10"/>
        <v>312.39999999999998</v>
      </c>
      <c r="J240" s="266">
        <f t="shared" si="11"/>
        <v>294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187</v>
      </c>
      <c r="E241" s="257">
        <f t="array" ref="E241">IF(B75=B241,H75)</f>
        <v>219</v>
      </c>
      <c r="F241" s="257">
        <f t="array" ref="F241">IF(B125=B241,H125)</f>
        <v>327</v>
      </c>
      <c r="G241" s="257">
        <f t="array" ref="G241">IF(B167=B241,H167)</f>
        <v>364</v>
      </c>
      <c r="H241" s="257">
        <f t="array" ref="H241">IF(B212=B241,H212)</f>
        <v>466</v>
      </c>
      <c r="I241" s="257">
        <f t="shared" si="10"/>
        <v>312.60000000000002</v>
      </c>
      <c r="J241" s="266">
        <f t="shared" si="11"/>
        <v>293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180</v>
      </c>
      <c r="E242" s="271">
        <f t="array" ref="E242">IF(B76=B242,H76)</f>
        <v>215</v>
      </c>
      <c r="F242" s="271">
        <f t="array" ref="F242">IF(B126=B242,H126)</f>
        <v>330</v>
      </c>
      <c r="G242" s="271">
        <f t="array" ref="G242">IF(B168=B242,H168)</f>
        <v>364</v>
      </c>
      <c r="H242" s="271">
        <f t="array" ref="H242">IF(B213=B242,H213)</f>
        <v>476</v>
      </c>
      <c r="I242" s="271">
        <f t="shared" si="10"/>
        <v>313</v>
      </c>
      <c r="J242" s="273">
        <f t="shared" si="11"/>
        <v>291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2">
    <mergeCell ref="A2:K2"/>
    <mergeCell ref="E177:F177"/>
  </mergeCells>
  <phoneticPr fontId="7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3.5"/>
  <sheetData/>
  <phoneticPr fontId="7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88" t="s">
        <v>1776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2005</v>
      </c>
      <c r="C7" s="96"/>
      <c r="D7" s="97">
        <f>+상수도사용원단위!C4</f>
        <v>197</v>
      </c>
      <c r="E7" s="97"/>
      <c r="F7" s="98">
        <f>D7-D7</f>
        <v>0</v>
      </c>
      <c r="G7" s="98"/>
      <c r="H7" s="99">
        <f>F7</f>
        <v>0</v>
      </c>
      <c r="I7" s="100"/>
      <c r="J7" s="101" t="s">
        <v>145</v>
      </c>
      <c r="K7" s="101">
        <v>600</v>
      </c>
      <c r="L7" s="95"/>
      <c r="M7" s="95"/>
      <c r="N7" s="95"/>
      <c r="O7" s="95"/>
    </row>
    <row r="8" spans="1:15" ht="15" customHeight="1">
      <c r="A8" s="95"/>
      <c r="B8" s="96">
        <f>+B7+1</f>
        <v>2006</v>
      </c>
      <c r="C8" s="96"/>
      <c r="D8" s="97">
        <f>+상수도사용원단위!C5</f>
        <v>194</v>
      </c>
      <c r="E8" s="97"/>
      <c r="F8" s="98">
        <f t="shared" ref="F8:F16" si="0">D8-D7</f>
        <v>-3</v>
      </c>
      <c r="G8" s="98"/>
      <c r="H8" s="99">
        <f t="shared" ref="H8:H16" si="1">ROUND(F8/D7*100,2)</f>
        <v>-1.52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204">
        <f t="shared" ref="B9:B16" si="2">+B8+1</f>
        <v>2007</v>
      </c>
      <c r="C9" s="96"/>
      <c r="D9" s="97">
        <f>+상수도사용원단위!C6</f>
        <v>162</v>
      </c>
      <c r="E9" s="97"/>
      <c r="F9" s="98">
        <f t="shared" si="0"/>
        <v>-32</v>
      </c>
      <c r="G9" s="98"/>
      <c r="H9" s="99">
        <f t="shared" si="1"/>
        <v>-16.489999999999998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204">
        <f t="shared" si="2"/>
        <v>2008</v>
      </c>
      <c r="C10" s="96"/>
      <c r="D10" s="97">
        <f>+상수도사용원단위!C7</f>
        <v>192</v>
      </c>
      <c r="E10" s="97"/>
      <c r="F10" s="98">
        <f t="shared" si="0"/>
        <v>30</v>
      </c>
      <c r="G10" s="98"/>
      <c r="H10" s="99">
        <f t="shared" si="1"/>
        <v>18.52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204">
        <f t="shared" si="2"/>
        <v>2009</v>
      </c>
      <c r="C11" s="96"/>
      <c r="D11" s="97">
        <f>+상수도사용원단위!C8</f>
        <v>222</v>
      </c>
      <c r="E11" s="97"/>
      <c r="F11" s="98">
        <f t="shared" si="0"/>
        <v>30</v>
      </c>
      <c r="G11" s="98"/>
      <c r="H11" s="99">
        <f t="shared" si="1"/>
        <v>15.63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>
      <c r="A12" s="95"/>
      <c r="B12" s="204">
        <f t="shared" si="2"/>
        <v>2010</v>
      </c>
      <c r="C12" s="96"/>
      <c r="D12" s="97">
        <f>+상수도사용원단위!C9</f>
        <v>225</v>
      </c>
      <c r="E12" s="97"/>
      <c r="F12" s="98">
        <f t="shared" si="0"/>
        <v>3</v>
      </c>
      <c r="G12" s="98"/>
      <c r="H12" s="99">
        <f t="shared" si="1"/>
        <v>1.35</v>
      </c>
      <c r="I12" s="100"/>
      <c r="J12" s="102">
        <v>0</v>
      </c>
      <c r="K12" s="102"/>
      <c r="L12" s="95"/>
      <c r="M12" s="95"/>
      <c r="N12" s="95"/>
      <c r="O12" s="95"/>
    </row>
    <row r="13" spans="1:15" ht="15" customHeight="1">
      <c r="A13" s="95"/>
      <c r="B13" s="204">
        <f t="shared" si="2"/>
        <v>2011</v>
      </c>
      <c r="C13" s="96"/>
      <c r="D13" s="97">
        <f>+상수도사용원단위!C10</f>
        <v>228</v>
      </c>
      <c r="E13" s="97"/>
      <c r="F13" s="98">
        <f t="shared" si="0"/>
        <v>3</v>
      </c>
      <c r="G13" s="98"/>
      <c r="H13" s="99">
        <f t="shared" si="1"/>
        <v>1.33</v>
      </c>
      <c r="I13" s="100"/>
      <c r="J13" s="102">
        <v>0</v>
      </c>
      <c r="K13" s="102"/>
      <c r="L13" s="95"/>
      <c r="M13" s="95"/>
      <c r="N13" s="95"/>
      <c r="O13" s="95"/>
    </row>
    <row r="14" spans="1:15" ht="15" customHeight="1">
      <c r="A14" s="95"/>
      <c r="B14" s="204">
        <f t="shared" si="2"/>
        <v>2012</v>
      </c>
      <c r="C14" s="96"/>
      <c r="D14" s="97">
        <f>+상수도사용원단위!C11</f>
        <v>241</v>
      </c>
      <c r="E14" s="97"/>
      <c r="F14" s="98">
        <f t="shared" si="0"/>
        <v>13</v>
      </c>
      <c r="G14" s="98"/>
      <c r="H14" s="99">
        <f t="shared" si="1"/>
        <v>5.7</v>
      </c>
      <c r="I14" s="100"/>
      <c r="J14" s="102">
        <v>0</v>
      </c>
      <c r="K14" s="102"/>
      <c r="L14" s="95"/>
      <c r="M14" s="95"/>
      <c r="N14" s="95"/>
      <c r="O14" s="95"/>
    </row>
    <row r="15" spans="1:15" ht="15" customHeight="1">
      <c r="A15" s="95"/>
      <c r="B15" s="204">
        <f t="shared" si="2"/>
        <v>2013</v>
      </c>
      <c r="C15" s="96"/>
      <c r="D15" s="97">
        <f>+상수도사용원단위!C12</f>
        <v>252</v>
      </c>
      <c r="E15" s="97"/>
      <c r="F15" s="98">
        <f t="shared" si="0"/>
        <v>11</v>
      </c>
      <c r="G15" s="98"/>
      <c r="H15" s="99">
        <f t="shared" si="1"/>
        <v>4.5599999999999996</v>
      </c>
      <c r="I15" s="100"/>
      <c r="J15" s="102">
        <v>0</v>
      </c>
      <c r="K15" s="102"/>
      <c r="L15" s="95"/>
      <c r="M15" s="95"/>
      <c r="N15" s="95"/>
      <c r="O15" s="95"/>
    </row>
    <row r="16" spans="1:15" ht="15" customHeight="1">
      <c r="A16" s="95"/>
      <c r="B16" s="204">
        <f t="shared" si="2"/>
        <v>2014</v>
      </c>
      <c r="C16" s="96"/>
      <c r="D16" s="97">
        <f>+상수도사용원단위!C13</f>
        <v>234</v>
      </c>
      <c r="E16" s="97"/>
      <c r="F16" s="98">
        <f t="shared" si="0"/>
        <v>-18</v>
      </c>
      <c r="G16" s="98"/>
      <c r="H16" s="99">
        <f t="shared" si="1"/>
        <v>-7.14</v>
      </c>
      <c r="I16" s="100"/>
      <c r="J16" s="102">
        <v>0</v>
      </c>
      <c r="K16" s="102"/>
      <c r="L16" s="95"/>
      <c r="M16" s="95"/>
      <c r="N16" s="95"/>
      <c r="O16" s="95"/>
    </row>
    <row r="17" spans="1:15" ht="15" customHeight="1" thickBot="1">
      <c r="A17" s="95"/>
      <c r="B17" s="103" t="s">
        <v>146</v>
      </c>
      <c r="C17" s="104"/>
      <c r="D17" s="105">
        <f>SUM(D7:D16)</f>
        <v>2147</v>
      </c>
      <c r="E17" s="106"/>
      <c r="F17" s="107"/>
      <c r="G17" s="107"/>
      <c r="H17" s="918">
        <f>SUM(H7:H16)</f>
        <v>21.939999999999998</v>
      </c>
      <c r="I17" s="108"/>
      <c r="J17" s="109">
        <f>ROUND(AVERAGE(H8:H16),1)</f>
        <v>2.4</v>
      </c>
      <c r="K17" s="109"/>
      <c r="L17" s="95"/>
      <c r="M17" s="95"/>
      <c r="N17" s="95"/>
      <c r="O17" s="95"/>
    </row>
    <row r="18" spans="1:15" ht="1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>
      <c r="A19" s="95"/>
      <c r="B19" s="110" t="s">
        <v>147</v>
      </c>
      <c r="C19" s="111"/>
      <c r="D19" s="111"/>
      <c r="E19" s="111"/>
      <c r="F19" s="111"/>
      <c r="G19" s="95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5"/>
      <c r="C20" s="111" t="s">
        <v>148</v>
      </c>
      <c r="D20" s="111" t="s">
        <v>149</v>
      </c>
      <c r="E20" s="111"/>
      <c r="F20" s="111"/>
      <c r="G20" s="95"/>
      <c r="H20" s="95"/>
      <c r="I20" s="95"/>
      <c r="J20" s="95"/>
      <c r="K20" s="95"/>
      <c r="L20" s="95"/>
      <c r="M20" s="95"/>
      <c r="N20" s="95"/>
      <c r="O20" s="95"/>
    </row>
    <row r="21" spans="1:15" ht="15" customHeight="1">
      <c r="A21" s="95"/>
      <c r="B21" s="93"/>
      <c r="C21" s="93" t="s">
        <v>150</v>
      </c>
      <c r="D21" s="111" t="s">
        <v>151</v>
      </c>
      <c r="E21" s="93"/>
      <c r="F21" s="93"/>
      <c r="G21" s="95"/>
      <c r="H21" s="95"/>
      <c r="I21" s="95"/>
      <c r="J21" s="95"/>
      <c r="K21" s="95"/>
      <c r="L21" s="95"/>
      <c r="M21" s="95"/>
      <c r="N21" s="95"/>
      <c r="O21" s="95"/>
    </row>
    <row r="22" spans="1:15" ht="15" customHeight="1">
      <c r="A22" s="95"/>
      <c r="B22" s="111"/>
      <c r="C22" s="111"/>
      <c r="D22" s="111" t="s">
        <v>152</v>
      </c>
      <c r="E22" s="111"/>
      <c r="F22" s="111"/>
      <c r="G22" s="95"/>
      <c r="H22" s="95"/>
      <c r="I22" s="95"/>
      <c r="J22" s="95"/>
      <c r="K22" s="95"/>
      <c r="L22" s="95"/>
      <c r="M22" s="95"/>
      <c r="N22" s="95"/>
      <c r="O22" s="95"/>
    </row>
    <row r="23" spans="1:15" ht="15" customHeight="1">
      <c r="A23" s="95"/>
      <c r="B23" s="111"/>
      <c r="C23" s="111"/>
      <c r="D23" s="111" t="s">
        <v>153</v>
      </c>
      <c r="E23" s="111"/>
      <c r="F23" s="111"/>
      <c r="G23" s="95"/>
      <c r="H23" s="95"/>
      <c r="I23" s="95"/>
      <c r="J23" s="95"/>
      <c r="K23" s="95"/>
      <c r="L23" s="95"/>
      <c r="M23" s="95"/>
      <c r="N23" s="95"/>
      <c r="O23" s="95"/>
    </row>
    <row r="24" spans="1:15" ht="15" customHeight="1" thickBot="1">
      <c r="A24" s="95"/>
      <c r="B24" s="95"/>
      <c r="C24" s="95"/>
      <c r="D24" s="95"/>
      <c r="E24" s="95"/>
      <c r="F24" s="100" t="s">
        <v>154</v>
      </c>
      <c r="G24" s="100"/>
      <c r="H24" s="95"/>
      <c r="I24" s="95"/>
      <c r="J24" s="95"/>
      <c r="K24" s="95"/>
      <c r="L24" s="95"/>
      <c r="M24" s="95"/>
      <c r="N24" s="95"/>
      <c r="O24" s="95"/>
    </row>
    <row r="25" spans="1:15" ht="15" customHeight="1">
      <c r="A25" s="95"/>
      <c r="B25" s="94" t="s">
        <v>155</v>
      </c>
      <c r="C25" s="94"/>
      <c r="D25" s="94" t="s">
        <v>156</v>
      </c>
      <c r="E25" s="94"/>
      <c r="F25" s="94" t="s">
        <v>157</v>
      </c>
      <c r="G25" s="94"/>
      <c r="H25" s="94" t="s">
        <v>158</v>
      </c>
      <c r="I25" s="94"/>
      <c r="J25" s="94" t="s">
        <v>159</v>
      </c>
      <c r="K25" s="94"/>
      <c r="L25" s="95"/>
      <c r="M25" s="95"/>
      <c r="N25" s="95"/>
      <c r="O25" s="95"/>
    </row>
    <row r="26" spans="1:15" ht="15" customHeight="1">
      <c r="A26" s="95"/>
      <c r="B26" s="112">
        <v>2014</v>
      </c>
      <c r="C26" s="113"/>
      <c r="D26" s="113">
        <f t="shared" ref="D26:D47" si="3">ROUND(E$48+H$48*(B26-$C$4),0)</f>
        <v>234</v>
      </c>
      <c r="E26" s="113"/>
      <c r="F26" s="113">
        <v>0</v>
      </c>
      <c r="G26" s="113"/>
      <c r="H26" s="113">
        <f t="shared" ref="H26:H42" si="4">ROUND(D26*(1+F26),0)</f>
        <v>234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2015</v>
      </c>
      <c r="C27" s="116"/>
      <c r="D27" s="116">
        <f t="shared" si="3"/>
        <v>238</v>
      </c>
      <c r="E27" s="116"/>
      <c r="F27" s="116">
        <v>0</v>
      </c>
      <c r="G27" s="116"/>
      <c r="H27" s="116">
        <f t="shared" si="4"/>
        <v>238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2016</v>
      </c>
      <c r="C28" s="113"/>
      <c r="D28" s="113">
        <f t="shared" si="3"/>
        <v>242</v>
      </c>
      <c r="E28" s="113"/>
      <c r="F28" s="113">
        <v>0</v>
      </c>
      <c r="G28" s="113"/>
      <c r="H28" s="113">
        <f t="shared" si="4"/>
        <v>242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2017</v>
      </c>
      <c r="C29" s="113"/>
      <c r="D29" s="113">
        <f t="shared" si="3"/>
        <v>246</v>
      </c>
      <c r="E29" s="113"/>
      <c r="F29" s="113">
        <v>0</v>
      </c>
      <c r="G29" s="113"/>
      <c r="H29" s="113">
        <f t="shared" si="4"/>
        <v>246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2018</v>
      </c>
      <c r="C30" s="113"/>
      <c r="D30" s="113">
        <f t="shared" si="3"/>
        <v>250</v>
      </c>
      <c r="E30" s="113"/>
      <c r="F30" s="113">
        <v>0</v>
      </c>
      <c r="G30" s="113"/>
      <c r="H30" s="113">
        <f t="shared" si="4"/>
        <v>250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2019</v>
      </c>
      <c r="C31" s="113"/>
      <c r="D31" s="113">
        <f t="shared" si="3"/>
        <v>255</v>
      </c>
      <c r="E31" s="113"/>
      <c r="F31" s="113">
        <v>0</v>
      </c>
      <c r="G31" s="113"/>
      <c r="H31" s="113">
        <f t="shared" si="4"/>
        <v>255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2020</v>
      </c>
      <c r="C32" s="116"/>
      <c r="D32" s="116">
        <f t="shared" si="3"/>
        <v>259</v>
      </c>
      <c r="E32" s="116"/>
      <c r="F32" s="116">
        <v>0</v>
      </c>
      <c r="G32" s="116"/>
      <c r="H32" s="116">
        <f t="shared" si="4"/>
        <v>259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2021</v>
      </c>
      <c r="C33" s="113"/>
      <c r="D33" s="113">
        <f t="shared" si="3"/>
        <v>263</v>
      </c>
      <c r="E33" s="113"/>
      <c r="F33" s="113">
        <v>0</v>
      </c>
      <c r="G33" s="113"/>
      <c r="H33" s="113">
        <f t="shared" si="4"/>
        <v>263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2022</v>
      </c>
      <c r="C34" s="113"/>
      <c r="D34" s="113">
        <f t="shared" si="3"/>
        <v>267</v>
      </c>
      <c r="E34" s="113"/>
      <c r="F34" s="113">
        <v>0</v>
      </c>
      <c r="G34" s="113"/>
      <c r="H34" s="113">
        <f t="shared" si="4"/>
        <v>267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2023</v>
      </c>
      <c r="C35" s="113"/>
      <c r="D35" s="113">
        <f t="shared" si="3"/>
        <v>271</v>
      </c>
      <c r="E35" s="113"/>
      <c r="F35" s="113">
        <v>0</v>
      </c>
      <c r="G35" s="113"/>
      <c r="H35" s="113">
        <f t="shared" si="4"/>
        <v>271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2024</v>
      </c>
      <c r="C36" s="113"/>
      <c r="D36" s="113">
        <f t="shared" si="3"/>
        <v>275</v>
      </c>
      <c r="E36" s="113"/>
      <c r="F36" s="113">
        <v>0</v>
      </c>
      <c r="G36" s="113"/>
      <c r="H36" s="113">
        <f t="shared" si="4"/>
        <v>275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2025</v>
      </c>
      <c r="C37" s="116"/>
      <c r="D37" s="116">
        <f t="shared" si="3"/>
        <v>279</v>
      </c>
      <c r="E37" s="116"/>
      <c r="F37" s="116">
        <v>0</v>
      </c>
      <c r="G37" s="116"/>
      <c r="H37" s="116">
        <f t="shared" si="4"/>
        <v>279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2026</v>
      </c>
      <c r="C38" s="113"/>
      <c r="D38" s="113">
        <f t="shared" si="3"/>
        <v>283</v>
      </c>
      <c r="E38" s="113"/>
      <c r="F38" s="113">
        <v>0</v>
      </c>
      <c r="G38" s="113"/>
      <c r="H38" s="113">
        <f t="shared" si="4"/>
        <v>283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2027</v>
      </c>
      <c r="C39" s="113"/>
      <c r="D39" s="113">
        <f t="shared" si="3"/>
        <v>287</v>
      </c>
      <c r="E39" s="113"/>
      <c r="F39" s="113">
        <v>0</v>
      </c>
      <c r="G39" s="113"/>
      <c r="H39" s="113">
        <f t="shared" si="4"/>
        <v>287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2028</v>
      </c>
      <c r="C40" s="113"/>
      <c r="D40" s="113">
        <f t="shared" si="3"/>
        <v>291</v>
      </c>
      <c r="E40" s="113"/>
      <c r="F40" s="113">
        <v>0</v>
      </c>
      <c r="G40" s="113"/>
      <c r="H40" s="113">
        <f t="shared" si="4"/>
        <v>291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2029</v>
      </c>
      <c r="C41" s="113"/>
      <c r="D41" s="113">
        <f t="shared" si="3"/>
        <v>296</v>
      </c>
      <c r="E41" s="113"/>
      <c r="F41" s="113">
        <v>0</v>
      </c>
      <c r="G41" s="113"/>
      <c r="H41" s="113">
        <f t="shared" si="4"/>
        <v>296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>
      <c r="A42" s="95"/>
      <c r="B42" s="115">
        <v>2030</v>
      </c>
      <c r="C42" s="116"/>
      <c r="D42" s="116">
        <f t="shared" si="3"/>
        <v>300</v>
      </c>
      <c r="E42" s="116"/>
      <c r="F42" s="116">
        <v>0</v>
      </c>
      <c r="G42" s="116"/>
      <c r="H42" s="116">
        <f t="shared" si="4"/>
        <v>300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2">
        <v>2031</v>
      </c>
      <c r="C43" s="113"/>
      <c r="D43" s="113">
        <f t="shared" si="3"/>
        <v>304</v>
      </c>
      <c r="E43" s="113"/>
      <c r="F43" s="113">
        <v>0</v>
      </c>
      <c r="G43" s="113"/>
      <c r="H43" s="113">
        <f>ROUND(D43*(1+F43),0)</f>
        <v>304</v>
      </c>
      <c r="I43" s="113"/>
      <c r="J43" s="114">
        <v>0</v>
      </c>
      <c r="K43" s="114"/>
      <c r="L43" s="95"/>
      <c r="M43" s="95"/>
      <c r="N43" s="95"/>
      <c r="O43" s="95"/>
    </row>
    <row r="44" spans="1:15" ht="15" customHeight="1">
      <c r="A44" s="95"/>
      <c r="B44" s="112">
        <v>2032</v>
      </c>
      <c r="C44" s="113"/>
      <c r="D44" s="113">
        <f t="shared" si="3"/>
        <v>308</v>
      </c>
      <c r="E44" s="113"/>
      <c r="F44" s="113">
        <v>0</v>
      </c>
      <c r="G44" s="113"/>
      <c r="H44" s="113">
        <f>ROUND(D44*(1+F44),0)</f>
        <v>308</v>
      </c>
      <c r="I44" s="113"/>
      <c r="J44" s="114">
        <v>0</v>
      </c>
      <c r="K44" s="114"/>
      <c r="L44" s="95"/>
      <c r="M44" s="95"/>
      <c r="N44" s="95"/>
      <c r="O44" s="95"/>
    </row>
    <row r="45" spans="1:15" ht="15" customHeight="1">
      <c r="A45" s="95"/>
      <c r="B45" s="112">
        <v>2033</v>
      </c>
      <c r="C45" s="113"/>
      <c r="D45" s="113">
        <f t="shared" si="3"/>
        <v>312</v>
      </c>
      <c r="E45" s="113"/>
      <c r="F45" s="113">
        <v>0</v>
      </c>
      <c r="G45" s="113"/>
      <c r="H45" s="113">
        <f>ROUND(D45*(1+F45),0)</f>
        <v>312</v>
      </c>
      <c r="I45" s="113"/>
      <c r="J45" s="114">
        <v>0</v>
      </c>
      <c r="K45" s="114"/>
      <c r="L45" s="95"/>
      <c r="M45" s="95"/>
      <c r="N45" s="95"/>
      <c r="O45" s="95"/>
    </row>
    <row r="46" spans="1:15" ht="15" customHeight="1">
      <c r="A46" s="95"/>
      <c r="B46" s="112">
        <v>2034</v>
      </c>
      <c r="C46" s="113"/>
      <c r="D46" s="113">
        <f t="shared" si="3"/>
        <v>316</v>
      </c>
      <c r="E46" s="113"/>
      <c r="F46" s="113">
        <v>0</v>
      </c>
      <c r="G46" s="113"/>
      <c r="H46" s="113">
        <f>ROUND(D46*(1+F46),0)</f>
        <v>316</v>
      </c>
      <c r="I46" s="113"/>
      <c r="J46" s="114">
        <v>0</v>
      </c>
      <c r="K46" s="114"/>
      <c r="L46" s="95"/>
      <c r="M46" s="95"/>
      <c r="N46" s="95"/>
      <c r="O46" s="95"/>
    </row>
    <row r="47" spans="1:15" ht="15" customHeight="1" thickBot="1">
      <c r="A47" s="95"/>
      <c r="B47" s="115">
        <v>2035</v>
      </c>
      <c r="C47" s="116"/>
      <c r="D47" s="116">
        <f t="shared" si="3"/>
        <v>320</v>
      </c>
      <c r="E47" s="116"/>
      <c r="F47" s="116">
        <v>0</v>
      </c>
      <c r="G47" s="116"/>
      <c r="H47" s="116">
        <f>ROUND(D47*(1+F47),0)</f>
        <v>320</v>
      </c>
      <c r="I47" s="116"/>
      <c r="J47" s="117">
        <v>0</v>
      </c>
      <c r="K47" s="117"/>
      <c r="L47" s="95"/>
      <c r="M47" s="95"/>
      <c r="N47" s="95"/>
      <c r="O47" s="95"/>
    </row>
    <row r="48" spans="1:15" ht="15" customHeight="1">
      <c r="A48" s="95"/>
      <c r="B48" s="118" t="s">
        <v>160</v>
      </c>
      <c r="C48" s="118"/>
      <c r="D48" s="119" t="s">
        <v>161</v>
      </c>
      <c r="E48" s="120">
        <f>D$16</f>
        <v>234</v>
      </c>
      <c r="F48" s="121"/>
      <c r="G48" s="119" t="s">
        <v>162</v>
      </c>
      <c r="H48" s="119">
        <f>ROUND((D$16-D$7)/(COUNT(D$7:D$16)-1),1)</f>
        <v>4.0999999999999996</v>
      </c>
      <c r="I48" s="119"/>
      <c r="J48" s="119" t="s">
        <v>163</v>
      </c>
      <c r="K48" s="122" t="s">
        <v>164</v>
      </c>
      <c r="L48" s="95"/>
      <c r="M48" s="95"/>
      <c r="N48" s="95"/>
      <c r="O48" s="95"/>
    </row>
    <row r="49" spans="1:15" ht="15" customHeight="1">
      <c r="A49" s="95"/>
      <c r="B49" s="123"/>
      <c r="C49" s="123"/>
      <c r="D49" s="124"/>
      <c r="E49" s="125"/>
      <c r="F49" s="126"/>
      <c r="G49" s="124"/>
      <c r="H49" s="124"/>
      <c r="I49" s="124"/>
      <c r="J49" s="124"/>
      <c r="K49" s="127"/>
      <c r="L49" s="95"/>
      <c r="M49" s="95"/>
      <c r="N49" s="95"/>
      <c r="O49" s="95"/>
    </row>
    <row r="50" spans="1:15" ht="1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110" t="s">
        <v>165</v>
      </c>
      <c r="C52" s="111"/>
      <c r="D52" s="111"/>
      <c r="E52" s="111"/>
      <c r="F52" s="111"/>
      <c r="G52" s="111"/>
      <c r="H52" s="95"/>
      <c r="I52" s="95"/>
      <c r="J52" s="95"/>
      <c r="K52" s="95"/>
      <c r="L52" s="95"/>
      <c r="M52" s="95"/>
      <c r="N52" s="95"/>
      <c r="O52" s="95"/>
    </row>
    <row r="53" spans="1:15" ht="15" customHeight="1">
      <c r="A53" s="95"/>
      <c r="B53" s="95"/>
      <c r="C53" s="111" t="s">
        <v>166</v>
      </c>
      <c r="D53" s="111" t="s">
        <v>167</v>
      </c>
      <c r="E53" s="111"/>
      <c r="F53" s="111"/>
      <c r="G53" s="111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3"/>
      <c r="C54" s="93" t="s">
        <v>168</v>
      </c>
      <c r="D54" s="111" t="s">
        <v>151</v>
      </c>
      <c r="E54" s="93"/>
      <c r="F54" s="93"/>
      <c r="G54" s="93"/>
      <c r="H54" s="95"/>
      <c r="I54" s="95"/>
      <c r="J54" s="95"/>
      <c r="K54" s="95"/>
      <c r="L54" s="95"/>
      <c r="M54" s="95"/>
      <c r="N54" s="95"/>
      <c r="O54" s="95"/>
    </row>
    <row r="55" spans="1:15" ht="15" customHeight="1">
      <c r="A55" s="95"/>
      <c r="B55" s="111"/>
      <c r="C55" s="111"/>
      <c r="D55" s="111" t="s">
        <v>170</v>
      </c>
      <c r="E55" s="111"/>
      <c r="F55" s="111"/>
      <c r="G55" s="111"/>
      <c r="H55" s="95"/>
      <c r="I55" s="95"/>
      <c r="J55" s="95"/>
      <c r="K55" s="95"/>
      <c r="L55" s="95"/>
      <c r="M55" s="95"/>
      <c r="N55" s="95"/>
      <c r="O55" s="95"/>
    </row>
    <row r="56" spans="1:15" ht="15" customHeight="1">
      <c r="A56" s="95"/>
      <c r="B56" s="111"/>
      <c r="C56" s="111"/>
      <c r="D56" s="111" t="s">
        <v>171</v>
      </c>
      <c r="E56" s="111"/>
      <c r="F56" s="111"/>
      <c r="G56" s="111"/>
      <c r="H56" s="95"/>
      <c r="I56" s="95"/>
      <c r="J56" s="95"/>
      <c r="K56" s="95"/>
      <c r="L56" s="95"/>
      <c r="M56" s="95"/>
      <c r="N56" s="95"/>
      <c r="O56" s="95"/>
    </row>
    <row r="57" spans="1:15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1:15" ht="15" customHeight="1" thickBot="1">
      <c r="A58" s="95"/>
      <c r="B58" s="95"/>
      <c r="C58" s="95"/>
      <c r="D58" s="95"/>
      <c r="E58" s="95"/>
      <c r="F58" s="100" t="s">
        <v>172</v>
      </c>
      <c r="G58" s="100"/>
      <c r="H58" s="95"/>
      <c r="I58" s="95"/>
      <c r="J58" s="95"/>
      <c r="K58" s="95"/>
      <c r="L58" s="95"/>
      <c r="M58" s="95"/>
      <c r="N58" s="95"/>
      <c r="O58" s="95"/>
    </row>
    <row r="59" spans="1:15" ht="15" customHeight="1">
      <c r="A59" s="95"/>
      <c r="B59" s="94" t="s">
        <v>155</v>
      </c>
      <c r="C59" s="94"/>
      <c r="D59" s="94" t="s">
        <v>174</v>
      </c>
      <c r="E59" s="94"/>
      <c r="F59" s="94" t="s">
        <v>175</v>
      </c>
      <c r="G59" s="94"/>
      <c r="H59" s="94" t="s">
        <v>176</v>
      </c>
      <c r="I59" s="94"/>
      <c r="J59" s="94" t="s">
        <v>144</v>
      </c>
      <c r="K59" s="94"/>
      <c r="L59" s="95"/>
      <c r="M59" s="95"/>
      <c r="N59" s="95"/>
      <c r="O59" s="95"/>
    </row>
    <row r="60" spans="1:15" ht="15" customHeight="1">
      <c r="A60" s="95"/>
      <c r="B60" s="112">
        <v>2014</v>
      </c>
      <c r="C60" s="113"/>
      <c r="D60" s="113">
        <f t="shared" ref="D60:D81" si="5">ROUND(E$82*H$82^(B60-$C$4),0)</f>
        <v>234</v>
      </c>
      <c r="E60" s="113"/>
      <c r="F60" s="113">
        <v>0</v>
      </c>
      <c r="G60" s="113"/>
      <c r="H60" s="113">
        <f t="shared" ref="H60:H76" si="6">ROUND(D60*(1+F60),0)</f>
        <v>234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2015</v>
      </c>
      <c r="C61" s="116"/>
      <c r="D61" s="116">
        <f t="shared" si="5"/>
        <v>239</v>
      </c>
      <c r="E61" s="116"/>
      <c r="F61" s="116">
        <v>0</v>
      </c>
      <c r="G61" s="116"/>
      <c r="H61" s="116">
        <f t="shared" si="6"/>
        <v>239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2016</v>
      </c>
      <c r="C62" s="113"/>
      <c r="D62" s="113">
        <f t="shared" si="5"/>
        <v>243</v>
      </c>
      <c r="E62" s="113"/>
      <c r="F62" s="113">
        <v>0</v>
      </c>
      <c r="G62" s="113"/>
      <c r="H62" s="113">
        <f t="shared" si="6"/>
        <v>243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2017</v>
      </c>
      <c r="C63" s="113"/>
      <c r="D63" s="113">
        <f t="shared" si="5"/>
        <v>248</v>
      </c>
      <c r="E63" s="113"/>
      <c r="F63" s="113">
        <v>0</v>
      </c>
      <c r="G63" s="113"/>
      <c r="H63" s="113">
        <f t="shared" si="6"/>
        <v>248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2018</v>
      </c>
      <c r="C64" s="113"/>
      <c r="D64" s="113">
        <f t="shared" si="5"/>
        <v>253</v>
      </c>
      <c r="E64" s="113"/>
      <c r="F64" s="113">
        <v>0</v>
      </c>
      <c r="G64" s="113"/>
      <c r="H64" s="113">
        <f t="shared" si="6"/>
        <v>253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2019</v>
      </c>
      <c r="C65" s="113"/>
      <c r="D65" s="113">
        <f t="shared" si="5"/>
        <v>257</v>
      </c>
      <c r="E65" s="113"/>
      <c r="F65" s="113">
        <v>0</v>
      </c>
      <c r="G65" s="113"/>
      <c r="H65" s="113">
        <f t="shared" si="6"/>
        <v>257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2020</v>
      </c>
      <c r="C66" s="116"/>
      <c r="D66" s="116">
        <f t="shared" si="5"/>
        <v>262</v>
      </c>
      <c r="E66" s="116"/>
      <c r="F66" s="116">
        <v>0</v>
      </c>
      <c r="G66" s="116"/>
      <c r="H66" s="116">
        <f t="shared" si="6"/>
        <v>262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2021</v>
      </c>
      <c r="C67" s="113"/>
      <c r="D67" s="113">
        <f t="shared" si="5"/>
        <v>268</v>
      </c>
      <c r="E67" s="113"/>
      <c r="F67" s="113">
        <v>0</v>
      </c>
      <c r="G67" s="113"/>
      <c r="H67" s="113">
        <f t="shared" si="6"/>
        <v>268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2022</v>
      </c>
      <c r="C68" s="113"/>
      <c r="D68" s="113">
        <f t="shared" si="5"/>
        <v>273</v>
      </c>
      <c r="E68" s="113"/>
      <c r="F68" s="113">
        <v>0</v>
      </c>
      <c r="G68" s="113"/>
      <c r="H68" s="113">
        <f t="shared" si="6"/>
        <v>273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2023</v>
      </c>
      <c r="C69" s="113"/>
      <c r="D69" s="113">
        <f t="shared" si="5"/>
        <v>278</v>
      </c>
      <c r="E69" s="113"/>
      <c r="F69" s="113">
        <v>0</v>
      </c>
      <c r="G69" s="113"/>
      <c r="H69" s="113">
        <f t="shared" si="6"/>
        <v>278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2024</v>
      </c>
      <c r="C70" s="113"/>
      <c r="D70" s="113">
        <f t="shared" si="5"/>
        <v>283</v>
      </c>
      <c r="E70" s="113"/>
      <c r="F70" s="113">
        <v>0</v>
      </c>
      <c r="G70" s="113"/>
      <c r="H70" s="113">
        <f t="shared" si="6"/>
        <v>283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2025</v>
      </c>
      <c r="C71" s="116"/>
      <c r="D71" s="116">
        <f t="shared" si="5"/>
        <v>289</v>
      </c>
      <c r="E71" s="116"/>
      <c r="F71" s="116">
        <v>0</v>
      </c>
      <c r="G71" s="116"/>
      <c r="H71" s="116">
        <f t="shared" si="6"/>
        <v>289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2026</v>
      </c>
      <c r="C72" s="113"/>
      <c r="D72" s="113">
        <f t="shared" si="5"/>
        <v>294</v>
      </c>
      <c r="E72" s="113"/>
      <c r="F72" s="113">
        <v>0</v>
      </c>
      <c r="G72" s="113"/>
      <c r="H72" s="113">
        <f t="shared" si="6"/>
        <v>294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2027</v>
      </c>
      <c r="C73" s="113"/>
      <c r="D73" s="113">
        <f t="shared" si="5"/>
        <v>300</v>
      </c>
      <c r="E73" s="113"/>
      <c r="F73" s="113">
        <v>0</v>
      </c>
      <c r="G73" s="113"/>
      <c r="H73" s="113">
        <f t="shared" si="6"/>
        <v>300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2028</v>
      </c>
      <c r="C74" s="113"/>
      <c r="D74" s="113">
        <f t="shared" si="5"/>
        <v>306</v>
      </c>
      <c r="E74" s="113"/>
      <c r="F74" s="113">
        <v>0</v>
      </c>
      <c r="G74" s="113"/>
      <c r="H74" s="113">
        <f t="shared" si="6"/>
        <v>306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2029</v>
      </c>
      <c r="C75" s="113"/>
      <c r="D75" s="113">
        <f t="shared" si="5"/>
        <v>312</v>
      </c>
      <c r="E75" s="113"/>
      <c r="F75" s="113">
        <v>0</v>
      </c>
      <c r="G75" s="113"/>
      <c r="H75" s="113">
        <f t="shared" si="6"/>
        <v>312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>
      <c r="A76" s="95"/>
      <c r="B76" s="115">
        <v>2030</v>
      </c>
      <c r="C76" s="116"/>
      <c r="D76" s="116">
        <f t="shared" si="5"/>
        <v>318</v>
      </c>
      <c r="E76" s="116"/>
      <c r="F76" s="116">
        <v>0</v>
      </c>
      <c r="G76" s="116"/>
      <c r="H76" s="116">
        <f t="shared" si="6"/>
        <v>318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2">
        <v>2031</v>
      </c>
      <c r="C77" s="113"/>
      <c r="D77" s="113">
        <f t="shared" si="5"/>
        <v>324</v>
      </c>
      <c r="E77" s="113"/>
      <c r="F77" s="113">
        <v>0</v>
      </c>
      <c r="G77" s="113"/>
      <c r="H77" s="113">
        <f>ROUND(D77*(1+F77),0)</f>
        <v>324</v>
      </c>
      <c r="I77" s="113"/>
      <c r="J77" s="114">
        <v>0</v>
      </c>
      <c r="K77" s="114"/>
      <c r="L77" s="95"/>
      <c r="M77" s="95"/>
      <c r="N77" s="95"/>
      <c r="O77" s="95"/>
    </row>
    <row r="78" spans="1:15" ht="15" customHeight="1">
      <c r="A78" s="95"/>
      <c r="B78" s="112">
        <v>2032</v>
      </c>
      <c r="C78" s="113"/>
      <c r="D78" s="113">
        <f t="shared" si="5"/>
        <v>330</v>
      </c>
      <c r="E78" s="113"/>
      <c r="F78" s="113">
        <v>0</v>
      </c>
      <c r="G78" s="113"/>
      <c r="H78" s="113">
        <f>ROUND(D78*(1+F78),0)</f>
        <v>330</v>
      </c>
      <c r="I78" s="113"/>
      <c r="J78" s="114">
        <v>0</v>
      </c>
      <c r="K78" s="114"/>
      <c r="L78" s="95"/>
      <c r="M78" s="95"/>
      <c r="N78" s="95"/>
      <c r="O78" s="95"/>
    </row>
    <row r="79" spans="1:15" ht="15" customHeight="1">
      <c r="A79" s="95"/>
      <c r="B79" s="112">
        <v>2033</v>
      </c>
      <c r="C79" s="113"/>
      <c r="D79" s="113">
        <f t="shared" si="5"/>
        <v>337</v>
      </c>
      <c r="E79" s="113"/>
      <c r="F79" s="113">
        <v>0</v>
      </c>
      <c r="G79" s="113"/>
      <c r="H79" s="113">
        <f>ROUND(D79*(1+F79),0)</f>
        <v>337</v>
      </c>
      <c r="I79" s="113"/>
      <c r="J79" s="114">
        <v>0</v>
      </c>
      <c r="K79" s="114"/>
      <c r="L79" s="95"/>
      <c r="M79" s="95"/>
      <c r="N79" s="95"/>
      <c r="O79" s="95"/>
    </row>
    <row r="80" spans="1:15" ht="15" customHeight="1">
      <c r="A80" s="95"/>
      <c r="B80" s="112">
        <v>2034</v>
      </c>
      <c r="C80" s="113"/>
      <c r="D80" s="113">
        <f t="shared" si="5"/>
        <v>343</v>
      </c>
      <c r="E80" s="113"/>
      <c r="F80" s="113">
        <v>0</v>
      </c>
      <c r="G80" s="113"/>
      <c r="H80" s="113">
        <f>ROUND(D80*(1+F80),0)</f>
        <v>343</v>
      </c>
      <c r="I80" s="113"/>
      <c r="J80" s="114">
        <v>0</v>
      </c>
      <c r="K80" s="114"/>
      <c r="L80" s="95"/>
      <c r="M80" s="95"/>
      <c r="N80" s="95"/>
      <c r="O80" s="95"/>
    </row>
    <row r="81" spans="1:15" ht="15" customHeight="1" thickBot="1">
      <c r="A81" s="95"/>
      <c r="B81" s="115">
        <v>2035</v>
      </c>
      <c r="C81" s="116"/>
      <c r="D81" s="116">
        <f t="shared" si="5"/>
        <v>350</v>
      </c>
      <c r="E81" s="116"/>
      <c r="F81" s="116">
        <v>0</v>
      </c>
      <c r="G81" s="116"/>
      <c r="H81" s="116">
        <f>ROUND(D81*(1+F81),0)</f>
        <v>350</v>
      </c>
      <c r="I81" s="116"/>
      <c r="J81" s="117">
        <v>0</v>
      </c>
      <c r="K81" s="117"/>
      <c r="L81" s="95"/>
      <c r="M81" s="95"/>
      <c r="N81" s="95"/>
      <c r="O81" s="95"/>
    </row>
    <row r="82" spans="1:15" ht="15" customHeight="1">
      <c r="A82" s="95"/>
      <c r="B82" s="118" t="s">
        <v>177</v>
      </c>
      <c r="C82" s="118"/>
      <c r="D82" s="119" t="s">
        <v>178</v>
      </c>
      <c r="E82" s="120">
        <f>D$16</f>
        <v>234</v>
      </c>
      <c r="F82" s="121"/>
      <c r="G82" s="119" t="s">
        <v>179</v>
      </c>
      <c r="H82" s="119">
        <f>ROUND((E$82/D$7)^(1/(COUNT(D$7:D$16)-1)),6)</f>
        <v>1.0193080000000001</v>
      </c>
      <c r="I82" s="119"/>
      <c r="J82" s="119" t="s">
        <v>180</v>
      </c>
      <c r="K82" s="122" t="s">
        <v>181</v>
      </c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>
      <c r="A92" s="95"/>
      <c r="B92" s="110" t="s">
        <v>182</v>
      </c>
      <c r="C92" s="111"/>
      <c r="D92" s="111"/>
      <c r="E92" s="111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5"/>
      <c r="C93" s="111" t="s">
        <v>183</v>
      </c>
      <c r="D93" s="111" t="s">
        <v>184</v>
      </c>
      <c r="E93" s="111"/>
      <c r="F93" s="95"/>
      <c r="G93" s="95"/>
      <c r="H93" s="95"/>
      <c r="I93" s="95"/>
      <c r="J93" s="95"/>
      <c r="K93" s="95"/>
      <c r="L93" s="95"/>
      <c r="M93" s="95"/>
      <c r="N93" s="95"/>
      <c r="O93" s="95"/>
    </row>
    <row r="94" spans="1:15" ht="15" customHeight="1">
      <c r="A94" s="95"/>
      <c r="B94" s="111"/>
      <c r="C94" s="128" t="s">
        <v>185</v>
      </c>
      <c r="D94" s="111" t="s">
        <v>186</v>
      </c>
      <c r="E94" s="93"/>
      <c r="F94" s="95"/>
      <c r="G94" s="95"/>
      <c r="H94" s="95"/>
      <c r="I94" s="95"/>
      <c r="J94" s="95"/>
      <c r="K94" s="95"/>
      <c r="L94" s="95"/>
      <c r="M94" s="95"/>
      <c r="N94" s="95"/>
      <c r="O94" s="95"/>
    </row>
    <row r="95" spans="1:15" ht="15" customHeight="1">
      <c r="A95" s="95"/>
      <c r="B95" s="111"/>
      <c r="C95" s="111"/>
      <c r="D95" s="111" t="s">
        <v>187</v>
      </c>
      <c r="E95" s="111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1:15" ht="15" customHeight="1">
      <c r="A96" s="95"/>
      <c r="B96" s="93"/>
      <c r="C96" s="111"/>
      <c r="D96" s="111" t="s">
        <v>188</v>
      </c>
      <c r="E96" s="111"/>
      <c r="F96" s="95"/>
      <c r="G96" s="95"/>
      <c r="H96" s="95"/>
      <c r="I96" s="95"/>
      <c r="J96" s="95"/>
      <c r="K96" s="95"/>
      <c r="L96" s="95"/>
      <c r="M96" s="95"/>
      <c r="N96" s="95"/>
      <c r="O96" s="95"/>
    </row>
    <row r="97" spans="1:15" ht="15" customHeight="1" thickBot="1">
      <c r="A97" s="95"/>
      <c r="B97" s="95"/>
      <c r="C97" s="95"/>
      <c r="D97" s="95"/>
      <c r="E97" s="95"/>
      <c r="F97" s="100" t="s">
        <v>189</v>
      </c>
      <c r="G97" s="100"/>
      <c r="H97" s="95"/>
      <c r="I97" s="95"/>
      <c r="J97" s="95"/>
      <c r="K97" s="95"/>
      <c r="L97" s="95"/>
      <c r="M97" s="95"/>
      <c r="N97" s="95"/>
      <c r="O97" s="95"/>
    </row>
    <row r="98" spans="1:15" ht="15" customHeight="1">
      <c r="A98" s="95"/>
      <c r="B98" s="94" t="s">
        <v>190</v>
      </c>
      <c r="C98" s="94"/>
      <c r="D98" s="94" t="s">
        <v>191</v>
      </c>
      <c r="E98" s="94" t="s">
        <v>192</v>
      </c>
      <c r="F98" s="94" t="s">
        <v>193</v>
      </c>
      <c r="G98" s="94"/>
      <c r="H98" s="94" t="s">
        <v>194</v>
      </c>
      <c r="I98" s="94"/>
      <c r="J98" s="94" t="s">
        <v>27</v>
      </c>
      <c r="K98" s="94"/>
      <c r="L98" s="95"/>
      <c r="M98" s="95"/>
      <c r="N98" s="95"/>
      <c r="O98" s="95"/>
    </row>
    <row r="99" spans="1:15" ht="15" customHeight="1">
      <c r="A99" s="95"/>
      <c r="B99" s="96">
        <f t="shared" ref="B99:B108" si="7">B7</f>
        <v>2005</v>
      </c>
      <c r="C99" s="96"/>
      <c r="D99" s="100">
        <f t="shared" ref="D99:D108" si="8">VLOOKUP(B99,B$7:E$16,3,FALSE)</f>
        <v>197</v>
      </c>
      <c r="E99" s="129">
        <f t="shared" ref="E99:E108" si="9">((COUNT(B$99:B$108)-1)/2)+(B99-$C$4)</f>
        <v>-4.5</v>
      </c>
      <c r="F99" s="100">
        <f t="shared" ref="F99:F108" si="10">E99^2</f>
        <v>20.25</v>
      </c>
      <c r="G99" s="98"/>
      <c r="H99" s="130">
        <f t="shared" ref="H99:H108" si="11">ROUND(D99*E99,2)</f>
        <v>-886.5</v>
      </c>
      <c r="I99" s="131"/>
      <c r="J99" s="102">
        <v>0</v>
      </c>
      <c r="K99" s="102"/>
      <c r="L99" s="95"/>
      <c r="M99" s="95"/>
      <c r="N99" s="95"/>
      <c r="O99" s="95"/>
    </row>
    <row r="100" spans="1:15" ht="15" customHeight="1">
      <c r="A100" s="95"/>
      <c r="B100" s="96">
        <f t="shared" si="7"/>
        <v>2006</v>
      </c>
      <c r="C100" s="96"/>
      <c r="D100" s="100">
        <f t="shared" si="8"/>
        <v>194</v>
      </c>
      <c r="E100" s="129">
        <f t="shared" si="9"/>
        <v>-3.5</v>
      </c>
      <c r="F100" s="100">
        <f t="shared" si="10"/>
        <v>12.25</v>
      </c>
      <c r="G100" s="98"/>
      <c r="H100" s="130">
        <f t="shared" si="11"/>
        <v>-679</v>
      </c>
      <c r="I100" s="131"/>
      <c r="J100" s="102">
        <v>0</v>
      </c>
      <c r="K100" s="102"/>
      <c r="L100" s="95"/>
      <c r="M100" s="95"/>
      <c r="N100" s="95"/>
      <c r="O100" s="95"/>
    </row>
    <row r="101" spans="1:15" ht="15" customHeight="1">
      <c r="A101" s="95"/>
      <c r="B101" s="96">
        <f t="shared" si="7"/>
        <v>2007</v>
      </c>
      <c r="C101" s="96"/>
      <c r="D101" s="100">
        <f t="shared" si="8"/>
        <v>162</v>
      </c>
      <c r="E101" s="129">
        <f t="shared" si="9"/>
        <v>-2.5</v>
      </c>
      <c r="F101" s="100">
        <f>E101^2</f>
        <v>6.25</v>
      </c>
      <c r="G101" s="98"/>
      <c r="H101" s="130">
        <f t="shared" si="11"/>
        <v>-405</v>
      </c>
      <c r="I101" s="131"/>
      <c r="J101" s="102">
        <v>0</v>
      </c>
      <c r="K101" s="102"/>
      <c r="L101" s="95"/>
      <c r="M101" s="95"/>
      <c r="N101" s="95"/>
      <c r="O101" s="95"/>
    </row>
    <row r="102" spans="1:15" ht="15" customHeight="1">
      <c r="A102" s="95"/>
      <c r="B102" s="96">
        <f t="shared" si="7"/>
        <v>2008</v>
      </c>
      <c r="C102" s="96"/>
      <c r="D102" s="100">
        <f t="shared" si="8"/>
        <v>192</v>
      </c>
      <c r="E102" s="129">
        <f t="shared" si="9"/>
        <v>-1.5</v>
      </c>
      <c r="F102" s="100">
        <f t="shared" si="10"/>
        <v>2.25</v>
      </c>
      <c r="G102" s="98"/>
      <c r="H102" s="130">
        <f t="shared" si="11"/>
        <v>-288</v>
      </c>
      <c r="I102" s="131"/>
      <c r="J102" s="102">
        <v>0</v>
      </c>
      <c r="K102" s="102"/>
      <c r="L102" s="95"/>
      <c r="M102" s="95"/>
      <c r="N102" s="95"/>
      <c r="O102" s="95"/>
    </row>
    <row r="103" spans="1:15" ht="15" customHeight="1">
      <c r="A103" s="95"/>
      <c r="B103" s="96">
        <f t="shared" si="7"/>
        <v>2009</v>
      </c>
      <c r="C103" s="96"/>
      <c r="D103" s="100">
        <f t="shared" si="8"/>
        <v>222</v>
      </c>
      <c r="E103" s="129">
        <f t="shared" si="9"/>
        <v>-0.5</v>
      </c>
      <c r="F103" s="100">
        <f t="shared" si="10"/>
        <v>0.25</v>
      </c>
      <c r="G103" s="98"/>
      <c r="H103" s="130">
        <f t="shared" si="11"/>
        <v>-111</v>
      </c>
      <c r="I103" s="131"/>
      <c r="J103" s="102">
        <v>0</v>
      </c>
      <c r="K103" s="102"/>
      <c r="L103" s="95"/>
      <c r="M103" s="95"/>
      <c r="N103" s="95"/>
      <c r="O103" s="95"/>
    </row>
    <row r="104" spans="1:15" ht="15" customHeight="1">
      <c r="A104" s="95"/>
      <c r="B104" s="96">
        <f t="shared" si="7"/>
        <v>2010</v>
      </c>
      <c r="C104" s="96"/>
      <c r="D104" s="100">
        <f t="shared" si="8"/>
        <v>225</v>
      </c>
      <c r="E104" s="129">
        <f t="shared" si="9"/>
        <v>0.5</v>
      </c>
      <c r="F104" s="100">
        <f t="shared" si="10"/>
        <v>0.25</v>
      </c>
      <c r="G104" s="98"/>
      <c r="H104" s="130">
        <f t="shared" si="11"/>
        <v>112.5</v>
      </c>
      <c r="I104" s="131"/>
      <c r="J104" s="102">
        <v>0</v>
      </c>
      <c r="K104" s="102"/>
      <c r="L104" s="95"/>
      <c r="M104" s="95"/>
      <c r="N104" s="95"/>
      <c r="O104" s="95"/>
    </row>
    <row r="105" spans="1:15" ht="15" customHeight="1">
      <c r="A105" s="95"/>
      <c r="B105" s="96">
        <f t="shared" si="7"/>
        <v>2011</v>
      </c>
      <c r="C105" s="96"/>
      <c r="D105" s="100">
        <f t="shared" si="8"/>
        <v>228</v>
      </c>
      <c r="E105" s="129">
        <f t="shared" si="9"/>
        <v>1.5</v>
      </c>
      <c r="F105" s="100">
        <f t="shared" si="10"/>
        <v>2.25</v>
      </c>
      <c r="G105" s="98"/>
      <c r="H105" s="130">
        <f t="shared" si="11"/>
        <v>342</v>
      </c>
      <c r="I105" s="131"/>
      <c r="J105" s="102">
        <v>0</v>
      </c>
      <c r="K105" s="102"/>
      <c r="L105" s="95"/>
      <c r="M105" s="95"/>
      <c r="N105" s="95"/>
      <c r="O105" s="95"/>
    </row>
    <row r="106" spans="1:15" ht="15" customHeight="1">
      <c r="A106" s="95"/>
      <c r="B106" s="96">
        <f t="shared" si="7"/>
        <v>2012</v>
      </c>
      <c r="C106" s="96"/>
      <c r="D106" s="100">
        <f t="shared" si="8"/>
        <v>241</v>
      </c>
      <c r="E106" s="129">
        <f t="shared" si="9"/>
        <v>2.5</v>
      </c>
      <c r="F106" s="100">
        <f t="shared" si="10"/>
        <v>6.25</v>
      </c>
      <c r="G106" s="98"/>
      <c r="H106" s="130">
        <f t="shared" si="11"/>
        <v>602.5</v>
      </c>
      <c r="I106" s="131"/>
      <c r="J106" s="102">
        <v>0</v>
      </c>
      <c r="K106" s="102"/>
      <c r="L106" s="95"/>
      <c r="M106" s="95"/>
      <c r="N106" s="95"/>
      <c r="O106" s="95"/>
    </row>
    <row r="107" spans="1:15" ht="15" customHeight="1">
      <c r="A107" s="95"/>
      <c r="B107" s="96">
        <f t="shared" si="7"/>
        <v>2013</v>
      </c>
      <c r="C107" s="96"/>
      <c r="D107" s="100">
        <f t="shared" si="8"/>
        <v>252</v>
      </c>
      <c r="E107" s="129">
        <f t="shared" si="9"/>
        <v>3.5</v>
      </c>
      <c r="F107" s="100">
        <f t="shared" si="10"/>
        <v>12.25</v>
      </c>
      <c r="G107" s="98"/>
      <c r="H107" s="130">
        <f t="shared" si="11"/>
        <v>882</v>
      </c>
      <c r="I107" s="131"/>
      <c r="J107" s="102">
        <v>0</v>
      </c>
      <c r="K107" s="102"/>
      <c r="L107" s="95"/>
      <c r="M107" s="95"/>
      <c r="N107" s="95"/>
      <c r="O107" s="95"/>
    </row>
    <row r="108" spans="1:15" ht="15" customHeight="1">
      <c r="A108" s="95"/>
      <c r="B108" s="96">
        <f t="shared" si="7"/>
        <v>2014</v>
      </c>
      <c r="C108" s="96"/>
      <c r="D108" s="100">
        <f t="shared" si="8"/>
        <v>234</v>
      </c>
      <c r="E108" s="129">
        <f t="shared" si="9"/>
        <v>4.5</v>
      </c>
      <c r="F108" s="100">
        <f t="shared" si="10"/>
        <v>20.25</v>
      </c>
      <c r="G108" s="98"/>
      <c r="H108" s="130">
        <f t="shared" si="11"/>
        <v>1053</v>
      </c>
      <c r="I108" s="131"/>
      <c r="J108" s="102">
        <v>0</v>
      </c>
      <c r="K108" s="102"/>
      <c r="L108" s="95"/>
      <c r="M108" s="95"/>
      <c r="N108" s="95"/>
      <c r="O108" s="95"/>
    </row>
    <row r="109" spans="1:15" ht="15" customHeight="1" thickBot="1">
      <c r="A109" s="95"/>
      <c r="B109" s="103" t="s">
        <v>196</v>
      </c>
      <c r="C109" s="104"/>
      <c r="D109" s="132">
        <f>SUM(D99:D108)</f>
        <v>2147</v>
      </c>
      <c r="E109" s="107"/>
      <c r="F109" s="133">
        <f>ROUND(SUM(F99:F108),0)</f>
        <v>83</v>
      </c>
      <c r="G109" s="104"/>
      <c r="H109" s="134">
        <f>SUM(H99:H108)</f>
        <v>622.5</v>
      </c>
      <c r="I109" s="108"/>
      <c r="J109" s="135"/>
      <c r="K109" s="135"/>
      <c r="L109" s="95"/>
      <c r="M109" s="95"/>
      <c r="N109" s="95"/>
      <c r="O109" s="95"/>
    </row>
    <row r="110" spans="1:15" ht="15" customHeight="1">
      <c r="A110" s="95"/>
      <c r="B110" s="100" t="s">
        <v>197</v>
      </c>
      <c r="C110" s="100"/>
      <c r="D110" s="136" t="s">
        <v>198</v>
      </c>
      <c r="E110" s="95"/>
      <c r="F110" s="95"/>
      <c r="G110" s="93">
        <f>((COUNT(B$99:B$108))*H$109-D$109*E$109)/((COUNT(B$99:B$108))*F$109-E$109*E$109)</f>
        <v>7.5</v>
      </c>
      <c r="H110" s="136" t="s">
        <v>199</v>
      </c>
      <c r="I110" s="93"/>
      <c r="J110" s="93"/>
      <c r="K110" s="93">
        <f>ROUND((F109*D109-H109*E109)/(COUNT(B$99:B$108)*F109-E109*E109),0)</f>
        <v>215</v>
      </c>
      <c r="L110" s="95"/>
      <c r="M110" s="95"/>
      <c r="N110" s="95"/>
      <c r="O110" s="95"/>
    </row>
    <row r="111" spans="1:15" ht="15" customHeight="1">
      <c r="A111" s="95"/>
      <c r="B111" s="123"/>
      <c r="C111" s="123"/>
      <c r="D111" s="137"/>
      <c r="E111" s="93"/>
      <c r="F111" s="126"/>
      <c r="G111" s="124"/>
      <c r="H111" s="95"/>
      <c r="I111" s="124"/>
      <c r="J111" s="124"/>
      <c r="K111" s="127"/>
      <c r="L111" s="95"/>
      <c r="M111" s="95"/>
      <c r="N111" s="95"/>
      <c r="O111" s="95"/>
    </row>
    <row r="112" spans="1:15" ht="15" customHeight="1">
      <c r="A112" s="95"/>
      <c r="B112" s="95"/>
      <c r="C112" s="95"/>
      <c r="D112" s="95"/>
      <c r="E112" s="111"/>
      <c r="F112" s="95"/>
      <c r="G112" s="95"/>
      <c r="H112" s="95"/>
      <c r="I112" s="95"/>
      <c r="J112" s="95"/>
      <c r="K112" s="95"/>
      <c r="L112" s="95"/>
      <c r="M112" s="95"/>
      <c r="N112" s="95"/>
      <c r="O112" s="95"/>
    </row>
    <row r="113" spans="1:15" ht="15" customHeight="1" thickBot="1">
      <c r="A113" s="95"/>
      <c r="B113" s="95"/>
      <c r="C113" s="95"/>
      <c r="D113" s="95"/>
      <c r="E113" s="95"/>
      <c r="F113" s="100" t="s">
        <v>200</v>
      </c>
      <c r="G113" s="100"/>
      <c r="H113" s="95"/>
      <c r="I113" s="95"/>
      <c r="J113" s="95"/>
      <c r="K113" s="95"/>
      <c r="L113" s="95"/>
      <c r="M113" s="95"/>
      <c r="N113" s="95"/>
      <c r="O113" s="95"/>
    </row>
    <row r="114" spans="1:15" ht="15" customHeight="1">
      <c r="A114" s="95"/>
      <c r="B114" s="94" t="s">
        <v>155</v>
      </c>
      <c r="C114" s="94"/>
      <c r="D114" s="94" t="s">
        <v>202</v>
      </c>
      <c r="E114" s="94"/>
      <c r="F114" s="94" t="s">
        <v>157</v>
      </c>
      <c r="G114" s="94"/>
      <c r="H114" s="94" t="s">
        <v>158</v>
      </c>
      <c r="I114" s="94"/>
      <c r="J114" s="94" t="s">
        <v>159</v>
      </c>
      <c r="K114" s="94"/>
      <c r="L114" s="95"/>
      <c r="M114" s="95"/>
      <c r="N114" s="95"/>
      <c r="O114" s="95"/>
    </row>
    <row r="115" spans="1:15" ht="15" customHeight="1">
      <c r="A115" s="95"/>
      <c r="B115" s="112">
        <v>2014</v>
      </c>
      <c r="C115" s="113"/>
      <c r="D115" s="113">
        <f t="shared" ref="D115:D131" si="12">ROUNDUP(G$110*(B115-B$108+E$108)+K$110,0)</f>
        <v>249</v>
      </c>
      <c r="E115" s="113"/>
      <c r="F115" s="113">
        <v>0</v>
      </c>
      <c r="G115" s="113"/>
      <c r="H115" s="113">
        <f t="shared" ref="H115:H131" si="13">ROUND(D115*(1+F115),0)</f>
        <v>249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2015</v>
      </c>
      <c r="C116" s="116"/>
      <c r="D116" s="116">
        <f t="shared" si="12"/>
        <v>257</v>
      </c>
      <c r="E116" s="116"/>
      <c r="F116" s="116">
        <v>0</v>
      </c>
      <c r="G116" s="116"/>
      <c r="H116" s="116">
        <f t="shared" si="13"/>
        <v>257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2016</v>
      </c>
      <c r="C117" s="113"/>
      <c r="D117" s="113">
        <f t="shared" si="12"/>
        <v>264</v>
      </c>
      <c r="E117" s="113"/>
      <c r="F117" s="113">
        <v>0</v>
      </c>
      <c r="G117" s="113"/>
      <c r="H117" s="113">
        <f t="shared" si="13"/>
        <v>264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2017</v>
      </c>
      <c r="C118" s="113"/>
      <c r="D118" s="113">
        <f t="shared" si="12"/>
        <v>272</v>
      </c>
      <c r="E118" s="113"/>
      <c r="F118" s="113">
        <v>0</v>
      </c>
      <c r="G118" s="113"/>
      <c r="H118" s="113">
        <f t="shared" si="13"/>
        <v>272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2018</v>
      </c>
      <c r="C119" s="113"/>
      <c r="D119" s="113">
        <f t="shared" si="12"/>
        <v>279</v>
      </c>
      <c r="E119" s="113"/>
      <c r="F119" s="113">
        <v>0</v>
      </c>
      <c r="G119" s="113"/>
      <c r="H119" s="113">
        <f t="shared" si="13"/>
        <v>279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2019</v>
      </c>
      <c r="C120" s="113"/>
      <c r="D120" s="113">
        <f t="shared" si="12"/>
        <v>287</v>
      </c>
      <c r="E120" s="113"/>
      <c r="F120" s="113">
        <v>0</v>
      </c>
      <c r="G120" s="113"/>
      <c r="H120" s="113">
        <f t="shared" si="13"/>
        <v>287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2020</v>
      </c>
      <c r="C121" s="116"/>
      <c r="D121" s="116">
        <f t="shared" si="12"/>
        <v>294</v>
      </c>
      <c r="E121" s="116"/>
      <c r="F121" s="116">
        <v>0</v>
      </c>
      <c r="G121" s="116"/>
      <c r="H121" s="116">
        <f t="shared" si="13"/>
        <v>294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2021</v>
      </c>
      <c r="C122" s="113"/>
      <c r="D122" s="113">
        <f t="shared" si="12"/>
        <v>302</v>
      </c>
      <c r="E122" s="113"/>
      <c r="F122" s="113">
        <v>0</v>
      </c>
      <c r="G122" s="113"/>
      <c r="H122" s="113">
        <f t="shared" si="13"/>
        <v>302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2022</v>
      </c>
      <c r="C123" s="113"/>
      <c r="D123" s="113">
        <f t="shared" si="12"/>
        <v>309</v>
      </c>
      <c r="E123" s="113"/>
      <c r="F123" s="113">
        <v>0</v>
      </c>
      <c r="G123" s="113"/>
      <c r="H123" s="113">
        <f t="shared" si="13"/>
        <v>309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2023</v>
      </c>
      <c r="C124" s="113"/>
      <c r="D124" s="113">
        <f t="shared" si="12"/>
        <v>317</v>
      </c>
      <c r="E124" s="113"/>
      <c r="F124" s="113">
        <v>0</v>
      </c>
      <c r="G124" s="113"/>
      <c r="H124" s="113">
        <f t="shared" si="13"/>
        <v>317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2024</v>
      </c>
      <c r="C125" s="113"/>
      <c r="D125" s="113">
        <f t="shared" si="12"/>
        <v>324</v>
      </c>
      <c r="E125" s="113"/>
      <c r="F125" s="113">
        <v>0</v>
      </c>
      <c r="G125" s="113"/>
      <c r="H125" s="113">
        <f t="shared" si="13"/>
        <v>324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>
      <c r="A126" s="95"/>
      <c r="B126" s="115">
        <v>2025</v>
      </c>
      <c r="C126" s="116"/>
      <c r="D126" s="116">
        <f t="shared" si="12"/>
        <v>332</v>
      </c>
      <c r="E126" s="116"/>
      <c r="F126" s="116">
        <v>0</v>
      </c>
      <c r="G126" s="116"/>
      <c r="H126" s="116">
        <f t="shared" si="13"/>
        <v>332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12">
        <v>2026</v>
      </c>
      <c r="C127" s="113"/>
      <c r="D127" s="113">
        <f t="shared" si="12"/>
        <v>339</v>
      </c>
      <c r="E127" s="113"/>
      <c r="F127" s="113">
        <v>0</v>
      </c>
      <c r="G127" s="113"/>
      <c r="H127" s="113">
        <f t="shared" si="13"/>
        <v>339</v>
      </c>
      <c r="I127" s="113"/>
      <c r="J127" s="114">
        <v>0</v>
      </c>
      <c r="K127" s="114"/>
      <c r="L127" s="95"/>
      <c r="M127" s="95"/>
      <c r="N127" s="95"/>
      <c r="O127" s="95"/>
    </row>
    <row r="128" spans="1:15" ht="15" customHeight="1">
      <c r="A128" s="95"/>
      <c r="B128" s="112">
        <v>2027</v>
      </c>
      <c r="C128" s="113"/>
      <c r="D128" s="113">
        <f t="shared" si="12"/>
        <v>347</v>
      </c>
      <c r="E128" s="113"/>
      <c r="F128" s="113">
        <v>0</v>
      </c>
      <c r="G128" s="113"/>
      <c r="H128" s="113">
        <f t="shared" si="13"/>
        <v>347</v>
      </c>
      <c r="I128" s="113"/>
      <c r="J128" s="114">
        <v>0</v>
      </c>
      <c r="K128" s="114"/>
      <c r="L128" s="95"/>
      <c r="M128" s="95"/>
      <c r="N128" s="95"/>
      <c r="O128" s="95"/>
    </row>
    <row r="129" spans="1:15" ht="15" customHeight="1">
      <c r="A129" s="95"/>
      <c r="B129" s="112">
        <v>2028</v>
      </c>
      <c r="C129" s="113"/>
      <c r="D129" s="113">
        <f t="shared" si="12"/>
        <v>354</v>
      </c>
      <c r="E129" s="113"/>
      <c r="F129" s="113">
        <v>0</v>
      </c>
      <c r="G129" s="113"/>
      <c r="H129" s="113">
        <f t="shared" si="13"/>
        <v>354</v>
      </c>
      <c r="I129" s="113"/>
      <c r="J129" s="114">
        <v>0</v>
      </c>
      <c r="K129" s="114"/>
      <c r="L129" s="95"/>
      <c r="M129" s="95"/>
      <c r="N129" s="95"/>
      <c r="O129" s="95"/>
    </row>
    <row r="130" spans="1:15" ht="15" customHeight="1">
      <c r="A130" s="95"/>
      <c r="B130" s="112">
        <v>2029</v>
      </c>
      <c r="C130" s="113"/>
      <c r="D130" s="113">
        <f t="shared" si="12"/>
        <v>362</v>
      </c>
      <c r="E130" s="113"/>
      <c r="F130" s="113">
        <v>0</v>
      </c>
      <c r="G130" s="113"/>
      <c r="H130" s="113">
        <f t="shared" si="13"/>
        <v>362</v>
      </c>
      <c r="I130" s="113"/>
      <c r="J130" s="114">
        <v>0</v>
      </c>
      <c r="K130" s="114"/>
      <c r="L130" s="95"/>
      <c r="M130" s="95"/>
      <c r="N130" s="95"/>
      <c r="O130" s="95"/>
    </row>
    <row r="131" spans="1:15" ht="15" customHeight="1">
      <c r="A131" s="95"/>
      <c r="B131" s="115">
        <v>2030</v>
      </c>
      <c r="C131" s="116"/>
      <c r="D131" s="116">
        <f t="shared" si="12"/>
        <v>369</v>
      </c>
      <c r="E131" s="116"/>
      <c r="F131" s="116">
        <v>0</v>
      </c>
      <c r="G131" s="116"/>
      <c r="H131" s="116">
        <f t="shared" si="13"/>
        <v>369</v>
      </c>
      <c r="I131" s="116"/>
      <c r="J131" s="117">
        <v>0</v>
      </c>
      <c r="K131" s="117"/>
      <c r="L131" s="95"/>
      <c r="M131" s="95"/>
      <c r="N131" s="95"/>
      <c r="O131" s="95"/>
    </row>
    <row r="132" spans="1:15" ht="15" customHeight="1">
      <c r="A132" s="95"/>
      <c r="B132" s="112">
        <v>2031</v>
      </c>
      <c r="C132" s="113"/>
      <c r="D132" s="113">
        <f>ROUNDUP(G$110*(B132-B$108+E$108)+K$110,0)</f>
        <v>377</v>
      </c>
      <c r="E132" s="113"/>
      <c r="F132" s="113">
        <v>0</v>
      </c>
      <c r="G132" s="113"/>
      <c r="H132" s="113">
        <f>ROUND(D132*(1+F132),0)</f>
        <v>377</v>
      </c>
      <c r="I132" s="113"/>
      <c r="J132" s="114">
        <v>0</v>
      </c>
      <c r="K132" s="114"/>
      <c r="L132" s="95"/>
      <c r="M132" s="95"/>
      <c r="N132" s="95"/>
      <c r="O132" s="95"/>
    </row>
    <row r="133" spans="1:15" ht="15" customHeight="1">
      <c r="A133" s="95"/>
      <c r="B133" s="112">
        <v>2032</v>
      </c>
      <c r="C133" s="113"/>
      <c r="D133" s="113">
        <f>ROUNDUP(G$110*(B133-B$108+E$108)+K$110,0)</f>
        <v>384</v>
      </c>
      <c r="E133" s="113"/>
      <c r="F133" s="113">
        <v>0</v>
      </c>
      <c r="G133" s="113"/>
      <c r="H133" s="113">
        <f>ROUND(D133*(1+F133),0)</f>
        <v>384</v>
      </c>
      <c r="I133" s="113"/>
      <c r="J133" s="114">
        <v>0</v>
      </c>
      <c r="K133" s="114"/>
      <c r="L133" s="95"/>
      <c r="M133" s="95"/>
      <c r="N133" s="95"/>
      <c r="O133" s="95"/>
    </row>
    <row r="134" spans="1:15" ht="15" customHeight="1">
      <c r="A134" s="95"/>
      <c r="B134" s="112">
        <v>2033</v>
      </c>
      <c r="C134" s="113"/>
      <c r="D134" s="113">
        <f>ROUNDUP(G$110*(B134-B$108+E$108)+K$110,0)</f>
        <v>392</v>
      </c>
      <c r="E134" s="113"/>
      <c r="F134" s="113">
        <v>0</v>
      </c>
      <c r="G134" s="113"/>
      <c r="H134" s="113">
        <f>ROUND(D134*(1+F134),0)</f>
        <v>392</v>
      </c>
      <c r="I134" s="113"/>
      <c r="J134" s="114">
        <v>0</v>
      </c>
      <c r="K134" s="114"/>
      <c r="L134" s="95"/>
      <c r="M134" s="95"/>
      <c r="N134" s="95"/>
      <c r="O134" s="95"/>
    </row>
    <row r="135" spans="1:15" ht="15" customHeight="1">
      <c r="A135" s="95"/>
      <c r="B135" s="112">
        <v>2034</v>
      </c>
      <c r="C135" s="113"/>
      <c r="D135" s="113">
        <f>ROUNDUP(G$110*(B135-B$108+E$108)+K$110,0)</f>
        <v>399</v>
      </c>
      <c r="E135" s="113"/>
      <c r="F135" s="113">
        <v>0</v>
      </c>
      <c r="G135" s="113"/>
      <c r="H135" s="113">
        <f>ROUND(D135*(1+F135),0)</f>
        <v>399</v>
      </c>
      <c r="I135" s="113"/>
      <c r="J135" s="114">
        <v>0</v>
      </c>
      <c r="K135" s="114"/>
      <c r="L135" s="95"/>
      <c r="M135" s="95"/>
      <c r="N135" s="95"/>
      <c r="O135" s="95"/>
    </row>
    <row r="136" spans="1:15" ht="15" customHeight="1" thickBot="1">
      <c r="A136" s="95"/>
      <c r="B136" s="115">
        <v>2035</v>
      </c>
      <c r="C136" s="116"/>
      <c r="D136" s="116">
        <f>ROUNDUP(G$110*(B136-B$108+E$108)+K$110,0)</f>
        <v>407</v>
      </c>
      <c r="E136" s="116"/>
      <c r="F136" s="116">
        <v>0</v>
      </c>
      <c r="G136" s="116"/>
      <c r="H136" s="116">
        <f>ROUND(D136*(1+F136),0)</f>
        <v>407</v>
      </c>
      <c r="I136" s="116"/>
      <c r="J136" s="117">
        <v>0</v>
      </c>
      <c r="K136" s="117"/>
      <c r="L136" s="95"/>
      <c r="M136" s="95"/>
      <c r="N136" s="95"/>
      <c r="O136" s="95"/>
    </row>
    <row r="137" spans="1:15" ht="15" customHeight="1">
      <c r="A137" s="95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95"/>
      <c r="M137" s="95"/>
      <c r="N137" s="95"/>
      <c r="O137" s="95"/>
    </row>
    <row r="138" spans="1:15" ht="15" customHeight="1">
      <c r="A138" s="95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95"/>
      <c r="M138" s="95"/>
      <c r="N138" s="95"/>
      <c r="O138" s="95"/>
    </row>
    <row r="139" spans="1:15" ht="15" customHeight="1">
      <c r="A139" s="95"/>
      <c r="B139" s="110" t="s">
        <v>203</v>
      </c>
      <c r="C139" s="111"/>
      <c r="D139" s="111"/>
      <c r="E139" s="111"/>
      <c r="F139" s="111"/>
      <c r="G139" s="95"/>
      <c r="H139" s="95"/>
      <c r="I139" s="95"/>
      <c r="J139" s="95"/>
      <c r="K139" s="95"/>
      <c r="L139" s="95"/>
      <c r="M139" s="95"/>
      <c r="N139" s="95"/>
      <c r="O139" s="95"/>
    </row>
    <row r="140" spans="1:15" ht="15" customHeight="1">
      <c r="A140" s="95"/>
      <c r="B140" s="95"/>
      <c r="C140" s="111" t="s">
        <v>204</v>
      </c>
      <c r="D140" s="111" t="s">
        <v>205</v>
      </c>
      <c r="E140" s="111"/>
      <c r="F140" s="111"/>
      <c r="G140" s="138" t="b">
        <v>1</v>
      </c>
      <c r="H140" s="95"/>
      <c r="I140" s="95"/>
      <c r="J140" s="95"/>
      <c r="K140" s="95"/>
      <c r="L140" s="95"/>
      <c r="M140" s="95"/>
      <c r="N140" s="95"/>
      <c r="O140" s="95"/>
    </row>
    <row r="141" spans="1:15" ht="15" customHeight="1">
      <c r="A141" s="95"/>
      <c r="B141" s="93"/>
      <c r="C141" s="128" t="s">
        <v>185</v>
      </c>
      <c r="D141" s="111" t="s">
        <v>207</v>
      </c>
      <c r="E141" s="111"/>
      <c r="F141" s="93"/>
      <c r="G141" s="139" t="b">
        <v>0</v>
      </c>
      <c r="H141" s="95"/>
      <c r="I141" s="95"/>
      <c r="J141" s="95"/>
      <c r="K141" s="95"/>
      <c r="L141" s="95"/>
      <c r="M141" s="95"/>
      <c r="N141" s="95"/>
      <c r="O141" s="95"/>
    </row>
    <row r="142" spans="1:15" ht="15" customHeight="1">
      <c r="A142" s="95"/>
      <c r="B142" s="93"/>
      <c r="C142" s="128"/>
      <c r="D142" s="111" t="s">
        <v>208</v>
      </c>
      <c r="E142" s="111"/>
      <c r="F142" s="93"/>
      <c r="G142" s="95"/>
      <c r="H142" s="95"/>
      <c r="I142" s="95"/>
      <c r="J142" s="95"/>
      <c r="K142" s="95"/>
      <c r="L142" s="95"/>
      <c r="M142" s="95"/>
      <c r="N142" s="95"/>
      <c r="O142" s="95"/>
    </row>
    <row r="143" spans="1:15" ht="15" customHeight="1">
      <c r="A143" s="95"/>
      <c r="B143" s="111"/>
      <c r="C143" s="111"/>
      <c r="D143" s="111" t="s">
        <v>209</v>
      </c>
      <c r="E143" s="111"/>
      <c r="F143" s="111"/>
      <c r="G143" s="95"/>
      <c r="H143" s="95"/>
      <c r="I143" s="95"/>
      <c r="J143" s="95"/>
      <c r="K143" s="95"/>
      <c r="L143" s="95"/>
      <c r="M143" s="95"/>
      <c r="N143" s="95"/>
      <c r="O143" s="95"/>
    </row>
    <row r="144" spans="1:15" ht="15" customHeight="1" thickBot="1">
      <c r="A144" s="95"/>
      <c r="B144" s="95"/>
      <c r="C144" s="95"/>
      <c r="D144" s="95"/>
      <c r="E144" s="95"/>
      <c r="F144" s="100" t="s">
        <v>210</v>
      </c>
      <c r="G144" s="100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>
      <c r="A145" s="95"/>
      <c r="B145" s="94" t="s">
        <v>211</v>
      </c>
      <c r="C145" s="94"/>
      <c r="D145" s="94" t="s">
        <v>212</v>
      </c>
      <c r="E145" s="94" t="s">
        <v>213</v>
      </c>
      <c r="F145" s="94" t="s">
        <v>213</v>
      </c>
      <c r="G145" s="94" t="s">
        <v>214</v>
      </c>
      <c r="H145" s="94" t="s">
        <v>215</v>
      </c>
      <c r="I145" s="94"/>
      <c r="J145" s="94" t="s">
        <v>216</v>
      </c>
      <c r="K145" s="94" t="s">
        <v>217</v>
      </c>
      <c r="L145" s="95"/>
      <c r="M145" s="95"/>
      <c r="N145" s="95"/>
      <c r="O145" s="95"/>
    </row>
    <row r="146" spans="1:15" ht="15" customHeight="1">
      <c r="A146" s="95"/>
      <c r="B146" s="96">
        <f t="shared" ref="B146:B155" si="14">B99</f>
        <v>2005</v>
      </c>
      <c r="C146" s="96"/>
      <c r="D146" s="100">
        <f t="shared" ref="D146:D155" si="15">VLOOKUP(B146,B$7:E$16,3,FALSE)</f>
        <v>197</v>
      </c>
      <c r="E146" s="140">
        <f t="shared" ref="E146:E155" si="16">IF(G$140=FALSE,"",((COUNT(B$99:B$108)-1))+(B146-$C$4))</f>
        <v>0</v>
      </c>
      <c r="F146" s="141">
        <f>IF(E146=0,0,"")</f>
        <v>0</v>
      </c>
      <c r="G146" s="142">
        <f t="shared" ref="G146:G155" si="17">IF(F146="","",F146^2)</f>
        <v>0</v>
      </c>
      <c r="H146" s="131">
        <f t="shared" ref="H146:H155" si="18">IF(G146="","",ABS(D146-D$146))</f>
        <v>0</v>
      </c>
      <c r="I146" s="131"/>
      <c r="J146" s="141">
        <f>IF(H146=0,0,"")</f>
        <v>0</v>
      </c>
      <c r="K146" s="143">
        <f t="shared" ref="K146:K155" si="19">IF(J146="","",J146*F146)</f>
        <v>0</v>
      </c>
      <c r="L146" s="95"/>
      <c r="M146" s="95"/>
      <c r="N146" s="95"/>
      <c r="O146" s="95"/>
    </row>
    <row r="147" spans="1:15" ht="15" customHeight="1">
      <c r="A147" s="95"/>
      <c r="B147" s="96">
        <f t="shared" si="14"/>
        <v>2006</v>
      </c>
      <c r="C147" s="96"/>
      <c r="D147" s="100">
        <f t="shared" si="15"/>
        <v>194</v>
      </c>
      <c r="E147" s="140">
        <f t="shared" si="16"/>
        <v>1</v>
      </c>
      <c r="F147" s="141">
        <f t="shared" ref="F147:F155" si="20">IF(E147="","",LOG(E147))</f>
        <v>0</v>
      </c>
      <c r="G147" s="142">
        <f t="shared" si="17"/>
        <v>0</v>
      </c>
      <c r="H147" s="131">
        <f t="shared" si="18"/>
        <v>3</v>
      </c>
      <c r="I147" s="131"/>
      <c r="J147" s="143">
        <f t="shared" ref="J147:J155" si="21">IF(H147="","",LOG(H147))</f>
        <v>0.47712125471966244</v>
      </c>
      <c r="K147" s="143">
        <f t="shared" si="19"/>
        <v>0</v>
      </c>
      <c r="L147" s="95"/>
      <c r="M147" s="95"/>
      <c r="N147" s="95"/>
      <c r="O147" s="95"/>
    </row>
    <row r="148" spans="1:15" ht="15" customHeight="1">
      <c r="A148" s="95"/>
      <c r="B148" s="96">
        <f t="shared" si="14"/>
        <v>2007</v>
      </c>
      <c r="C148" s="96"/>
      <c r="D148" s="100">
        <f t="shared" si="15"/>
        <v>162</v>
      </c>
      <c r="E148" s="140">
        <f t="shared" si="16"/>
        <v>2</v>
      </c>
      <c r="F148" s="141">
        <f t="shared" si="20"/>
        <v>0.3010299956639812</v>
      </c>
      <c r="G148" s="142">
        <f t="shared" si="17"/>
        <v>9.0619058289456544E-2</v>
      </c>
      <c r="H148" s="131">
        <f t="shared" si="18"/>
        <v>35</v>
      </c>
      <c r="I148" s="131"/>
      <c r="J148" s="143">
        <f t="shared" si="21"/>
        <v>1.5440680443502757</v>
      </c>
      <c r="K148" s="143">
        <f t="shared" si="19"/>
        <v>0.46481079669565539</v>
      </c>
      <c r="L148" s="95"/>
      <c r="M148" s="95"/>
      <c r="N148" s="95"/>
      <c r="O148" s="95"/>
    </row>
    <row r="149" spans="1:15" ht="15" customHeight="1">
      <c r="A149" s="95"/>
      <c r="B149" s="96">
        <f t="shared" si="14"/>
        <v>2008</v>
      </c>
      <c r="C149" s="96"/>
      <c r="D149" s="100">
        <f t="shared" si="15"/>
        <v>192</v>
      </c>
      <c r="E149" s="140">
        <f t="shared" si="16"/>
        <v>3</v>
      </c>
      <c r="F149" s="141">
        <f t="shared" si="20"/>
        <v>0.47712125471966244</v>
      </c>
      <c r="G149" s="142">
        <f t="shared" si="17"/>
        <v>0.227644691705265</v>
      </c>
      <c r="H149" s="131">
        <f t="shared" si="18"/>
        <v>5</v>
      </c>
      <c r="I149" s="131"/>
      <c r="J149" s="143">
        <f t="shared" si="21"/>
        <v>0.69897000433601886</v>
      </c>
      <c r="K149" s="143">
        <f t="shared" si="19"/>
        <v>0.33349344548020921</v>
      </c>
      <c r="L149" s="95"/>
      <c r="M149" s="95"/>
      <c r="N149" s="95"/>
      <c r="O149" s="95"/>
    </row>
    <row r="150" spans="1:15" ht="15" customHeight="1">
      <c r="A150" s="95"/>
      <c r="B150" s="96">
        <f t="shared" si="14"/>
        <v>2009</v>
      </c>
      <c r="C150" s="96"/>
      <c r="D150" s="100">
        <f t="shared" si="15"/>
        <v>222</v>
      </c>
      <c r="E150" s="140">
        <f t="shared" si="16"/>
        <v>4</v>
      </c>
      <c r="F150" s="141">
        <f t="shared" si="20"/>
        <v>0.6020599913279624</v>
      </c>
      <c r="G150" s="142">
        <f t="shared" si="17"/>
        <v>0.36247623315782618</v>
      </c>
      <c r="H150" s="131">
        <f t="shared" si="18"/>
        <v>25</v>
      </c>
      <c r="I150" s="131"/>
      <c r="J150" s="143">
        <f t="shared" si="21"/>
        <v>1.3979400086720377</v>
      </c>
      <c r="K150" s="143">
        <f t="shared" si="19"/>
        <v>0.84164374949809873</v>
      </c>
      <c r="L150" s="95"/>
      <c r="M150" s="95"/>
      <c r="N150" s="95"/>
      <c r="O150" s="95"/>
    </row>
    <row r="151" spans="1:15" ht="15" customHeight="1">
      <c r="A151" s="95"/>
      <c r="B151" s="96">
        <f t="shared" si="14"/>
        <v>2010</v>
      </c>
      <c r="C151" s="96"/>
      <c r="D151" s="100">
        <f t="shared" si="15"/>
        <v>225</v>
      </c>
      <c r="E151" s="140">
        <f t="shared" si="16"/>
        <v>5</v>
      </c>
      <c r="F151" s="141">
        <f t="shared" si="20"/>
        <v>0.69897000433601886</v>
      </c>
      <c r="G151" s="142">
        <f t="shared" si="17"/>
        <v>0.4885590669614942</v>
      </c>
      <c r="H151" s="131">
        <f t="shared" si="18"/>
        <v>28</v>
      </c>
      <c r="I151" s="131"/>
      <c r="J151" s="143">
        <f t="shared" si="21"/>
        <v>1.4471580313422192</v>
      </c>
      <c r="K151" s="143">
        <f t="shared" si="19"/>
        <v>1.0115200554421755</v>
      </c>
      <c r="L151" s="95"/>
      <c r="M151" s="95"/>
      <c r="N151" s="95"/>
      <c r="O151" s="95"/>
    </row>
    <row r="152" spans="1:15" ht="15" customHeight="1">
      <c r="A152" s="95"/>
      <c r="B152" s="96">
        <f t="shared" si="14"/>
        <v>2011</v>
      </c>
      <c r="C152" s="96"/>
      <c r="D152" s="100">
        <f t="shared" si="15"/>
        <v>228</v>
      </c>
      <c r="E152" s="140">
        <f t="shared" si="16"/>
        <v>6</v>
      </c>
      <c r="F152" s="141">
        <f t="shared" si="20"/>
        <v>0.77815125038364363</v>
      </c>
      <c r="G152" s="142">
        <f t="shared" si="17"/>
        <v>0.60551936847362808</v>
      </c>
      <c r="H152" s="131">
        <f t="shared" si="18"/>
        <v>31</v>
      </c>
      <c r="I152" s="131"/>
      <c r="J152" s="143">
        <f t="shared" si="21"/>
        <v>1.4913616938342726</v>
      </c>
      <c r="K152" s="143">
        <f t="shared" si="19"/>
        <v>1.160504966831408</v>
      </c>
      <c r="L152" s="95"/>
      <c r="M152" s="95"/>
      <c r="N152" s="95"/>
      <c r="O152" s="95"/>
    </row>
    <row r="153" spans="1:15" ht="15" customHeight="1">
      <c r="A153" s="95"/>
      <c r="B153" s="96">
        <f t="shared" si="14"/>
        <v>2012</v>
      </c>
      <c r="C153" s="96"/>
      <c r="D153" s="100">
        <f t="shared" si="15"/>
        <v>241</v>
      </c>
      <c r="E153" s="140">
        <f t="shared" si="16"/>
        <v>7</v>
      </c>
      <c r="F153" s="141">
        <f t="shared" si="20"/>
        <v>0.84509804001425681</v>
      </c>
      <c r="G153" s="142">
        <f t="shared" si="17"/>
        <v>0.71419069723593842</v>
      </c>
      <c r="H153" s="131">
        <f t="shared" si="18"/>
        <v>44</v>
      </c>
      <c r="I153" s="131"/>
      <c r="J153" s="143">
        <f t="shared" si="21"/>
        <v>1.6434526764861874</v>
      </c>
      <c r="K153" s="143">
        <f t="shared" si="19"/>
        <v>1.3888786357546614</v>
      </c>
      <c r="L153" s="95"/>
      <c r="M153" s="95"/>
      <c r="N153" s="95"/>
      <c r="O153" s="95"/>
    </row>
    <row r="154" spans="1:15" ht="15" customHeight="1">
      <c r="A154" s="95"/>
      <c r="B154" s="96">
        <f t="shared" si="14"/>
        <v>2013</v>
      </c>
      <c r="C154" s="96"/>
      <c r="D154" s="100">
        <f t="shared" si="15"/>
        <v>252</v>
      </c>
      <c r="E154" s="140">
        <f t="shared" si="16"/>
        <v>8</v>
      </c>
      <c r="F154" s="141">
        <f t="shared" si="20"/>
        <v>0.90308998699194354</v>
      </c>
      <c r="G154" s="142">
        <f t="shared" si="17"/>
        <v>0.81557152460510873</v>
      </c>
      <c r="H154" s="131">
        <f t="shared" si="18"/>
        <v>55</v>
      </c>
      <c r="I154" s="131"/>
      <c r="J154" s="143">
        <f t="shared" si="21"/>
        <v>1.7403626894942439</v>
      </c>
      <c r="K154" s="143">
        <f t="shared" si="19"/>
        <v>1.5717041186166205</v>
      </c>
      <c r="L154" s="95"/>
      <c r="M154" s="95"/>
      <c r="N154" s="95"/>
      <c r="O154" s="95"/>
    </row>
    <row r="155" spans="1:15" ht="15" customHeight="1">
      <c r="A155" s="95"/>
      <c r="B155" s="96">
        <f t="shared" si="14"/>
        <v>2014</v>
      </c>
      <c r="C155" s="96"/>
      <c r="D155" s="100">
        <f t="shared" si="15"/>
        <v>234</v>
      </c>
      <c r="E155" s="140">
        <f t="shared" si="16"/>
        <v>9</v>
      </c>
      <c r="F155" s="141">
        <f t="shared" si="20"/>
        <v>0.95424250943932487</v>
      </c>
      <c r="G155" s="142">
        <f t="shared" si="17"/>
        <v>0.91057876682105998</v>
      </c>
      <c r="H155" s="131">
        <f t="shared" si="18"/>
        <v>37</v>
      </c>
      <c r="I155" s="131"/>
      <c r="J155" s="143">
        <f t="shared" si="21"/>
        <v>1.568201724066995</v>
      </c>
      <c r="K155" s="143">
        <f t="shared" si="19"/>
        <v>1.496444748480765</v>
      </c>
      <c r="L155" s="95"/>
      <c r="M155" s="95"/>
      <c r="N155" s="95"/>
      <c r="O155" s="95"/>
    </row>
    <row r="156" spans="1:15" ht="15" customHeight="1" thickBot="1">
      <c r="A156" s="95"/>
      <c r="B156" s="103" t="s">
        <v>218</v>
      </c>
      <c r="C156" s="104"/>
      <c r="D156" s="144"/>
      <c r="E156" s="145"/>
      <c r="F156" s="146">
        <f>IF(F155="","",ROUND(SUM(F146:F155),6))</f>
        <v>5.5597630000000002</v>
      </c>
      <c r="G156" s="146">
        <f>IF(G155="","",ROUND(SUM(G146:G155),6))</f>
        <v>4.2151589999999999</v>
      </c>
      <c r="H156" s="147"/>
      <c r="I156" s="148"/>
      <c r="J156" s="149">
        <f>IF(J155="","",SUM(J146:J155))</f>
        <v>12.008636127301914</v>
      </c>
      <c r="K156" s="149">
        <f>IF(K155="","",SUM(K146:K155))</f>
        <v>8.2690005167995952</v>
      </c>
      <c r="L156" s="95"/>
      <c r="M156" s="95"/>
      <c r="N156" s="95"/>
      <c r="O156" s="95"/>
    </row>
    <row r="157" spans="1:15" ht="15" customHeight="1">
      <c r="A157" s="95"/>
      <c r="B157" s="100" t="s">
        <v>219</v>
      </c>
      <c r="C157" s="100"/>
      <c r="D157" s="93" t="s">
        <v>162</v>
      </c>
      <c r="E157" s="93">
        <f>IF(G156="",0,10^ROUND((G156*J156-F156*K156)/((COUNT(B$146:B$155)-1)*G156-F156*F156),5))</f>
        <v>4.5825794158602573</v>
      </c>
      <c r="F157" s="137" t="s">
        <v>220</v>
      </c>
      <c r="G157" s="95"/>
      <c r="H157" s="100"/>
      <c r="I157" s="95"/>
      <c r="J157" s="150">
        <f>IF(G156="",0,ROUND(((COUNT(B$146:B$155)-1)*K156-J156*F156)/((COUNT(B$146:B$155)-1)*G156-F156*F156),5))</f>
        <v>1.0897300000000001</v>
      </c>
      <c r="K157" s="151"/>
      <c r="L157" s="95"/>
      <c r="M157" s="95"/>
      <c r="N157" s="95"/>
      <c r="O157" s="95"/>
    </row>
    <row r="158" spans="1:15" ht="15" customHeight="1">
      <c r="A158" s="95"/>
      <c r="B158" s="95"/>
      <c r="C158" s="95"/>
      <c r="D158" s="137" t="s">
        <v>221</v>
      </c>
      <c r="E158" s="111"/>
      <c r="F158" s="111"/>
      <c r="G158" s="152"/>
      <c r="H158" s="93" t="s">
        <v>222</v>
      </c>
      <c r="I158" s="111" t="s">
        <v>223</v>
      </c>
      <c r="J158" s="93" t="str">
        <f>"A = 10^("&amp;RIGHT(H158,1)&amp;") "</f>
        <v xml:space="preserve">A = 10^(b) </v>
      </c>
      <c r="K158" s="95"/>
      <c r="L158" s="95"/>
      <c r="M158" s="95"/>
      <c r="N158" s="95"/>
      <c r="O158" s="95"/>
    </row>
    <row r="159" spans="1:15" ht="1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</row>
    <row r="160" spans="1:15" ht="15" customHeight="1" thickBot="1">
      <c r="A160" s="95"/>
      <c r="B160" s="95"/>
      <c r="C160" s="95"/>
      <c r="D160" s="95"/>
      <c r="E160" s="95"/>
      <c r="F160" s="100" t="s">
        <v>224</v>
      </c>
      <c r="G160" s="100"/>
      <c r="H160" s="95"/>
      <c r="I160" s="95"/>
      <c r="J160" s="95"/>
      <c r="K160" s="95"/>
      <c r="L160" s="95"/>
      <c r="M160" s="95"/>
      <c r="N160" s="95"/>
      <c r="O160" s="95"/>
    </row>
    <row r="161" spans="1:15" ht="15" customHeight="1">
      <c r="A161" s="95"/>
      <c r="B161" s="94" t="s">
        <v>155</v>
      </c>
      <c r="C161" s="94"/>
      <c r="D161" s="94" t="s">
        <v>202</v>
      </c>
      <c r="E161" s="94"/>
      <c r="F161" s="94" t="s">
        <v>226</v>
      </c>
      <c r="G161" s="94"/>
      <c r="H161" s="94" t="s">
        <v>227</v>
      </c>
      <c r="I161" s="94"/>
      <c r="J161" s="94" t="s">
        <v>228</v>
      </c>
      <c r="K161" s="94"/>
      <c r="L161" s="95"/>
      <c r="M161" s="95"/>
      <c r="N161" s="95"/>
      <c r="O161" s="95"/>
    </row>
    <row r="162" spans="1:15" ht="15" customHeight="1">
      <c r="A162" s="95"/>
      <c r="B162" s="112">
        <v>2014</v>
      </c>
      <c r="C162" s="100"/>
      <c r="D162" s="153">
        <f t="shared" ref="D162:D178" si="22">IF(J$157=0,0,ROUNDUP(D$146+E$157*(B162-B$146)^J$157,0))</f>
        <v>248</v>
      </c>
      <c r="E162" s="153"/>
      <c r="F162" s="97">
        <v>0</v>
      </c>
      <c r="G162" s="97"/>
      <c r="H162" s="97">
        <f t="shared" ref="H162:H178" si="23">ROUND(D162*(1+F162),0)</f>
        <v>248</v>
      </c>
      <c r="I162" s="97"/>
      <c r="J162" s="102">
        <v>0</v>
      </c>
      <c r="K162" s="102"/>
      <c r="L162" s="95"/>
      <c r="M162" s="95"/>
      <c r="N162" s="95"/>
      <c r="O162" s="95"/>
    </row>
    <row r="163" spans="1:15" ht="15" customHeight="1">
      <c r="A163" s="95"/>
      <c r="B163" s="115">
        <v>2015</v>
      </c>
      <c r="C163" s="116"/>
      <c r="D163" s="154">
        <f t="shared" si="22"/>
        <v>254</v>
      </c>
      <c r="E163" s="154"/>
      <c r="F163" s="155">
        <v>0</v>
      </c>
      <c r="G163" s="155"/>
      <c r="H163" s="155">
        <f t="shared" si="23"/>
        <v>254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2016</v>
      </c>
      <c r="C164" s="113"/>
      <c r="D164" s="153">
        <f t="shared" si="22"/>
        <v>260</v>
      </c>
      <c r="E164" s="153"/>
      <c r="F164" s="156">
        <v>0</v>
      </c>
      <c r="G164" s="156"/>
      <c r="H164" s="156">
        <f t="shared" si="23"/>
        <v>260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2017</v>
      </c>
      <c r="C165" s="113"/>
      <c r="D165" s="153">
        <f t="shared" si="22"/>
        <v>266</v>
      </c>
      <c r="E165" s="153"/>
      <c r="F165" s="156">
        <v>0</v>
      </c>
      <c r="G165" s="156"/>
      <c r="H165" s="156">
        <f t="shared" si="23"/>
        <v>266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2018</v>
      </c>
      <c r="C166" s="113"/>
      <c r="D166" s="153">
        <f t="shared" si="22"/>
        <v>272</v>
      </c>
      <c r="E166" s="153"/>
      <c r="F166" s="156">
        <v>0</v>
      </c>
      <c r="G166" s="156"/>
      <c r="H166" s="156">
        <f t="shared" si="23"/>
        <v>272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2019</v>
      </c>
      <c r="C167" s="113"/>
      <c r="D167" s="153">
        <f t="shared" si="22"/>
        <v>279</v>
      </c>
      <c r="E167" s="153"/>
      <c r="F167" s="156">
        <v>0</v>
      </c>
      <c r="G167" s="156"/>
      <c r="H167" s="156">
        <f t="shared" si="23"/>
        <v>279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>
      <c r="A168" s="95"/>
      <c r="B168" s="115">
        <v>2020</v>
      </c>
      <c r="C168" s="116"/>
      <c r="D168" s="154">
        <f t="shared" si="22"/>
        <v>285</v>
      </c>
      <c r="E168" s="154"/>
      <c r="F168" s="155">
        <v>0</v>
      </c>
      <c r="G168" s="155"/>
      <c r="H168" s="155">
        <f t="shared" si="23"/>
        <v>285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12">
        <v>2021</v>
      </c>
      <c r="C169" s="113"/>
      <c r="D169" s="153">
        <f t="shared" si="22"/>
        <v>292</v>
      </c>
      <c r="E169" s="153"/>
      <c r="F169" s="156">
        <v>0</v>
      </c>
      <c r="G169" s="156"/>
      <c r="H169" s="156">
        <f t="shared" si="23"/>
        <v>292</v>
      </c>
      <c r="I169" s="156"/>
      <c r="J169" s="114">
        <v>0</v>
      </c>
      <c r="K169" s="114"/>
      <c r="L169" s="95"/>
      <c r="M169" s="95"/>
      <c r="N169" s="95"/>
      <c r="O169" s="95"/>
    </row>
    <row r="170" spans="1:15" ht="15" customHeight="1">
      <c r="A170" s="95"/>
      <c r="B170" s="112">
        <v>2022</v>
      </c>
      <c r="C170" s="113"/>
      <c r="D170" s="153">
        <f t="shared" si="22"/>
        <v>298</v>
      </c>
      <c r="E170" s="153"/>
      <c r="F170" s="156">
        <v>0</v>
      </c>
      <c r="G170" s="156"/>
      <c r="H170" s="156">
        <f t="shared" si="23"/>
        <v>298</v>
      </c>
      <c r="I170" s="156"/>
      <c r="J170" s="114">
        <v>0</v>
      </c>
      <c r="K170" s="114"/>
      <c r="L170" s="95"/>
      <c r="M170" s="95"/>
      <c r="N170" s="95"/>
      <c r="O170" s="95"/>
    </row>
    <row r="171" spans="1:15" ht="15" customHeight="1">
      <c r="A171" s="95"/>
      <c r="B171" s="112">
        <v>2023</v>
      </c>
      <c r="C171" s="113"/>
      <c r="D171" s="153">
        <f t="shared" si="22"/>
        <v>304</v>
      </c>
      <c r="E171" s="153"/>
      <c r="F171" s="156">
        <v>0</v>
      </c>
      <c r="G171" s="156"/>
      <c r="H171" s="156">
        <f t="shared" si="23"/>
        <v>304</v>
      </c>
      <c r="I171" s="156"/>
      <c r="J171" s="114">
        <v>0</v>
      </c>
      <c r="K171" s="114"/>
      <c r="L171" s="95"/>
      <c r="M171" s="95"/>
      <c r="N171" s="95"/>
      <c r="O171" s="95"/>
    </row>
    <row r="172" spans="1:15" ht="15" customHeight="1">
      <c r="A172" s="95"/>
      <c r="B172" s="112">
        <v>2024</v>
      </c>
      <c r="C172" s="113"/>
      <c r="D172" s="153">
        <f t="shared" si="22"/>
        <v>311</v>
      </c>
      <c r="E172" s="153"/>
      <c r="F172" s="156">
        <v>0</v>
      </c>
      <c r="G172" s="156"/>
      <c r="H172" s="156">
        <f t="shared" si="23"/>
        <v>311</v>
      </c>
      <c r="I172" s="156"/>
      <c r="J172" s="114">
        <v>0</v>
      </c>
      <c r="K172" s="114"/>
      <c r="L172" s="95"/>
      <c r="M172" s="95"/>
      <c r="N172" s="95"/>
      <c r="O172" s="95"/>
    </row>
    <row r="173" spans="1:15" ht="15" customHeight="1">
      <c r="A173" s="95"/>
      <c r="B173" s="115">
        <v>2025</v>
      </c>
      <c r="C173" s="116"/>
      <c r="D173" s="154">
        <f t="shared" si="22"/>
        <v>317</v>
      </c>
      <c r="E173" s="154"/>
      <c r="F173" s="155">
        <v>0</v>
      </c>
      <c r="G173" s="155"/>
      <c r="H173" s="155">
        <f t="shared" si="23"/>
        <v>317</v>
      </c>
      <c r="I173" s="155"/>
      <c r="J173" s="117">
        <v>0</v>
      </c>
      <c r="K173" s="117"/>
      <c r="L173" s="95"/>
      <c r="M173" s="95"/>
      <c r="N173" s="95"/>
      <c r="O173" s="95"/>
    </row>
    <row r="174" spans="1:15" ht="15" customHeight="1">
      <c r="A174" s="95"/>
      <c r="B174" s="112">
        <v>2026</v>
      </c>
      <c r="C174" s="113"/>
      <c r="D174" s="153">
        <f t="shared" si="22"/>
        <v>324</v>
      </c>
      <c r="E174" s="153"/>
      <c r="F174" s="156">
        <v>0</v>
      </c>
      <c r="G174" s="156"/>
      <c r="H174" s="156">
        <f t="shared" si="23"/>
        <v>324</v>
      </c>
      <c r="I174" s="156"/>
      <c r="J174" s="114">
        <v>0</v>
      </c>
      <c r="K174" s="114"/>
      <c r="L174" s="95"/>
      <c r="M174" s="95"/>
      <c r="N174" s="95"/>
      <c r="O174" s="95"/>
    </row>
    <row r="175" spans="1:15" ht="15" customHeight="1">
      <c r="A175" s="95"/>
      <c r="B175" s="112">
        <v>2027</v>
      </c>
      <c r="C175" s="113"/>
      <c r="D175" s="153">
        <f t="shared" si="22"/>
        <v>331</v>
      </c>
      <c r="E175" s="153"/>
      <c r="F175" s="156">
        <v>0</v>
      </c>
      <c r="G175" s="156"/>
      <c r="H175" s="156">
        <f t="shared" si="23"/>
        <v>331</v>
      </c>
      <c r="I175" s="156"/>
      <c r="J175" s="114">
        <v>0</v>
      </c>
      <c r="K175" s="114"/>
      <c r="L175" s="95"/>
      <c r="M175" s="95"/>
      <c r="N175" s="95"/>
      <c r="O175" s="95"/>
    </row>
    <row r="176" spans="1:15" ht="15" customHeight="1">
      <c r="A176" s="95"/>
      <c r="B176" s="112">
        <v>2028</v>
      </c>
      <c r="C176" s="113"/>
      <c r="D176" s="153">
        <f t="shared" si="22"/>
        <v>337</v>
      </c>
      <c r="E176" s="153"/>
      <c r="F176" s="156">
        <v>0</v>
      </c>
      <c r="G176" s="156"/>
      <c r="H176" s="156">
        <f t="shared" si="23"/>
        <v>337</v>
      </c>
      <c r="I176" s="156"/>
      <c r="J176" s="114">
        <v>0</v>
      </c>
      <c r="K176" s="114"/>
      <c r="L176" s="95"/>
      <c r="M176" s="95"/>
      <c r="N176" s="95"/>
      <c r="O176" s="95"/>
    </row>
    <row r="177" spans="1:15" ht="15" customHeight="1">
      <c r="A177" s="95"/>
      <c r="B177" s="112">
        <v>2029</v>
      </c>
      <c r="C177" s="113"/>
      <c r="D177" s="153">
        <f t="shared" si="22"/>
        <v>344</v>
      </c>
      <c r="E177" s="153"/>
      <c r="F177" s="156">
        <v>0</v>
      </c>
      <c r="G177" s="156"/>
      <c r="H177" s="156">
        <f t="shared" si="23"/>
        <v>344</v>
      </c>
      <c r="I177" s="156"/>
      <c r="J177" s="114">
        <v>0</v>
      </c>
      <c r="K177" s="114"/>
      <c r="L177" s="95"/>
      <c r="M177" s="95"/>
      <c r="N177" s="95"/>
      <c r="O177" s="95"/>
    </row>
    <row r="178" spans="1:15" ht="15" customHeight="1">
      <c r="A178" s="95"/>
      <c r="B178" s="115">
        <v>2030</v>
      </c>
      <c r="C178" s="116"/>
      <c r="D178" s="154">
        <f t="shared" si="22"/>
        <v>350</v>
      </c>
      <c r="E178" s="154"/>
      <c r="F178" s="155">
        <v>0</v>
      </c>
      <c r="G178" s="155"/>
      <c r="H178" s="155">
        <f t="shared" si="23"/>
        <v>350</v>
      </c>
      <c r="I178" s="155"/>
      <c r="J178" s="117">
        <v>0</v>
      </c>
      <c r="K178" s="117"/>
      <c r="L178" s="95"/>
      <c r="M178" s="95"/>
      <c r="N178" s="95"/>
      <c r="O178" s="95"/>
    </row>
    <row r="179" spans="1:15" ht="15" customHeight="1">
      <c r="A179" s="95"/>
      <c r="B179" s="112">
        <v>2031</v>
      </c>
      <c r="C179" s="113"/>
      <c r="D179" s="153">
        <f>IF(J$157=0,0,ROUNDUP(D$146+E$157*(B179-B$146)^J$157,0))</f>
        <v>357</v>
      </c>
      <c r="E179" s="153"/>
      <c r="F179" s="156">
        <v>0</v>
      </c>
      <c r="G179" s="156"/>
      <c r="H179" s="156">
        <f>ROUND(D179*(1+F179),0)</f>
        <v>357</v>
      </c>
      <c r="I179" s="156"/>
      <c r="J179" s="114">
        <v>0</v>
      </c>
      <c r="K179" s="114"/>
      <c r="L179" s="95"/>
      <c r="M179" s="95"/>
      <c r="N179" s="95"/>
      <c r="O179" s="95"/>
    </row>
    <row r="180" spans="1:15" ht="15" customHeight="1">
      <c r="A180" s="95"/>
      <c r="B180" s="112">
        <v>2032</v>
      </c>
      <c r="C180" s="113"/>
      <c r="D180" s="153">
        <f>IF(J$157=0,0,ROUNDUP(D$146+E$157*(B180-B$146)^J$157,0))</f>
        <v>364</v>
      </c>
      <c r="E180" s="153"/>
      <c r="F180" s="156">
        <v>0</v>
      </c>
      <c r="G180" s="156"/>
      <c r="H180" s="156">
        <f>ROUND(D180*(1+F180),0)</f>
        <v>364</v>
      </c>
      <c r="I180" s="156"/>
      <c r="J180" s="114">
        <v>0</v>
      </c>
      <c r="K180" s="114"/>
      <c r="L180" s="95"/>
      <c r="M180" s="95"/>
      <c r="N180" s="95"/>
      <c r="O180" s="95"/>
    </row>
    <row r="181" spans="1:15" ht="15" customHeight="1">
      <c r="A181" s="95"/>
      <c r="B181" s="112">
        <v>2033</v>
      </c>
      <c r="C181" s="113"/>
      <c r="D181" s="153">
        <f>IF(J$157=0,0,ROUNDUP(D$146+E$157*(B181-B$146)^J$157,0))</f>
        <v>371</v>
      </c>
      <c r="E181" s="153"/>
      <c r="F181" s="156">
        <v>0</v>
      </c>
      <c r="G181" s="156"/>
      <c r="H181" s="156">
        <f>ROUND(D181*(1+F181),0)</f>
        <v>371</v>
      </c>
      <c r="I181" s="156"/>
      <c r="J181" s="114">
        <v>0</v>
      </c>
      <c r="K181" s="114"/>
      <c r="L181" s="95"/>
      <c r="M181" s="95"/>
      <c r="N181" s="95"/>
      <c r="O181" s="95"/>
    </row>
    <row r="182" spans="1:15" ht="15" customHeight="1">
      <c r="A182" s="95"/>
      <c r="B182" s="112">
        <v>2034</v>
      </c>
      <c r="C182" s="113"/>
      <c r="D182" s="153">
        <f>IF(J$157=0,0,ROUNDUP(D$146+E$157*(B182-B$146)^J$157,0))</f>
        <v>377</v>
      </c>
      <c r="E182" s="153"/>
      <c r="F182" s="156">
        <v>0</v>
      </c>
      <c r="G182" s="156"/>
      <c r="H182" s="156">
        <f>ROUND(D182*(1+F182),0)</f>
        <v>377</v>
      </c>
      <c r="I182" s="156"/>
      <c r="J182" s="114">
        <v>0</v>
      </c>
      <c r="K182" s="114"/>
      <c r="L182" s="95"/>
      <c r="M182" s="95"/>
      <c r="N182" s="95"/>
      <c r="O182" s="95"/>
    </row>
    <row r="183" spans="1:15" ht="15" customHeight="1" thickBot="1">
      <c r="A183" s="95"/>
      <c r="B183" s="115">
        <v>2035</v>
      </c>
      <c r="C183" s="116"/>
      <c r="D183" s="154">
        <f>IF(J$157=0,0,ROUNDUP(D$146+E$157*(B183-B$146)^J$157,0))</f>
        <v>384</v>
      </c>
      <c r="E183" s="154"/>
      <c r="F183" s="155">
        <v>0</v>
      </c>
      <c r="G183" s="155"/>
      <c r="H183" s="155">
        <f>ROUND(D183*(1+F183),0)</f>
        <v>384</v>
      </c>
      <c r="I183" s="155"/>
      <c r="J183" s="117">
        <v>0</v>
      </c>
      <c r="K183" s="117"/>
      <c r="L183" s="95"/>
      <c r="M183" s="95"/>
      <c r="N183" s="95"/>
      <c r="O183" s="95"/>
    </row>
    <row r="184" spans="1:15" ht="15" customHeight="1">
      <c r="A184" s="95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95"/>
      <c r="M184" s="95"/>
      <c r="N184" s="95"/>
      <c r="O184" s="95"/>
    </row>
    <row r="185" spans="1:15" ht="15" customHeight="1">
      <c r="A185" s="95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95"/>
      <c r="M185" s="95"/>
      <c r="N185" s="95"/>
      <c r="O185" s="95"/>
    </row>
    <row r="186" spans="1:15" ht="15" customHeight="1">
      <c r="A186" s="95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95"/>
      <c r="M186" s="95"/>
      <c r="N186" s="95"/>
      <c r="O186" s="95"/>
    </row>
    <row r="187" spans="1:15" ht="15" customHeight="1">
      <c r="A187" s="95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95"/>
      <c r="M187" s="95"/>
      <c r="N187" s="95"/>
      <c r="O187" s="95"/>
    </row>
    <row r="188" spans="1:15" ht="15" customHeight="1">
      <c r="A188" s="95"/>
      <c r="B188" s="126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</row>
    <row r="189" spans="1:15" ht="15" customHeight="1">
      <c r="A189" s="95"/>
      <c r="B189" s="110" t="s">
        <v>229</v>
      </c>
      <c r="C189" s="111"/>
      <c r="D189" s="111"/>
      <c r="E189" s="111"/>
      <c r="F189" s="111"/>
      <c r="G189" s="111"/>
      <c r="H189" s="95"/>
      <c r="I189" s="95"/>
      <c r="J189" s="95"/>
      <c r="K189" s="95"/>
      <c r="L189" s="95"/>
      <c r="M189" s="95"/>
      <c r="N189" s="95"/>
      <c r="O189" s="95"/>
    </row>
    <row r="190" spans="1:15" ht="15" customHeight="1">
      <c r="A190" s="95"/>
      <c r="B190" s="95"/>
      <c r="C190" s="111" t="s">
        <v>230</v>
      </c>
      <c r="D190" s="111" t="s">
        <v>231</v>
      </c>
      <c r="E190" s="111"/>
      <c r="F190" s="111"/>
      <c r="G190" s="111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3"/>
      <c r="C191" s="128" t="s">
        <v>232</v>
      </c>
      <c r="D191" s="111" t="s">
        <v>233</v>
      </c>
      <c r="E191" s="111"/>
      <c r="F191" s="93"/>
      <c r="G191" s="95"/>
      <c r="H191" s="95"/>
      <c r="I191" s="95"/>
      <c r="J191" s="95"/>
      <c r="K191" s="95"/>
      <c r="L191" s="95"/>
      <c r="M191" s="95"/>
      <c r="N191" s="95"/>
      <c r="O191" s="95"/>
    </row>
    <row r="192" spans="1:15" ht="15" customHeight="1">
      <c r="A192" s="95"/>
      <c r="B192" s="93"/>
      <c r="C192" s="128"/>
      <c r="D192" s="111" t="s">
        <v>234</v>
      </c>
      <c r="E192" s="2250">
        <f>K7</f>
        <v>600</v>
      </c>
      <c r="F192" s="2250"/>
      <c r="G192" s="111" t="s">
        <v>235</v>
      </c>
      <c r="H192" s="111"/>
      <c r="I192" s="95"/>
      <c r="J192" s="95"/>
      <c r="K192" s="95"/>
      <c r="L192" s="95"/>
      <c r="M192" s="95"/>
      <c r="N192" s="95"/>
      <c r="O192" s="95"/>
    </row>
    <row r="193" spans="1:15" ht="15" customHeight="1" thickBot="1">
      <c r="A193" s="95"/>
      <c r="B193" s="95"/>
      <c r="C193" s="95"/>
      <c r="D193" s="95"/>
      <c r="E193" s="95"/>
      <c r="F193" s="100" t="s">
        <v>236</v>
      </c>
      <c r="G193" s="100"/>
      <c r="H193" s="95"/>
      <c r="I193" s="95"/>
      <c r="J193" s="95"/>
      <c r="K193" s="95"/>
      <c r="L193" s="95"/>
      <c r="M193" s="95"/>
      <c r="N193" s="95"/>
      <c r="O193" s="95"/>
    </row>
    <row r="194" spans="1:15" ht="15" customHeight="1">
      <c r="A194" s="95"/>
      <c r="B194" s="94" t="s">
        <v>155</v>
      </c>
      <c r="C194" s="94"/>
      <c r="D194" s="94" t="s">
        <v>238</v>
      </c>
      <c r="E194" s="94" t="s">
        <v>239</v>
      </c>
      <c r="F194" s="94" t="s">
        <v>240</v>
      </c>
      <c r="G194" s="94" t="s">
        <v>241</v>
      </c>
      <c r="H194" s="94" t="s">
        <v>242</v>
      </c>
      <c r="I194" s="94" t="s">
        <v>243</v>
      </c>
      <c r="J194" s="94" t="s">
        <v>244</v>
      </c>
      <c r="K194" s="94" t="s">
        <v>245</v>
      </c>
      <c r="L194" s="95"/>
      <c r="M194" s="95"/>
      <c r="N194" s="95"/>
      <c r="O194" s="95"/>
    </row>
    <row r="195" spans="1:15" ht="15" customHeight="1">
      <c r="A195" s="95"/>
      <c r="B195" s="96">
        <f t="shared" ref="B195:B204" si="24">B146</f>
        <v>2005</v>
      </c>
      <c r="C195" s="96"/>
      <c r="D195" s="100">
        <f t="shared" ref="D195:D204" si="25">VLOOKUP(B195,B$7:E$16,3,FALSE)</f>
        <v>197</v>
      </c>
      <c r="E195" s="140">
        <f t="shared" ref="E195:E204" si="26">((COUNT(B$195:B$204)-1)/2)+(B195-$C$4)</f>
        <v>-4.5</v>
      </c>
      <c r="F195" s="98">
        <f t="shared" ref="F195:F204" si="27">E195^2</f>
        <v>20.25</v>
      </c>
      <c r="G195" s="97">
        <f t="shared" ref="G195:G204" si="28">E$192-D195</f>
        <v>403</v>
      </c>
      <c r="H195" s="157">
        <f t="shared" ref="H195:H204" si="29">LOG(D195)</f>
        <v>2.2944662261615929</v>
      </c>
      <c r="I195" s="141">
        <f t="shared" ref="I195:I204" si="30">LOG(G195)</f>
        <v>2.6053050461411096</v>
      </c>
      <c r="J195" s="142">
        <f>ROUND(H195-I195,6)</f>
        <v>-0.31083899999999998</v>
      </c>
      <c r="K195" s="142">
        <f t="shared" ref="K195:K204" si="31">E195*J195</f>
        <v>1.3987754999999999</v>
      </c>
      <c r="L195" s="95"/>
      <c r="M195" s="95"/>
      <c r="N195" s="95"/>
      <c r="O195" s="95"/>
    </row>
    <row r="196" spans="1:15" ht="15" customHeight="1">
      <c r="A196" s="95"/>
      <c r="B196" s="96">
        <f t="shared" si="24"/>
        <v>2006</v>
      </c>
      <c r="C196" s="96"/>
      <c r="D196" s="100">
        <f t="shared" si="25"/>
        <v>194</v>
      </c>
      <c r="E196" s="140">
        <f t="shared" si="26"/>
        <v>-3.5</v>
      </c>
      <c r="F196" s="98">
        <f t="shared" si="27"/>
        <v>12.25</v>
      </c>
      <c r="G196" s="97">
        <f t="shared" si="28"/>
        <v>406</v>
      </c>
      <c r="H196" s="157">
        <f t="shared" si="29"/>
        <v>2.287801729930226</v>
      </c>
      <c r="I196" s="141">
        <f t="shared" si="30"/>
        <v>2.6085260335771943</v>
      </c>
      <c r="J196" s="142">
        <f t="shared" ref="J196:J204" si="32">H196-I196</f>
        <v>-0.32072430364696825</v>
      </c>
      <c r="K196" s="142">
        <f t="shared" si="31"/>
        <v>1.1225350627643889</v>
      </c>
      <c r="L196" s="95"/>
      <c r="M196" s="95"/>
      <c r="N196" s="95"/>
      <c r="O196" s="95"/>
    </row>
    <row r="197" spans="1:15" ht="15" customHeight="1">
      <c r="A197" s="95"/>
      <c r="B197" s="96">
        <f t="shared" si="24"/>
        <v>2007</v>
      </c>
      <c r="C197" s="96"/>
      <c r="D197" s="100">
        <f t="shared" si="25"/>
        <v>162</v>
      </c>
      <c r="E197" s="140">
        <f t="shared" si="26"/>
        <v>-2.5</v>
      </c>
      <c r="F197" s="98">
        <f t="shared" si="27"/>
        <v>6.25</v>
      </c>
      <c r="G197" s="97">
        <f t="shared" si="28"/>
        <v>438</v>
      </c>
      <c r="H197" s="157">
        <f t="shared" si="29"/>
        <v>2.2095150145426308</v>
      </c>
      <c r="I197" s="141">
        <f t="shared" si="30"/>
        <v>2.6414741105040997</v>
      </c>
      <c r="J197" s="142">
        <f t="shared" si="32"/>
        <v>-0.43195909596146898</v>
      </c>
      <c r="K197" s="142">
        <f t="shared" si="31"/>
        <v>1.0798977399036724</v>
      </c>
      <c r="L197" s="95"/>
      <c r="M197" s="95"/>
      <c r="N197" s="95"/>
      <c r="O197" s="95"/>
    </row>
    <row r="198" spans="1:15" ht="15" customHeight="1">
      <c r="A198" s="95"/>
      <c r="B198" s="96">
        <f t="shared" si="24"/>
        <v>2008</v>
      </c>
      <c r="C198" s="96"/>
      <c r="D198" s="100">
        <f t="shared" si="25"/>
        <v>192</v>
      </c>
      <c r="E198" s="140">
        <f t="shared" si="26"/>
        <v>-1.5</v>
      </c>
      <c r="F198" s="98">
        <f t="shared" si="27"/>
        <v>2.25</v>
      </c>
      <c r="G198" s="97">
        <f t="shared" si="28"/>
        <v>408</v>
      </c>
      <c r="H198" s="157">
        <f t="shared" si="29"/>
        <v>2.2833012287035497</v>
      </c>
      <c r="I198" s="141">
        <f t="shared" si="30"/>
        <v>2.61066016308988</v>
      </c>
      <c r="J198" s="142">
        <f t="shared" si="32"/>
        <v>-0.32735893438633035</v>
      </c>
      <c r="K198" s="142">
        <f t="shared" si="31"/>
        <v>0.49103840157949552</v>
      </c>
      <c r="L198" s="95"/>
      <c r="M198" s="95"/>
      <c r="N198" s="95"/>
      <c r="O198" s="95"/>
    </row>
    <row r="199" spans="1:15" ht="15" customHeight="1">
      <c r="A199" s="95"/>
      <c r="B199" s="96">
        <f t="shared" si="24"/>
        <v>2009</v>
      </c>
      <c r="C199" s="96"/>
      <c r="D199" s="100">
        <f t="shared" si="25"/>
        <v>222</v>
      </c>
      <c r="E199" s="140">
        <f t="shared" si="26"/>
        <v>-0.5</v>
      </c>
      <c r="F199" s="98">
        <f t="shared" si="27"/>
        <v>0.25</v>
      </c>
      <c r="G199" s="97">
        <f t="shared" si="28"/>
        <v>378</v>
      </c>
      <c r="H199" s="157">
        <f t="shared" si="29"/>
        <v>2.3463529744506388</v>
      </c>
      <c r="I199" s="141">
        <f t="shared" si="30"/>
        <v>2.5774917998372255</v>
      </c>
      <c r="J199" s="142">
        <f t="shared" si="32"/>
        <v>-0.2311388253865867</v>
      </c>
      <c r="K199" s="142">
        <f t="shared" si="31"/>
        <v>0.11556941269329335</v>
      </c>
      <c r="L199" s="95"/>
      <c r="M199" s="95"/>
      <c r="N199" s="95"/>
      <c r="O199" s="95"/>
    </row>
    <row r="200" spans="1:15" ht="15" customHeight="1">
      <c r="A200" s="95"/>
      <c r="B200" s="96">
        <f t="shared" si="24"/>
        <v>2010</v>
      </c>
      <c r="C200" s="96"/>
      <c r="D200" s="100">
        <f t="shared" si="25"/>
        <v>225</v>
      </c>
      <c r="E200" s="140">
        <f t="shared" si="26"/>
        <v>0.5</v>
      </c>
      <c r="F200" s="98">
        <f t="shared" si="27"/>
        <v>0.25</v>
      </c>
      <c r="G200" s="97">
        <f t="shared" si="28"/>
        <v>375</v>
      </c>
      <c r="H200" s="157">
        <f t="shared" si="29"/>
        <v>2.3521825181113627</v>
      </c>
      <c r="I200" s="141">
        <f t="shared" si="30"/>
        <v>2.5740312677277188</v>
      </c>
      <c r="J200" s="142">
        <f t="shared" si="32"/>
        <v>-0.22184874961635614</v>
      </c>
      <c r="K200" s="142">
        <f t="shared" si="31"/>
        <v>-0.11092437480817807</v>
      </c>
      <c r="L200" s="95"/>
      <c r="M200" s="95"/>
      <c r="N200" s="95"/>
      <c r="O200" s="95"/>
    </row>
    <row r="201" spans="1:15" ht="15" customHeight="1">
      <c r="A201" s="95"/>
      <c r="B201" s="96">
        <f t="shared" si="24"/>
        <v>2011</v>
      </c>
      <c r="C201" s="96"/>
      <c r="D201" s="100">
        <f t="shared" si="25"/>
        <v>228</v>
      </c>
      <c r="E201" s="140">
        <f t="shared" si="26"/>
        <v>1.5</v>
      </c>
      <c r="F201" s="98">
        <f t="shared" si="27"/>
        <v>2.25</v>
      </c>
      <c r="G201" s="97">
        <f t="shared" si="28"/>
        <v>372</v>
      </c>
      <c r="H201" s="157">
        <f t="shared" si="29"/>
        <v>2.357934847000454</v>
      </c>
      <c r="I201" s="141">
        <f t="shared" si="30"/>
        <v>2.5705429398818973</v>
      </c>
      <c r="J201" s="142">
        <f t="shared" si="32"/>
        <v>-0.21260809288144333</v>
      </c>
      <c r="K201" s="142">
        <f t="shared" si="31"/>
        <v>-0.318912139322165</v>
      </c>
      <c r="L201" s="95"/>
      <c r="M201" s="95"/>
      <c r="N201" s="95"/>
      <c r="O201" s="95"/>
    </row>
    <row r="202" spans="1:15" ht="15" customHeight="1">
      <c r="A202" s="95"/>
      <c r="B202" s="96">
        <f t="shared" si="24"/>
        <v>2012</v>
      </c>
      <c r="C202" s="96"/>
      <c r="D202" s="100">
        <f t="shared" si="25"/>
        <v>241</v>
      </c>
      <c r="E202" s="140">
        <f t="shared" si="26"/>
        <v>2.5</v>
      </c>
      <c r="F202" s="98">
        <f t="shared" si="27"/>
        <v>6.25</v>
      </c>
      <c r="G202" s="97">
        <f t="shared" si="28"/>
        <v>359</v>
      </c>
      <c r="H202" s="157">
        <f t="shared" si="29"/>
        <v>2.3820170425748683</v>
      </c>
      <c r="I202" s="141">
        <f t="shared" si="30"/>
        <v>2.5550944485783194</v>
      </c>
      <c r="J202" s="142">
        <f t="shared" si="32"/>
        <v>-0.17307740600345101</v>
      </c>
      <c r="K202" s="142">
        <f t="shared" si="31"/>
        <v>-0.43269351500862752</v>
      </c>
      <c r="L202" s="95"/>
      <c r="M202" s="95"/>
      <c r="N202" s="95"/>
      <c r="O202" s="95"/>
    </row>
    <row r="203" spans="1:15" ht="15" customHeight="1">
      <c r="A203" s="95"/>
      <c r="B203" s="96">
        <f t="shared" si="24"/>
        <v>2013</v>
      </c>
      <c r="C203" s="96"/>
      <c r="D203" s="100">
        <f t="shared" si="25"/>
        <v>252</v>
      </c>
      <c r="E203" s="140">
        <f t="shared" si="26"/>
        <v>3.5</v>
      </c>
      <c r="F203" s="98">
        <f t="shared" si="27"/>
        <v>12.25</v>
      </c>
      <c r="G203" s="97">
        <f t="shared" si="28"/>
        <v>348</v>
      </c>
      <c r="H203" s="157">
        <f t="shared" si="29"/>
        <v>2.4014005407815442</v>
      </c>
      <c r="I203" s="141">
        <f t="shared" si="30"/>
        <v>2.5415792439465807</v>
      </c>
      <c r="J203" s="142">
        <f t="shared" si="32"/>
        <v>-0.14017870316503656</v>
      </c>
      <c r="K203" s="142">
        <f t="shared" si="31"/>
        <v>-0.49062546107762794</v>
      </c>
      <c r="L203" s="95"/>
      <c r="M203" s="95"/>
      <c r="N203" s="95"/>
      <c r="O203" s="95"/>
    </row>
    <row r="204" spans="1:15" ht="15" customHeight="1">
      <c r="A204" s="95"/>
      <c r="B204" s="96">
        <f t="shared" si="24"/>
        <v>2014</v>
      </c>
      <c r="C204" s="96"/>
      <c r="D204" s="100">
        <f t="shared" si="25"/>
        <v>234</v>
      </c>
      <c r="E204" s="140">
        <f t="shared" si="26"/>
        <v>4.5</v>
      </c>
      <c r="F204" s="98">
        <f t="shared" si="27"/>
        <v>20.25</v>
      </c>
      <c r="G204" s="97">
        <f t="shared" si="28"/>
        <v>366</v>
      </c>
      <c r="H204" s="157">
        <f t="shared" si="29"/>
        <v>2.369215857410143</v>
      </c>
      <c r="I204" s="141">
        <f t="shared" si="30"/>
        <v>2.5634810853944106</v>
      </c>
      <c r="J204" s="142">
        <f t="shared" si="32"/>
        <v>-0.1942652279842676</v>
      </c>
      <c r="K204" s="142">
        <f t="shared" si="31"/>
        <v>-0.87419352592920418</v>
      </c>
      <c r="L204" s="95"/>
      <c r="M204" s="95"/>
      <c r="N204" s="95"/>
      <c r="O204" s="95"/>
    </row>
    <row r="205" spans="1:15" ht="15" customHeight="1" thickBot="1">
      <c r="A205" s="95"/>
      <c r="B205" s="103" t="s">
        <v>218</v>
      </c>
      <c r="C205" s="104"/>
      <c r="D205" s="158">
        <f>SUM(D195:D204)</f>
        <v>2147</v>
      </c>
      <c r="E205" s="159">
        <f>SUM(E195:E204)</f>
        <v>0</v>
      </c>
      <c r="F205" s="160">
        <f>ROUND(SUM(F195:F204),0)</f>
        <v>83</v>
      </c>
      <c r="G205" s="145"/>
      <c r="H205" s="147"/>
      <c r="I205" s="148"/>
      <c r="J205" s="161">
        <f>SUM(J195:J204)</f>
        <v>-2.563998339031909</v>
      </c>
      <c r="K205" s="161">
        <f>SUM(K195:K204)</f>
        <v>1.980467100795047</v>
      </c>
      <c r="L205" s="95"/>
      <c r="M205" s="95"/>
      <c r="N205" s="95"/>
      <c r="O205" s="95"/>
    </row>
    <row r="206" spans="1:15" ht="15" customHeight="1">
      <c r="A206" s="95"/>
      <c r="B206" s="100" t="s">
        <v>246</v>
      </c>
      <c r="C206" s="100"/>
      <c r="D206" s="93" t="s">
        <v>247</v>
      </c>
      <c r="E206" s="136" t="s">
        <v>248</v>
      </c>
      <c r="F206" s="95"/>
      <c r="G206" s="111" t="str">
        <f>"X = x × LOG e = "&amp;E205&amp;" 이고,"</f>
        <v>X = x × LOG e = 0 이고,</v>
      </c>
      <c r="H206" s="111"/>
      <c r="I206" s="111" t="s">
        <v>249</v>
      </c>
      <c r="J206" s="111"/>
      <c r="K206" s="93"/>
      <c r="L206" s="95"/>
      <c r="M206" s="95"/>
      <c r="N206" s="95"/>
      <c r="O206" s="95"/>
    </row>
    <row r="207" spans="1:15" ht="15" customHeight="1">
      <c r="A207" s="95"/>
      <c r="B207" s="95"/>
      <c r="C207" s="95"/>
      <c r="D207" s="111" t="s">
        <v>250</v>
      </c>
      <c r="E207" s="111"/>
      <c r="F207" s="111"/>
      <c r="G207" s="111"/>
      <c r="H207" s="150">
        <f>ROUND(((E$205*K$205-F$205*J$205)/(COUNT(B$195:B$204)*F$205-E$205*E$205))/LOG(EXP(1)),5)</f>
        <v>0.59038000000000002</v>
      </c>
      <c r="I207" s="111"/>
      <c r="J207" s="111"/>
      <c r="K207" s="95"/>
      <c r="L207" s="95"/>
      <c r="M207" s="95"/>
      <c r="N207" s="95"/>
      <c r="O207" s="95"/>
    </row>
    <row r="208" spans="1:15" ht="15" customHeight="1">
      <c r="A208" s="95"/>
      <c r="B208" s="95"/>
      <c r="C208" s="95"/>
      <c r="D208" s="111" t="s">
        <v>251</v>
      </c>
      <c r="E208" s="111"/>
      <c r="F208" s="111"/>
      <c r="G208" s="162" t="s">
        <v>252</v>
      </c>
      <c r="H208" s="111"/>
      <c r="I208" s="111"/>
      <c r="J208" s="111"/>
      <c r="K208" s="163">
        <f>ROUND((COUNT(B$195:B$204)*K205-E205*J205)/(LOG(EXP(1))*(COUNT(B$195:B$204)*F205-E205*E205)),6)</f>
        <v>5.4941999999999998E-2</v>
      </c>
      <c r="L208" s="95"/>
      <c r="M208" s="95"/>
      <c r="N208" s="95"/>
      <c r="O208" s="95"/>
    </row>
    <row r="209" spans="1:15" ht="15" customHeight="1">
      <c r="A209" s="95"/>
      <c r="B209" s="95"/>
      <c r="C209" s="95"/>
      <c r="D209" s="111"/>
      <c r="E209" s="95"/>
      <c r="F209" s="93"/>
      <c r="G209" s="93"/>
      <c r="H209" s="111"/>
      <c r="I209" s="111"/>
      <c r="J209" s="152"/>
      <c r="K209" s="95"/>
      <c r="L209" s="95"/>
      <c r="M209" s="95"/>
      <c r="N209" s="95"/>
      <c r="O209" s="95"/>
    </row>
    <row r="210" spans="1:15" ht="15" customHeight="1" thickBot="1">
      <c r="A210" s="95"/>
      <c r="B210" s="95"/>
      <c r="C210" s="95"/>
      <c r="D210" s="95"/>
      <c r="E210" s="95"/>
      <c r="F210" s="100" t="s">
        <v>253</v>
      </c>
      <c r="G210" s="100"/>
      <c r="H210" s="95"/>
      <c r="I210" s="95"/>
      <c r="J210" s="95"/>
      <c r="K210" s="95"/>
      <c r="L210" s="95"/>
      <c r="M210" s="95"/>
      <c r="N210" s="95"/>
      <c r="O210" s="95"/>
    </row>
    <row r="211" spans="1:15" ht="15" customHeight="1">
      <c r="A211" s="95"/>
      <c r="B211" s="94" t="s">
        <v>155</v>
      </c>
      <c r="C211" s="94"/>
      <c r="D211" s="94" t="s">
        <v>174</v>
      </c>
      <c r="E211" s="94"/>
      <c r="F211" s="94" t="s">
        <v>256</v>
      </c>
      <c r="G211" s="94"/>
      <c r="H211" s="94" t="s">
        <v>257</v>
      </c>
      <c r="I211" s="94"/>
      <c r="J211" s="94" t="s">
        <v>258</v>
      </c>
      <c r="K211" s="94"/>
      <c r="L211" s="95"/>
      <c r="M211" s="95"/>
      <c r="N211" s="95"/>
      <c r="O211" s="95"/>
    </row>
    <row r="212" spans="1:15" ht="15" customHeight="1">
      <c r="A212" s="95"/>
      <c r="B212" s="112">
        <v>2014</v>
      </c>
      <c r="C212" s="100"/>
      <c r="D212" s="100">
        <f t="shared" ref="D212:D228" si="33">ROUNDUP(E$192/(1+EXP(1)^(H$207-K$208*(B212-B$200+0.5))),0)</f>
        <v>250</v>
      </c>
      <c r="E212" s="100"/>
      <c r="F212" s="100">
        <v>0</v>
      </c>
      <c r="G212" s="100"/>
      <c r="H212" s="100">
        <f t="shared" ref="H212:H228" si="34">ROUND(D212*(1+F212),0)</f>
        <v>250</v>
      </c>
      <c r="I212" s="100"/>
      <c r="J212" s="102">
        <v>0</v>
      </c>
      <c r="K212" s="102"/>
      <c r="L212" s="95"/>
      <c r="M212" s="95"/>
      <c r="N212" s="95"/>
      <c r="O212" s="95"/>
    </row>
    <row r="213" spans="1:15" ht="15" customHeight="1">
      <c r="A213" s="95"/>
      <c r="B213" s="115">
        <v>2015</v>
      </c>
      <c r="C213" s="116"/>
      <c r="D213" s="116">
        <f t="shared" si="33"/>
        <v>258</v>
      </c>
      <c r="E213" s="116"/>
      <c r="F213" s="116">
        <v>0</v>
      </c>
      <c r="G213" s="116"/>
      <c r="H213" s="116">
        <f t="shared" si="34"/>
        <v>258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12">
        <v>2016</v>
      </c>
      <c r="C214" s="113"/>
      <c r="D214" s="113">
        <f t="shared" si="33"/>
        <v>266</v>
      </c>
      <c r="E214" s="113"/>
      <c r="F214" s="113">
        <v>0</v>
      </c>
      <c r="G214" s="113"/>
      <c r="H214" s="113">
        <f t="shared" si="34"/>
        <v>266</v>
      </c>
      <c r="I214" s="113"/>
      <c r="J214" s="114">
        <v>0</v>
      </c>
      <c r="K214" s="114"/>
      <c r="L214" s="95"/>
      <c r="M214" s="95"/>
      <c r="N214" s="95"/>
      <c r="O214" s="95"/>
    </row>
    <row r="215" spans="1:15" ht="15" customHeight="1">
      <c r="A215" s="95"/>
      <c r="B215" s="112">
        <v>2017</v>
      </c>
      <c r="C215" s="113"/>
      <c r="D215" s="113">
        <f t="shared" si="33"/>
        <v>274</v>
      </c>
      <c r="E215" s="113"/>
      <c r="F215" s="113">
        <v>0</v>
      </c>
      <c r="G215" s="113"/>
      <c r="H215" s="113">
        <f t="shared" si="34"/>
        <v>274</v>
      </c>
      <c r="I215" s="113"/>
      <c r="J215" s="114">
        <v>0</v>
      </c>
      <c r="K215" s="114"/>
      <c r="L215" s="95"/>
      <c r="M215" s="95"/>
      <c r="N215" s="95"/>
      <c r="O215" s="95"/>
    </row>
    <row r="216" spans="1:15" ht="15" customHeight="1">
      <c r="A216" s="95"/>
      <c r="B216" s="112">
        <v>2018</v>
      </c>
      <c r="C216" s="113"/>
      <c r="D216" s="113">
        <f t="shared" si="33"/>
        <v>282</v>
      </c>
      <c r="E216" s="113"/>
      <c r="F216" s="113">
        <v>0</v>
      </c>
      <c r="G216" s="113"/>
      <c r="H216" s="113">
        <f t="shared" si="34"/>
        <v>282</v>
      </c>
      <c r="I216" s="113"/>
      <c r="J216" s="114">
        <v>0</v>
      </c>
      <c r="K216" s="114"/>
      <c r="L216" s="95"/>
      <c r="M216" s="95"/>
      <c r="N216" s="95"/>
      <c r="O216" s="95"/>
    </row>
    <row r="217" spans="1:15" ht="15" customHeight="1">
      <c r="A217" s="95"/>
      <c r="B217" s="112">
        <v>2019</v>
      </c>
      <c r="C217" s="113"/>
      <c r="D217" s="113">
        <f t="shared" si="33"/>
        <v>290</v>
      </c>
      <c r="E217" s="113"/>
      <c r="F217" s="113">
        <v>0</v>
      </c>
      <c r="G217" s="113"/>
      <c r="H217" s="113">
        <f t="shared" si="34"/>
        <v>290</v>
      </c>
      <c r="I217" s="113"/>
      <c r="J217" s="114">
        <v>0</v>
      </c>
      <c r="K217" s="114"/>
      <c r="L217" s="95"/>
      <c r="M217" s="95"/>
      <c r="N217" s="95"/>
      <c r="O217" s="95"/>
    </row>
    <row r="218" spans="1:15" ht="15" customHeight="1">
      <c r="A218" s="95"/>
      <c r="B218" s="115">
        <v>2020</v>
      </c>
      <c r="C218" s="116"/>
      <c r="D218" s="116">
        <f t="shared" si="33"/>
        <v>298</v>
      </c>
      <c r="E218" s="116"/>
      <c r="F218" s="116">
        <v>0</v>
      </c>
      <c r="G218" s="116"/>
      <c r="H218" s="116">
        <f t="shared" si="34"/>
        <v>298</v>
      </c>
      <c r="I218" s="116"/>
      <c r="J218" s="117">
        <v>0</v>
      </c>
      <c r="K218" s="117"/>
      <c r="L218" s="95"/>
      <c r="M218" s="95"/>
      <c r="N218" s="95"/>
      <c r="O218" s="95"/>
    </row>
    <row r="219" spans="1:15" ht="15" customHeight="1">
      <c r="A219" s="95"/>
      <c r="B219" s="112">
        <v>2021</v>
      </c>
      <c r="C219" s="113"/>
      <c r="D219" s="113">
        <f t="shared" si="33"/>
        <v>307</v>
      </c>
      <c r="E219" s="113"/>
      <c r="F219" s="113">
        <v>0</v>
      </c>
      <c r="G219" s="113"/>
      <c r="H219" s="113">
        <f t="shared" si="34"/>
        <v>307</v>
      </c>
      <c r="I219" s="113"/>
      <c r="J219" s="114">
        <v>0</v>
      </c>
      <c r="K219" s="114"/>
      <c r="L219" s="95"/>
      <c r="M219" s="95"/>
      <c r="N219" s="95"/>
      <c r="O219" s="95"/>
    </row>
    <row r="220" spans="1:15" ht="15" customHeight="1">
      <c r="A220" s="95"/>
      <c r="B220" s="112">
        <v>2022</v>
      </c>
      <c r="C220" s="113"/>
      <c r="D220" s="113">
        <f t="shared" si="33"/>
        <v>315</v>
      </c>
      <c r="E220" s="113"/>
      <c r="F220" s="113">
        <v>0</v>
      </c>
      <c r="G220" s="113"/>
      <c r="H220" s="113">
        <f t="shared" si="34"/>
        <v>315</v>
      </c>
      <c r="I220" s="113"/>
      <c r="J220" s="114">
        <v>0</v>
      </c>
      <c r="K220" s="114"/>
      <c r="L220" s="95"/>
      <c r="M220" s="95"/>
      <c r="N220" s="95"/>
      <c r="O220" s="95"/>
    </row>
    <row r="221" spans="1:15" ht="15" customHeight="1">
      <c r="A221" s="95"/>
      <c r="B221" s="112">
        <v>2023</v>
      </c>
      <c r="C221" s="113"/>
      <c r="D221" s="113">
        <f t="shared" si="33"/>
        <v>323</v>
      </c>
      <c r="E221" s="113"/>
      <c r="F221" s="113">
        <v>0</v>
      </c>
      <c r="G221" s="113"/>
      <c r="H221" s="113">
        <f t="shared" si="34"/>
        <v>323</v>
      </c>
      <c r="I221" s="113"/>
      <c r="J221" s="114">
        <v>0</v>
      </c>
      <c r="K221" s="114"/>
      <c r="L221" s="95"/>
      <c r="M221" s="95"/>
      <c r="N221" s="95"/>
      <c r="O221" s="95"/>
    </row>
    <row r="222" spans="1:15" ht="15" customHeight="1">
      <c r="A222" s="95"/>
      <c r="B222" s="112">
        <v>2024</v>
      </c>
      <c r="C222" s="113"/>
      <c r="D222" s="113">
        <f t="shared" si="33"/>
        <v>331</v>
      </c>
      <c r="E222" s="113"/>
      <c r="F222" s="113">
        <v>0</v>
      </c>
      <c r="G222" s="113"/>
      <c r="H222" s="113">
        <f t="shared" si="34"/>
        <v>331</v>
      </c>
      <c r="I222" s="113"/>
      <c r="J222" s="114">
        <v>0</v>
      </c>
      <c r="K222" s="114"/>
      <c r="L222" s="95"/>
      <c r="M222" s="95"/>
      <c r="N222" s="95"/>
      <c r="O222" s="95"/>
    </row>
    <row r="223" spans="1:15" ht="15" customHeight="1">
      <c r="A223" s="95"/>
      <c r="B223" s="115">
        <v>2025</v>
      </c>
      <c r="C223" s="116"/>
      <c r="D223" s="116">
        <f t="shared" si="33"/>
        <v>339</v>
      </c>
      <c r="E223" s="116"/>
      <c r="F223" s="116">
        <v>0</v>
      </c>
      <c r="G223" s="116"/>
      <c r="H223" s="116">
        <f t="shared" si="34"/>
        <v>339</v>
      </c>
      <c r="I223" s="116"/>
      <c r="J223" s="117">
        <v>0</v>
      </c>
      <c r="K223" s="117"/>
      <c r="L223" s="95"/>
      <c r="M223" s="95"/>
      <c r="N223" s="95"/>
      <c r="O223" s="95"/>
    </row>
    <row r="224" spans="1:15" ht="15" customHeight="1">
      <c r="A224" s="95"/>
      <c r="B224" s="112">
        <v>2026</v>
      </c>
      <c r="C224" s="113"/>
      <c r="D224" s="113">
        <f t="shared" si="33"/>
        <v>348</v>
      </c>
      <c r="E224" s="113"/>
      <c r="F224" s="113">
        <v>0</v>
      </c>
      <c r="G224" s="113"/>
      <c r="H224" s="113">
        <f t="shared" si="34"/>
        <v>348</v>
      </c>
      <c r="I224" s="113"/>
      <c r="J224" s="114">
        <v>0</v>
      </c>
      <c r="K224" s="114"/>
      <c r="L224" s="95"/>
      <c r="M224" s="95"/>
      <c r="N224" s="95"/>
      <c r="O224" s="95"/>
    </row>
    <row r="225" spans="1:15" ht="15" customHeight="1">
      <c r="A225" s="95"/>
      <c r="B225" s="112">
        <v>2027</v>
      </c>
      <c r="C225" s="113"/>
      <c r="D225" s="113">
        <f t="shared" si="33"/>
        <v>356</v>
      </c>
      <c r="E225" s="113"/>
      <c r="F225" s="113">
        <v>0</v>
      </c>
      <c r="G225" s="113"/>
      <c r="H225" s="113">
        <f t="shared" si="34"/>
        <v>356</v>
      </c>
      <c r="I225" s="113"/>
      <c r="J225" s="114">
        <v>0</v>
      </c>
      <c r="K225" s="114"/>
      <c r="L225" s="95"/>
      <c r="M225" s="95"/>
      <c r="N225" s="95"/>
      <c r="O225" s="95"/>
    </row>
    <row r="226" spans="1:15" ht="15" customHeight="1">
      <c r="A226" s="95"/>
      <c r="B226" s="112">
        <v>2028</v>
      </c>
      <c r="C226" s="113"/>
      <c r="D226" s="113">
        <f t="shared" si="33"/>
        <v>363</v>
      </c>
      <c r="E226" s="113"/>
      <c r="F226" s="113">
        <v>0</v>
      </c>
      <c r="G226" s="113"/>
      <c r="H226" s="113">
        <f t="shared" si="34"/>
        <v>363</v>
      </c>
      <c r="I226" s="113"/>
      <c r="J226" s="114">
        <v>0</v>
      </c>
      <c r="K226" s="114"/>
      <c r="L226" s="95"/>
      <c r="M226" s="95"/>
      <c r="N226" s="95"/>
      <c r="O226" s="95"/>
    </row>
    <row r="227" spans="1:15" ht="15" customHeight="1">
      <c r="A227" s="95"/>
      <c r="B227" s="112">
        <v>2029</v>
      </c>
      <c r="C227" s="113"/>
      <c r="D227" s="113">
        <f t="shared" si="33"/>
        <v>371</v>
      </c>
      <c r="E227" s="113"/>
      <c r="F227" s="113">
        <v>0</v>
      </c>
      <c r="G227" s="113"/>
      <c r="H227" s="113">
        <f t="shared" si="34"/>
        <v>371</v>
      </c>
      <c r="I227" s="113"/>
      <c r="J227" s="114">
        <v>0</v>
      </c>
      <c r="K227" s="114"/>
      <c r="L227" s="95"/>
      <c r="M227" s="95"/>
      <c r="N227" s="95"/>
      <c r="O227" s="95"/>
    </row>
    <row r="228" spans="1:15" ht="15" customHeight="1">
      <c r="A228" s="95"/>
      <c r="B228" s="115">
        <v>2030</v>
      </c>
      <c r="C228" s="116"/>
      <c r="D228" s="116">
        <f t="shared" si="33"/>
        <v>379</v>
      </c>
      <c r="E228" s="116"/>
      <c r="F228" s="116">
        <v>0</v>
      </c>
      <c r="G228" s="116"/>
      <c r="H228" s="116">
        <f t="shared" si="34"/>
        <v>379</v>
      </c>
      <c r="I228" s="116"/>
      <c r="J228" s="117">
        <v>0</v>
      </c>
      <c r="K228" s="117"/>
      <c r="L228" s="95"/>
      <c r="M228" s="95"/>
      <c r="N228" s="95"/>
      <c r="O228" s="95"/>
    </row>
    <row r="229" spans="1:15" ht="15" customHeight="1">
      <c r="A229" s="95"/>
      <c r="B229" s="112">
        <v>2031</v>
      </c>
      <c r="C229" s="113"/>
      <c r="D229" s="113">
        <f>ROUNDUP(E$192/(1+EXP(1)^(H$207-K$208*(B229-B$200+0.5))),0)</f>
        <v>387</v>
      </c>
      <c r="E229" s="113"/>
      <c r="F229" s="113">
        <v>0</v>
      </c>
      <c r="G229" s="113"/>
      <c r="H229" s="113">
        <f>ROUND(D229*(1+F229),0)</f>
        <v>387</v>
      </c>
      <c r="I229" s="113"/>
      <c r="J229" s="114">
        <v>0</v>
      </c>
      <c r="K229" s="114"/>
      <c r="L229" s="95"/>
      <c r="M229" s="95"/>
      <c r="N229" s="95"/>
      <c r="O229" s="95"/>
    </row>
    <row r="230" spans="1:15" ht="15" customHeight="1">
      <c r="A230" s="95"/>
      <c r="B230" s="112">
        <v>2032</v>
      </c>
      <c r="C230" s="113"/>
      <c r="D230" s="113">
        <f>ROUNDUP(E$192/(1+EXP(1)^(H$207-K$208*(B230-B$200+0.5))),0)</f>
        <v>394</v>
      </c>
      <c r="E230" s="113"/>
      <c r="F230" s="113">
        <v>0</v>
      </c>
      <c r="G230" s="113"/>
      <c r="H230" s="113">
        <f>ROUND(D230*(1+F230),0)</f>
        <v>394</v>
      </c>
      <c r="I230" s="113"/>
      <c r="J230" s="114">
        <v>0</v>
      </c>
      <c r="K230" s="114"/>
      <c r="L230" s="95"/>
      <c r="M230" s="95"/>
      <c r="N230" s="95"/>
      <c r="O230" s="95"/>
    </row>
    <row r="231" spans="1:15" ht="15" customHeight="1">
      <c r="A231" s="95"/>
      <c r="B231" s="112">
        <v>2033</v>
      </c>
      <c r="C231" s="113"/>
      <c r="D231" s="113">
        <f>ROUNDUP(E$192/(1+EXP(1)^(H$207-K$208*(B231-B$200+0.5))),0)</f>
        <v>402</v>
      </c>
      <c r="E231" s="113"/>
      <c r="F231" s="113">
        <v>0</v>
      </c>
      <c r="G231" s="113"/>
      <c r="H231" s="113">
        <f>ROUND(D231*(1+F231),0)</f>
        <v>402</v>
      </c>
      <c r="I231" s="113"/>
      <c r="J231" s="114">
        <v>0</v>
      </c>
      <c r="K231" s="114"/>
      <c r="L231" s="95"/>
      <c r="M231" s="95"/>
      <c r="N231" s="95"/>
      <c r="O231" s="95"/>
    </row>
    <row r="232" spans="1:15" ht="15" customHeight="1">
      <c r="A232" s="95"/>
      <c r="B232" s="112">
        <v>2034</v>
      </c>
      <c r="C232" s="113"/>
      <c r="D232" s="113">
        <f>ROUNDUP(E$192/(1+EXP(1)^(H$207-K$208*(B232-B$200+0.5))),0)</f>
        <v>409</v>
      </c>
      <c r="E232" s="113"/>
      <c r="F232" s="113">
        <v>0</v>
      </c>
      <c r="G232" s="113"/>
      <c r="H232" s="113">
        <f>ROUND(D232*(1+F232),0)</f>
        <v>409</v>
      </c>
      <c r="I232" s="113"/>
      <c r="J232" s="114">
        <v>0</v>
      </c>
      <c r="K232" s="114"/>
      <c r="L232" s="95"/>
      <c r="M232" s="95"/>
      <c r="N232" s="95"/>
      <c r="O232" s="95"/>
    </row>
    <row r="233" spans="1:15" ht="15" customHeight="1" thickBot="1">
      <c r="A233" s="95"/>
      <c r="B233" s="115">
        <v>2035</v>
      </c>
      <c r="C233" s="116"/>
      <c r="D233" s="116">
        <f>ROUNDUP(E$192/(1+EXP(1)^(H$207-K$208*(B233-B$200+0.5))),0)</f>
        <v>416</v>
      </c>
      <c r="E233" s="116"/>
      <c r="F233" s="116">
        <v>0</v>
      </c>
      <c r="G233" s="116"/>
      <c r="H233" s="116">
        <f>ROUND(D233*(1+F233),0)</f>
        <v>416</v>
      </c>
      <c r="I233" s="116"/>
      <c r="J233" s="117">
        <v>0</v>
      </c>
      <c r="K233" s="117"/>
      <c r="L233" s="95"/>
      <c r="M233" s="95"/>
      <c r="N233" s="95"/>
      <c r="O233" s="95"/>
    </row>
    <row r="234" spans="1:15" ht="15" customHeight="1">
      <c r="A234" s="95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95"/>
      <c r="M234" s="95"/>
      <c r="N234" s="95"/>
      <c r="O234" s="95"/>
    </row>
    <row r="235" spans="1:15" ht="15" customHeight="1">
      <c r="A235" s="95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95"/>
      <c r="M235" s="95"/>
      <c r="N235" s="95"/>
      <c r="O235" s="95"/>
    </row>
    <row r="236" spans="1:15" ht="15" customHeight="1">
      <c r="A236" s="95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95"/>
      <c r="M236" s="95"/>
      <c r="N236" s="95"/>
      <c r="O236" s="95"/>
    </row>
    <row r="237" spans="1:15" ht="15" customHeight="1">
      <c r="A237" s="95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95"/>
      <c r="M237" s="95"/>
      <c r="N237" s="95"/>
      <c r="O237" s="95"/>
    </row>
    <row r="238" spans="1:15" ht="15" customHeight="1">
      <c r="A238" s="95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95"/>
      <c r="M238" s="95"/>
      <c r="N238" s="95"/>
      <c r="O238" s="95"/>
    </row>
    <row r="239" spans="1:15" ht="15" customHeight="1" thickBot="1">
      <c r="A239" s="95"/>
      <c r="B239" s="95"/>
      <c r="C239" s="95"/>
      <c r="D239" s="95"/>
      <c r="E239" s="95"/>
      <c r="F239" s="100" t="s">
        <v>259</v>
      </c>
      <c r="G239" s="100"/>
      <c r="H239" s="95"/>
      <c r="I239" s="95"/>
      <c r="J239" s="95"/>
      <c r="K239" s="128" t="s">
        <v>260</v>
      </c>
      <c r="L239" s="95"/>
      <c r="M239" s="95"/>
      <c r="N239" s="95"/>
      <c r="O239" s="95"/>
    </row>
    <row r="240" spans="1:15" ht="15" customHeight="1">
      <c r="A240" s="95"/>
      <c r="B240" s="94" t="s">
        <v>155</v>
      </c>
      <c r="C240" s="94"/>
      <c r="D240" s="94" t="s">
        <v>261</v>
      </c>
      <c r="E240" s="94" t="s">
        <v>262</v>
      </c>
      <c r="F240" s="94" t="s">
        <v>263</v>
      </c>
      <c r="G240" s="94" t="s">
        <v>279</v>
      </c>
      <c r="H240" s="94" t="s">
        <v>264</v>
      </c>
      <c r="I240" s="94" t="s">
        <v>265</v>
      </c>
      <c r="J240" s="94" t="s">
        <v>266</v>
      </c>
      <c r="K240" s="94"/>
      <c r="L240" s="95"/>
      <c r="M240" s="95"/>
      <c r="N240" s="95">
        <v>396</v>
      </c>
      <c r="O240" s="95">
        <v>386</v>
      </c>
    </row>
    <row r="241" spans="1:15" ht="15" customHeight="1">
      <c r="A241" s="95"/>
      <c r="B241" s="112">
        <v>2014</v>
      </c>
      <c r="C241" s="113"/>
      <c r="D241" s="153">
        <f t="array" ref="D241">IF(B26=B241,H26)</f>
        <v>234</v>
      </c>
      <c r="E241" s="153">
        <f t="array" ref="E241">IF(B60=B241,H60)</f>
        <v>234</v>
      </c>
      <c r="F241" s="153">
        <f t="array" ref="F241">IF(B115=B241,H115)</f>
        <v>249</v>
      </c>
      <c r="G241" s="153">
        <f t="array" ref="G241">IF(B162=B241,H162)</f>
        <v>248</v>
      </c>
      <c r="H241" s="153">
        <f t="array" ref="H241">IF(B212=B241,H212)</f>
        <v>250</v>
      </c>
      <c r="I241" s="153">
        <f t="shared" ref="I241:I257" si="35">IF(G241=0,AVERAGE(D241,E241,F241,H241),AVERAGE(D241:H241))</f>
        <v>243</v>
      </c>
      <c r="J241" s="164">
        <f t="shared" ref="J241:J257" si="36">ROUND(AVERAGE(D241,F241:G241),0)</f>
        <v>244</v>
      </c>
      <c r="K241" s="156"/>
      <c r="L241" s="95"/>
      <c r="M241" s="95"/>
      <c r="N241" s="95"/>
      <c r="O241" s="95"/>
    </row>
    <row r="242" spans="1:15" ht="15" customHeight="1">
      <c r="A242" s="95"/>
      <c r="B242" s="115">
        <v>2015</v>
      </c>
      <c r="C242" s="116"/>
      <c r="D242" s="154">
        <f t="array" ref="D242">IF(B27=B242,H27)</f>
        <v>238</v>
      </c>
      <c r="E242" s="154">
        <f t="array" ref="E242">IF(B61=B242,H61)</f>
        <v>239</v>
      </c>
      <c r="F242" s="154">
        <f t="array" ref="F242">IF(B116=B242,H116)</f>
        <v>257</v>
      </c>
      <c r="G242" s="154">
        <f t="array" ref="G242">IF(B163=B242,H163)</f>
        <v>254</v>
      </c>
      <c r="H242" s="154">
        <f t="array" ref="H242">IF(B213=B242,H213)</f>
        <v>258</v>
      </c>
      <c r="I242" s="154">
        <f t="shared" si="35"/>
        <v>249.2</v>
      </c>
      <c r="J242" s="165">
        <f t="shared" si="36"/>
        <v>250</v>
      </c>
      <c r="K242" s="155"/>
      <c r="L242" s="95"/>
      <c r="M242" s="95"/>
      <c r="N242" s="95"/>
      <c r="O242" s="95"/>
    </row>
    <row r="243" spans="1:15" ht="15" customHeight="1">
      <c r="A243" s="95"/>
      <c r="B243" s="112">
        <v>2016</v>
      </c>
      <c r="C243" s="113"/>
      <c r="D243" s="153">
        <f t="array" ref="D243">IF(B28=B243,H28)</f>
        <v>242</v>
      </c>
      <c r="E243" s="153">
        <f t="array" ref="E243">IF(B62=B243,H62)</f>
        <v>243</v>
      </c>
      <c r="F243" s="153">
        <f t="array" ref="F243">IF(B117=B243,H117)</f>
        <v>264</v>
      </c>
      <c r="G243" s="153">
        <f t="array" ref="G243">IF(B164=B243,H164)</f>
        <v>260</v>
      </c>
      <c r="H243" s="153">
        <f t="array" ref="H243">IF(B214=B243,H214)</f>
        <v>266</v>
      </c>
      <c r="I243" s="153">
        <f t="shared" si="35"/>
        <v>255</v>
      </c>
      <c r="J243" s="164">
        <f t="shared" si="36"/>
        <v>255</v>
      </c>
      <c r="K243" s="156"/>
      <c r="L243" s="95"/>
      <c r="M243" s="95"/>
      <c r="N243" s="95"/>
      <c r="O243" s="95"/>
    </row>
    <row r="244" spans="1:15" ht="15" customHeight="1">
      <c r="A244" s="95"/>
      <c r="B244" s="112">
        <v>2017</v>
      </c>
      <c r="C244" s="113"/>
      <c r="D244" s="153">
        <f t="array" ref="D244">IF(B29=B244,H29)</f>
        <v>246</v>
      </c>
      <c r="E244" s="153">
        <f t="array" ref="E244">IF(B63=B244,H63)</f>
        <v>248</v>
      </c>
      <c r="F244" s="153">
        <f t="array" ref="F244">IF(B118=B244,H118)</f>
        <v>272</v>
      </c>
      <c r="G244" s="153">
        <f t="array" ref="G244">IF(B165=B244,H165)</f>
        <v>266</v>
      </c>
      <c r="H244" s="153">
        <f t="array" ref="H244">IF(B215=B244,H215)</f>
        <v>274</v>
      </c>
      <c r="I244" s="153">
        <f t="shared" si="35"/>
        <v>261.2</v>
      </c>
      <c r="J244" s="164">
        <f t="shared" si="36"/>
        <v>261</v>
      </c>
      <c r="K244" s="156"/>
      <c r="L244" s="95"/>
      <c r="M244" s="95"/>
      <c r="N244" s="95"/>
      <c r="O244" s="95"/>
    </row>
    <row r="245" spans="1:15" ht="15" customHeight="1">
      <c r="A245" s="95"/>
      <c r="B245" s="112">
        <v>2018</v>
      </c>
      <c r="C245" s="113"/>
      <c r="D245" s="153">
        <f t="array" ref="D245">IF(B30=B245,H30)</f>
        <v>250</v>
      </c>
      <c r="E245" s="153">
        <f t="array" ref="E245">IF(B64=B245,H64)</f>
        <v>253</v>
      </c>
      <c r="F245" s="153">
        <f t="array" ref="F245">IF(B119=B245,H119)</f>
        <v>279</v>
      </c>
      <c r="G245" s="153">
        <f t="array" ref="G245">IF(B166=B245,H166)</f>
        <v>272</v>
      </c>
      <c r="H245" s="153">
        <f t="array" ref="H245">IF(B216=B245,H216)</f>
        <v>282</v>
      </c>
      <c r="I245" s="153">
        <f t="shared" si="35"/>
        <v>267.2</v>
      </c>
      <c r="J245" s="164">
        <f t="shared" si="36"/>
        <v>267</v>
      </c>
      <c r="K245" s="156"/>
      <c r="L245" s="95"/>
      <c r="M245" s="95"/>
      <c r="N245" s="95"/>
      <c r="O245" s="95"/>
    </row>
    <row r="246" spans="1:15" ht="15" customHeight="1">
      <c r="A246" s="95"/>
      <c r="B246" s="112">
        <v>2019</v>
      </c>
      <c r="C246" s="113"/>
      <c r="D246" s="153">
        <f t="array" ref="D246">IF(B31=B246,H31)</f>
        <v>255</v>
      </c>
      <c r="E246" s="153">
        <f t="array" ref="E246">IF(B65=B246,H65)</f>
        <v>257</v>
      </c>
      <c r="F246" s="153">
        <f t="array" ref="F246">IF(B120=B246,H120)</f>
        <v>287</v>
      </c>
      <c r="G246" s="153">
        <f t="array" ref="G246">IF(B167=B246,H167)</f>
        <v>279</v>
      </c>
      <c r="H246" s="153">
        <f t="array" ref="H246">IF(B217=B246,H217)</f>
        <v>290</v>
      </c>
      <c r="I246" s="153">
        <f t="shared" si="35"/>
        <v>273.60000000000002</v>
      </c>
      <c r="J246" s="164">
        <f t="shared" si="36"/>
        <v>274</v>
      </c>
      <c r="K246" s="156"/>
      <c r="L246" s="95"/>
      <c r="M246" s="95"/>
      <c r="N246" s="95"/>
      <c r="O246" s="95"/>
    </row>
    <row r="247" spans="1:15" ht="15" customHeight="1">
      <c r="A247" s="95"/>
      <c r="B247" s="115">
        <v>2020</v>
      </c>
      <c r="C247" s="116"/>
      <c r="D247" s="154">
        <f t="array" ref="D247">IF(B32=B247,H32)</f>
        <v>259</v>
      </c>
      <c r="E247" s="154">
        <f t="array" ref="E247">IF(B66=B247,H66)</f>
        <v>262</v>
      </c>
      <c r="F247" s="154">
        <f t="array" ref="F247">IF(B121=B247,H121)</f>
        <v>294</v>
      </c>
      <c r="G247" s="154">
        <f t="array" ref="G247">IF(B168=B247,H168)</f>
        <v>285</v>
      </c>
      <c r="H247" s="154">
        <f t="array" ref="H247">IF(B218=B247,H218)</f>
        <v>298</v>
      </c>
      <c r="I247" s="154">
        <f t="shared" si="35"/>
        <v>279.60000000000002</v>
      </c>
      <c r="J247" s="165">
        <f t="shared" si="36"/>
        <v>279</v>
      </c>
      <c r="K247" s="155"/>
      <c r="L247" s="95"/>
      <c r="M247" s="95"/>
      <c r="N247" s="95"/>
      <c r="O247" s="95"/>
    </row>
    <row r="248" spans="1:15" ht="15" customHeight="1">
      <c r="A248" s="95"/>
      <c r="B248" s="112">
        <v>2021</v>
      </c>
      <c r="C248" s="113"/>
      <c r="D248" s="153">
        <f t="array" ref="D248">IF(B33=B248,H33)</f>
        <v>263</v>
      </c>
      <c r="E248" s="153">
        <f t="array" ref="E248">IF(B67=B248,H67)</f>
        <v>268</v>
      </c>
      <c r="F248" s="153">
        <f t="array" ref="F248">IF(B122=B248,H122)</f>
        <v>302</v>
      </c>
      <c r="G248" s="153">
        <f t="array" ref="G248">IF(B169=B248,H169)</f>
        <v>292</v>
      </c>
      <c r="H248" s="153">
        <f t="array" ref="H248">IF(B219=B248,H219)</f>
        <v>307</v>
      </c>
      <c r="I248" s="153">
        <f t="shared" si="35"/>
        <v>286.39999999999998</v>
      </c>
      <c r="J248" s="164">
        <f t="shared" si="36"/>
        <v>286</v>
      </c>
      <c r="K248" s="156"/>
      <c r="L248" s="95"/>
      <c r="M248" s="95"/>
      <c r="N248" s="95"/>
      <c r="O248" s="95"/>
    </row>
    <row r="249" spans="1:15" ht="15" customHeight="1">
      <c r="A249" s="95"/>
      <c r="B249" s="112">
        <v>2022</v>
      </c>
      <c r="C249" s="113"/>
      <c r="D249" s="153">
        <f t="array" ref="D249">IF(B34=B249,H34)</f>
        <v>267</v>
      </c>
      <c r="E249" s="153">
        <f t="array" ref="E249">IF(B68=B249,H68)</f>
        <v>273</v>
      </c>
      <c r="F249" s="153">
        <f t="array" ref="F249">IF(B123=B249,H123)</f>
        <v>309</v>
      </c>
      <c r="G249" s="153">
        <f t="array" ref="G249">IF(B170=B249,H170)</f>
        <v>298</v>
      </c>
      <c r="H249" s="153">
        <f t="array" ref="H249">IF(B220=B249,H220)</f>
        <v>315</v>
      </c>
      <c r="I249" s="153">
        <f t="shared" si="35"/>
        <v>292.39999999999998</v>
      </c>
      <c r="J249" s="164">
        <f t="shared" si="36"/>
        <v>291</v>
      </c>
      <c r="K249" s="156"/>
      <c r="L249" s="95"/>
      <c r="M249" s="95"/>
      <c r="N249" s="95"/>
      <c r="O249" s="95"/>
    </row>
    <row r="250" spans="1:15" ht="15" customHeight="1">
      <c r="A250" s="95"/>
      <c r="B250" s="112">
        <v>2023</v>
      </c>
      <c r="C250" s="113"/>
      <c r="D250" s="153">
        <f t="array" ref="D250">IF(B35=B250,H35)</f>
        <v>271</v>
      </c>
      <c r="E250" s="153">
        <f t="array" ref="E250">IF(B69=B250,H69)</f>
        <v>278</v>
      </c>
      <c r="F250" s="153">
        <f t="array" ref="F250">IF(B124=B250,H124)</f>
        <v>317</v>
      </c>
      <c r="G250" s="153">
        <f t="array" ref="G250">IF(B171=B250,H171)</f>
        <v>304</v>
      </c>
      <c r="H250" s="153">
        <f t="array" ref="H250">IF(B221=B250,H221)</f>
        <v>323</v>
      </c>
      <c r="I250" s="153">
        <f t="shared" si="35"/>
        <v>298.60000000000002</v>
      </c>
      <c r="J250" s="164">
        <f t="shared" si="36"/>
        <v>297</v>
      </c>
      <c r="K250" s="156"/>
      <c r="L250" s="95"/>
      <c r="M250" s="95"/>
      <c r="N250" s="95"/>
      <c r="O250" s="95"/>
    </row>
    <row r="251" spans="1:15" ht="15" customHeight="1">
      <c r="A251" s="95"/>
      <c r="B251" s="112">
        <v>2024</v>
      </c>
      <c r="C251" s="113"/>
      <c r="D251" s="153">
        <f t="array" ref="D251">IF(B36=B251,H36)</f>
        <v>275</v>
      </c>
      <c r="E251" s="153">
        <f t="array" ref="E251">IF(B70=B251,H70)</f>
        <v>283</v>
      </c>
      <c r="F251" s="153">
        <f t="array" ref="F251">IF(B125=B251,H125)</f>
        <v>324</v>
      </c>
      <c r="G251" s="153">
        <f t="array" ref="G251">IF(B172=B251,H172)</f>
        <v>311</v>
      </c>
      <c r="H251" s="153">
        <f t="array" ref="H251">IF(B222=B251,H222)</f>
        <v>331</v>
      </c>
      <c r="I251" s="153">
        <f t="shared" si="35"/>
        <v>304.8</v>
      </c>
      <c r="J251" s="164">
        <f t="shared" si="36"/>
        <v>303</v>
      </c>
      <c r="K251" s="156"/>
      <c r="L251" s="95"/>
      <c r="M251" s="95"/>
      <c r="N251" s="95"/>
      <c r="O251" s="95"/>
    </row>
    <row r="252" spans="1:15" ht="15" customHeight="1">
      <c r="A252" s="95"/>
      <c r="B252" s="115">
        <v>2025</v>
      </c>
      <c r="C252" s="116"/>
      <c r="D252" s="154">
        <f t="array" ref="D252">IF(B37=B252,H37)</f>
        <v>279</v>
      </c>
      <c r="E252" s="154">
        <f t="array" ref="E252">IF(B71=B252,H71)</f>
        <v>289</v>
      </c>
      <c r="F252" s="154">
        <f t="array" ref="F252">IF(B126=B252,H126)</f>
        <v>332</v>
      </c>
      <c r="G252" s="154">
        <f t="array" ref="G252">IF(B173=B252,H173)</f>
        <v>317</v>
      </c>
      <c r="H252" s="154">
        <f t="array" ref="H252">IF(B223=B252,H223)</f>
        <v>339</v>
      </c>
      <c r="I252" s="154">
        <f t="shared" si="35"/>
        <v>311.2</v>
      </c>
      <c r="J252" s="165">
        <f t="shared" si="36"/>
        <v>309</v>
      </c>
      <c r="K252" s="155"/>
      <c r="L252" s="95"/>
      <c r="M252" s="95"/>
      <c r="N252" s="95"/>
      <c r="O252" s="95"/>
    </row>
    <row r="253" spans="1:15" ht="15" customHeight="1">
      <c r="A253" s="95"/>
      <c r="B253" s="112">
        <v>2026</v>
      </c>
      <c r="C253" s="113"/>
      <c r="D253" s="153">
        <f t="array" ref="D253">IF(B38=B253,H38)</f>
        <v>283</v>
      </c>
      <c r="E253" s="153">
        <f t="array" ref="E253">IF(B72=B253,H72)</f>
        <v>294</v>
      </c>
      <c r="F253" s="153">
        <f t="array" ref="F253">IF(B127=B253,H127)</f>
        <v>339</v>
      </c>
      <c r="G253" s="153">
        <f t="array" ref="G253">IF(B174=B253,H174)</f>
        <v>324</v>
      </c>
      <c r="H253" s="153">
        <f t="array" ref="H253">IF(B224=B253,H224)</f>
        <v>348</v>
      </c>
      <c r="I253" s="153">
        <f t="shared" si="35"/>
        <v>317.60000000000002</v>
      </c>
      <c r="J253" s="164">
        <f t="shared" si="36"/>
        <v>315</v>
      </c>
      <c r="K253" s="156"/>
      <c r="L253" s="95"/>
      <c r="M253" s="95"/>
      <c r="N253" s="95"/>
      <c r="O253" s="95"/>
    </row>
    <row r="254" spans="1:15" ht="15" customHeight="1">
      <c r="A254" s="95"/>
      <c r="B254" s="112">
        <v>2027</v>
      </c>
      <c r="C254" s="113"/>
      <c r="D254" s="153">
        <f t="array" ref="D254">IF(B39=B254,H39)</f>
        <v>287</v>
      </c>
      <c r="E254" s="153">
        <f t="array" ref="E254">IF(B73=B254,H73)</f>
        <v>300</v>
      </c>
      <c r="F254" s="153">
        <f t="array" ref="F254">IF(B128=B254,H128)</f>
        <v>347</v>
      </c>
      <c r="G254" s="153">
        <f t="array" ref="G254">IF(B175=B254,H175)</f>
        <v>331</v>
      </c>
      <c r="H254" s="153">
        <f t="array" ref="H254">IF(B225=B254,H225)</f>
        <v>356</v>
      </c>
      <c r="I254" s="153">
        <f t="shared" si="35"/>
        <v>324.2</v>
      </c>
      <c r="J254" s="164">
        <f t="shared" si="36"/>
        <v>322</v>
      </c>
      <c r="K254" s="156"/>
      <c r="L254" s="95"/>
      <c r="M254" s="95"/>
      <c r="N254" s="95"/>
      <c r="O254" s="95"/>
    </row>
    <row r="255" spans="1:15" ht="15" customHeight="1">
      <c r="A255" s="95"/>
      <c r="B255" s="112">
        <v>2028</v>
      </c>
      <c r="C255" s="113"/>
      <c r="D255" s="153">
        <f t="array" ref="D255">IF(B40=B255,H40)</f>
        <v>291</v>
      </c>
      <c r="E255" s="153">
        <f t="array" ref="E255">IF(B74=B255,H74)</f>
        <v>306</v>
      </c>
      <c r="F255" s="153">
        <f t="array" ref="F255">IF(B129=B255,H129)</f>
        <v>354</v>
      </c>
      <c r="G255" s="153">
        <f t="array" ref="G255">IF(B176=B255,H176)</f>
        <v>337</v>
      </c>
      <c r="H255" s="153">
        <f t="array" ref="H255">IF(B226=B255,H226)</f>
        <v>363</v>
      </c>
      <c r="I255" s="153">
        <f t="shared" si="35"/>
        <v>330.2</v>
      </c>
      <c r="J255" s="164">
        <f t="shared" si="36"/>
        <v>327</v>
      </c>
      <c r="K255" s="156"/>
      <c r="L255" s="95"/>
      <c r="M255" s="95"/>
      <c r="N255" s="95"/>
      <c r="O255" s="95"/>
    </row>
    <row r="256" spans="1:15" ht="15" customHeight="1">
      <c r="A256" s="95"/>
      <c r="B256" s="112">
        <v>2029</v>
      </c>
      <c r="C256" s="113"/>
      <c r="D256" s="153">
        <f t="array" ref="D256">IF(B41=B256,H41)</f>
        <v>296</v>
      </c>
      <c r="E256" s="153">
        <f t="array" ref="E256">IF(B75=B256,H75)</f>
        <v>312</v>
      </c>
      <c r="F256" s="153">
        <f t="array" ref="F256">IF(B130=B256,H130)</f>
        <v>362</v>
      </c>
      <c r="G256" s="153">
        <f t="array" ref="G256">IF(B177=B256,H177)</f>
        <v>344</v>
      </c>
      <c r="H256" s="153">
        <f t="array" ref="H256">IF(B227=B256,H227)</f>
        <v>371</v>
      </c>
      <c r="I256" s="153">
        <f t="shared" si="35"/>
        <v>337</v>
      </c>
      <c r="J256" s="164">
        <f t="shared" si="36"/>
        <v>334</v>
      </c>
      <c r="K256" s="156"/>
      <c r="L256" s="95"/>
      <c r="M256" s="95"/>
      <c r="N256" s="95"/>
      <c r="O256" s="95"/>
    </row>
    <row r="257" spans="1:15" ht="15" customHeight="1">
      <c r="A257" s="95"/>
      <c r="B257" s="115">
        <v>2030</v>
      </c>
      <c r="C257" s="116"/>
      <c r="D257" s="154">
        <f t="array" ref="D257">IF(B42=B257,H42)</f>
        <v>300</v>
      </c>
      <c r="E257" s="154">
        <f t="array" ref="E257">IF(B76=B257,H76)</f>
        <v>318</v>
      </c>
      <c r="F257" s="154">
        <f t="array" ref="F257">IF(B131=B257,H131)</f>
        <v>369</v>
      </c>
      <c r="G257" s="154">
        <f t="array" ref="G257">IF(B178=B257,H178)</f>
        <v>350</v>
      </c>
      <c r="H257" s="154">
        <f t="array" ref="H257">IF(B228=B257,H228)</f>
        <v>379</v>
      </c>
      <c r="I257" s="154">
        <f t="shared" si="35"/>
        <v>343.2</v>
      </c>
      <c r="J257" s="165">
        <f t="shared" si="36"/>
        <v>340</v>
      </c>
      <c r="K257" s="155"/>
      <c r="L257" s="95"/>
      <c r="M257" s="95"/>
      <c r="N257" s="95"/>
      <c r="O257" s="95"/>
    </row>
    <row r="258" spans="1:15" ht="15" customHeight="1">
      <c r="A258" s="95"/>
      <c r="B258" s="112">
        <v>2031</v>
      </c>
      <c r="C258" s="113"/>
      <c r="D258" s="153">
        <f t="array" ref="D258">IF(B43=B258,H43)</f>
        <v>304</v>
      </c>
      <c r="E258" s="153">
        <f t="array" ref="E258">IF(B77=B258,H77)</f>
        <v>324</v>
      </c>
      <c r="F258" s="153">
        <f t="array" ref="F258">IF(B132=B258,H132)</f>
        <v>377</v>
      </c>
      <c r="G258" s="153">
        <f t="array" ref="G258">IF(B179=B258,H179)</f>
        <v>357</v>
      </c>
      <c r="H258" s="153">
        <f t="array" ref="H258">IF(B229=B258,H229)</f>
        <v>387</v>
      </c>
      <c r="I258" s="153">
        <f>IF(G258=0,AVERAGE(D258,E258,F258,H258),AVERAGE(D258:H258))</f>
        <v>349.8</v>
      </c>
      <c r="J258" s="164">
        <f>ROUND(AVERAGE(D258,F258:G258),0)</f>
        <v>346</v>
      </c>
      <c r="K258" s="156"/>
      <c r="L258" s="95"/>
      <c r="M258" s="95"/>
      <c r="N258" s="95"/>
      <c r="O258" s="95"/>
    </row>
    <row r="259" spans="1:15" ht="15" customHeight="1">
      <c r="A259" s="95"/>
      <c r="B259" s="112">
        <v>2032</v>
      </c>
      <c r="C259" s="113"/>
      <c r="D259" s="153">
        <f t="array" ref="D259">IF(B44=B259,H44)</f>
        <v>308</v>
      </c>
      <c r="E259" s="153">
        <f t="array" ref="E259">IF(B78=B259,H78)</f>
        <v>330</v>
      </c>
      <c r="F259" s="153">
        <f t="array" ref="F259">IF(B133=B259,H133)</f>
        <v>384</v>
      </c>
      <c r="G259" s="153">
        <f t="array" ref="G259">IF(B180=B259,H180)</f>
        <v>364</v>
      </c>
      <c r="H259" s="153">
        <f t="array" ref="H259">IF(B230=B259,H230)</f>
        <v>394</v>
      </c>
      <c r="I259" s="153">
        <f>IF(G259=0,AVERAGE(D259,E259,F259,H259),AVERAGE(D259:H259))</f>
        <v>356</v>
      </c>
      <c r="J259" s="164">
        <f>ROUND(AVERAGE(D259,F259:G259),0)</f>
        <v>352</v>
      </c>
      <c r="K259" s="156"/>
      <c r="L259" s="95"/>
      <c r="M259" s="95"/>
      <c r="N259" s="95"/>
      <c r="O259" s="95"/>
    </row>
    <row r="260" spans="1:15" ht="15" customHeight="1">
      <c r="A260" s="95"/>
      <c r="B260" s="112">
        <v>2033</v>
      </c>
      <c r="C260" s="113"/>
      <c r="D260" s="153">
        <f t="array" ref="D260">IF(B45=B260,H45)</f>
        <v>312</v>
      </c>
      <c r="E260" s="153">
        <f t="array" ref="E260">IF(B79=B260,H79)</f>
        <v>337</v>
      </c>
      <c r="F260" s="153">
        <f t="array" ref="F260">IF(B134=B260,H134)</f>
        <v>392</v>
      </c>
      <c r="G260" s="153">
        <f t="array" ref="G260">IF(B181=B260,H181)</f>
        <v>371</v>
      </c>
      <c r="H260" s="153">
        <f t="array" ref="H260">IF(B231=B260,H231)</f>
        <v>402</v>
      </c>
      <c r="I260" s="153">
        <f>IF(G260=0,AVERAGE(D260,E260,F260,H260),AVERAGE(D260:H260))</f>
        <v>362.8</v>
      </c>
      <c r="J260" s="164">
        <f>ROUND(AVERAGE(D260,F260:G260),0)</f>
        <v>358</v>
      </c>
      <c r="K260" s="156"/>
      <c r="L260" s="95"/>
      <c r="M260" s="95"/>
      <c r="N260" s="95"/>
      <c r="O260" s="95"/>
    </row>
    <row r="261" spans="1:15" ht="15" customHeight="1">
      <c r="A261" s="95"/>
      <c r="B261" s="112">
        <v>2034</v>
      </c>
      <c r="C261" s="113"/>
      <c r="D261" s="153">
        <f t="array" ref="D261">IF(B46=B261,H46)</f>
        <v>316</v>
      </c>
      <c r="E261" s="153">
        <f t="array" ref="E261">IF(B80=B261,H80)</f>
        <v>343</v>
      </c>
      <c r="F261" s="153">
        <f t="array" ref="F261">IF(B135=B261,H135)</f>
        <v>399</v>
      </c>
      <c r="G261" s="153">
        <f t="array" ref="G261">IF(B182=B261,H182)</f>
        <v>377</v>
      </c>
      <c r="H261" s="153">
        <f t="array" ref="H261">IF(B232=B261,H232)</f>
        <v>409</v>
      </c>
      <c r="I261" s="153">
        <f>IF(G261=0,AVERAGE(D261,E261,F261,H261),AVERAGE(D261:H261))</f>
        <v>368.8</v>
      </c>
      <c r="J261" s="164">
        <f>ROUND(AVERAGE(D261,F261:G261),0)</f>
        <v>364</v>
      </c>
      <c r="K261" s="156"/>
      <c r="L261" s="95"/>
      <c r="M261" s="95"/>
      <c r="N261" s="95"/>
      <c r="O261" s="95"/>
    </row>
    <row r="262" spans="1:15" ht="15" customHeight="1" thickBot="1">
      <c r="A262" s="95"/>
      <c r="B262" s="115">
        <v>2035</v>
      </c>
      <c r="C262" s="116"/>
      <c r="D262" s="154">
        <f t="array" ref="D262">IF(B47=B262,H47)</f>
        <v>320</v>
      </c>
      <c r="E262" s="154">
        <f t="array" ref="E262">IF(B81=B262,H81)</f>
        <v>350</v>
      </c>
      <c r="F262" s="154">
        <f t="array" ref="F262">IF(B136=B262,H136)</f>
        <v>407</v>
      </c>
      <c r="G262" s="154">
        <f t="array" ref="G262">IF(B183=B262,H183)</f>
        <v>384</v>
      </c>
      <c r="H262" s="154">
        <f t="array" ref="H262">IF(B233=B262,H233)</f>
        <v>416</v>
      </c>
      <c r="I262" s="154">
        <f>IF(G262=0,AVERAGE(D262,E262,F262,H262),AVERAGE(D262:H262))</f>
        <v>375.4</v>
      </c>
      <c r="J262" s="165">
        <f>ROUND(AVERAGE(D262,F262:G262),0)</f>
        <v>370</v>
      </c>
      <c r="K262" s="155"/>
      <c r="L262" s="95"/>
      <c r="M262" s="95"/>
      <c r="N262" s="95"/>
      <c r="O262" s="95"/>
    </row>
    <row r="263" spans="1:15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974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196" t="s">
        <v>1776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96">
        <v>2010</v>
      </c>
      <c r="C7" s="96"/>
      <c r="D7" s="97">
        <f>+'음성읍(10년) (사)'!D12</f>
        <v>225</v>
      </c>
      <c r="E7" s="97"/>
      <c r="F7" s="98">
        <v>0</v>
      </c>
      <c r="G7" s="98"/>
      <c r="H7" s="99">
        <v>0</v>
      </c>
      <c r="I7" s="100"/>
      <c r="J7" s="101" t="s">
        <v>145</v>
      </c>
      <c r="K7" s="101">
        <v>600</v>
      </c>
      <c r="L7" s="95"/>
      <c r="M7" s="95"/>
      <c r="N7" s="95"/>
      <c r="O7" s="95"/>
    </row>
    <row r="8" spans="1:15" ht="15" customHeight="1">
      <c r="A8" s="95"/>
      <c r="B8" s="96">
        <f>+B7+1</f>
        <v>2011</v>
      </c>
      <c r="C8" s="96"/>
      <c r="D8" s="97">
        <f>+'음성읍(10년) (사)'!D13</f>
        <v>228</v>
      </c>
      <c r="E8" s="97"/>
      <c r="F8" s="98">
        <f>D8-D7</f>
        <v>3</v>
      </c>
      <c r="G8" s="98"/>
      <c r="H8" s="99">
        <f>ROUND(F8/D7*100,2)</f>
        <v>1.33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96">
        <f>+B8+1</f>
        <v>2012</v>
      </c>
      <c r="C9" s="96"/>
      <c r="D9" s="97">
        <f>+'음성읍(10년) (사)'!D14</f>
        <v>241</v>
      </c>
      <c r="E9" s="97"/>
      <c r="F9" s="98">
        <f>D9-D8</f>
        <v>13</v>
      </c>
      <c r="G9" s="98"/>
      <c r="H9" s="99">
        <f>ROUND(F9/D8*100,2)</f>
        <v>5.7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204">
        <f>+B9+1</f>
        <v>2013</v>
      </c>
      <c r="C10" s="96"/>
      <c r="D10" s="97">
        <f>+'음성읍(10년) (사)'!D15</f>
        <v>252</v>
      </c>
      <c r="E10" s="97"/>
      <c r="F10" s="98">
        <f>D10-D9</f>
        <v>11</v>
      </c>
      <c r="G10" s="98"/>
      <c r="H10" s="99">
        <f>ROUND(F10/D9*100,2)</f>
        <v>4.5599999999999996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96">
        <f>+B10+1</f>
        <v>2014</v>
      </c>
      <c r="C11" s="96"/>
      <c r="D11" s="97">
        <f>+'음성읍(10년) (사)'!D16</f>
        <v>234</v>
      </c>
      <c r="E11" s="97"/>
      <c r="F11" s="98">
        <f>D11-D10</f>
        <v>-18</v>
      </c>
      <c r="G11" s="98"/>
      <c r="H11" s="99">
        <f>ROUND(F11/D10*100,2)</f>
        <v>-7.14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 thickBot="1">
      <c r="A12" s="95"/>
      <c r="B12" s="103" t="s">
        <v>146</v>
      </c>
      <c r="C12" s="104"/>
      <c r="D12" s="105">
        <f>SUM(D7:D11)</f>
        <v>1180</v>
      </c>
      <c r="E12" s="106"/>
      <c r="F12" s="107"/>
      <c r="G12" s="107"/>
      <c r="H12" s="108">
        <f>SUM(H7:H11)</f>
        <v>4.45</v>
      </c>
      <c r="I12" s="108"/>
      <c r="J12" s="109">
        <f>ROUND(AVERAGE(H7:H11),1)</f>
        <v>0.9</v>
      </c>
      <c r="K12" s="109"/>
      <c r="L12" s="95"/>
      <c r="M12" s="95"/>
      <c r="N12" s="95"/>
      <c r="O12" s="95"/>
    </row>
    <row r="13" spans="1:15" ht="1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</row>
    <row r="14" spans="1:15" ht="15" customHeight="1">
      <c r="A14" s="95"/>
      <c r="B14" s="110" t="s">
        <v>147</v>
      </c>
      <c r="C14" s="111"/>
      <c r="D14" s="111"/>
      <c r="E14" s="111"/>
      <c r="F14" s="111"/>
      <c r="G14" s="95"/>
      <c r="H14" s="95"/>
      <c r="I14" s="95"/>
      <c r="J14" s="95"/>
      <c r="K14" s="95"/>
      <c r="L14" s="95"/>
      <c r="M14" s="95"/>
      <c r="N14" s="95"/>
      <c r="O14" s="95"/>
    </row>
    <row r="15" spans="1:15" ht="15" customHeight="1">
      <c r="A15" s="95"/>
      <c r="B15" s="95"/>
      <c r="C15" s="111" t="s">
        <v>148</v>
      </c>
      <c r="D15" s="111" t="s">
        <v>149</v>
      </c>
      <c r="E15" s="111"/>
      <c r="F15" s="111"/>
      <c r="G15" s="95"/>
      <c r="H15" s="95"/>
      <c r="I15" s="95"/>
      <c r="J15" s="95"/>
      <c r="K15" s="95"/>
      <c r="L15" s="95"/>
      <c r="M15" s="95"/>
      <c r="N15" s="95"/>
      <c r="O15" s="95"/>
    </row>
    <row r="16" spans="1:15" ht="15" customHeight="1">
      <c r="A16" s="95"/>
      <c r="B16" s="93"/>
      <c r="C16" s="93" t="s">
        <v>150</v>
      </c>
      <c r="D16" s="111" t="s">
        <v>151</v>
      </c>
      <c r="E16" s="93"/>
      <c r="F16" s="93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5" customHeight="1">
      <c r="A17" s="95"/>
      <c r="B17" s="111"/>
      <c r="C17" s="111"/>
      <c r="D17" s="111" t="s">
        <v>152</v>
      </c>
      <c r="E17" s="111"/>
      <c r="F17" s="111"/>
      <c r="G17" s="95"/>
      <c r="H17" s="95"/>
      <c r="I17" s="95"/>
      <c r="J17" s="95"/>
      <c r="K17" s="95"/>
      <c r="L17" s="95"/>
      <c r="M17" s="95"/>
      <c r="N17" s="95"/>
      <c r="O17" s="95"/>
    </row>
    <row r="18" spans="1:15" ht="15" customHeight="1">
      <c r="A18" s="95"/>
      <c r="B18" s="111"/>
      <c r="C18" s="111"/>
      <c r="D18" s="111" t="s">
        <v>153</v>
      </c>
      <c r="E18" s="111"/>
      <c r="F18" s="111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 thickBot="1">
      <c r="A19" s="95"/>
      <c r="B19" s="95"/>
      <c r="C19" s="95"/>
      <c r="D19" s="95"/>
      <c r="E19" s="95"/>
      <c r="F19" s="100" t="s">
        <v>154</v>
      </c>
      <c r="G19" s="100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4" t="s">
        <v>155</v>
      </c>
      <c r="C20" s="94"/>
      <c r="D20" s="94" t="s">
        <v>156</v>
      </c>
      <c r="E20" s="94"/>
      <c r="F20" s="94" t="s">
        <v>157</v>
      </c>
      <c r="G20" s="94"/>
      <c r="H20" s="94" t="s">
        <v>158</v>
      </c>
      <c r="I20" s="94"/>
      <c r="J20" s="94" t="s">
        <v>159</v>
      </c>
      <c r="K20" s="94"/>
      <c r="L20" s="95"/>
      <c r="M20" s="95"/>
      <c r="N20" s="95"/>
      <c r="O20" s="95"/>
    </row>
    <row r="21" spans="1:15" ht="15" customHeight="1">
      <c r="A21" s="95"/>
      <c r="B21" s="112">
        <v>2014</v>
      </c>
      <c r="C21" s="113"/>
      <c r="D21" s="113">
        <f t="shared" ref="D21:D42" si="0">ROUND(E$43+H$43*(B21-$C$4),0)</f>
        <v>234</v>
      </c>
      <c r="E21" s="113"/>
      <c r="F21" s="113">
        <v>0</v>
      </c>
      <c r="G21" s="113"/>
      <c r="H21" s="113">
        <f t="shared" ref="H21:H42" si="1">ROUND(D21*(1+F21),0)</f>
        <v>234</v>
      </c>
      <c r="I21" s="113"/>
      <c r="J21" s="114">
        <v>0</v>
      </c>
      <c r="K21" s="114"/>
      <c r="L21" s="95"/>
      <c r="M21" s="95"/>
      <c r="N21" s="95"/>
      <c r="O21" s="95"/>
    </row>
    <row r="22" spans="1:15" ht="15" customHeight="1">
      <c r="A22" s="95"/>
      <c r="B22" s="115">
        <v>2015</v>
      </c>
      <c r="C22" s="116"/>
      <c r="D22" s="116">
        <f t="shared" si="0"/>
        <v>236</v>
      </c>
      <c r="E22" s="116"/>
      <c r="F22" s="116">
        <v>0</v>
      </c>
      <c r="G22" s="116"/>
      <c r="H22" s="116">
        <f t="shared" si="1"/>
        <v>236</v>
      </c>
      <c r="I22" s="116"/>
      <c r="J22" s="117">
        <v>0</v>
      </c>
      <c r="K22" s="117"/>
      <c r="L22" s="95"/>
      <c r="M22" s="95"/>
      <c r="N22" s="95"/>
      <c r="O22" s="95"/>
    </row>
    <row r="23" spans="1:15" ht="15" customHeight="1">
      <c r="A23" s="95"/>
      <c r="B23" s="112">
        <v>2016</v>
      </c>
      <c r="C23" s="113"/>
      <c r="D23" s="113">
        <f t="shared" si="0"/>
        <v>239</v>
      </c>
      <c r="E23" s="113"/>
      <c r="F23" s="113">
        <v>0</v>
      </c>
      <c r="G23" s="113"/>
      <c r="H23" s="113">
        <f t="shared" si="1"/>
        <v>239</v>
      </c>
      <c r="I23" s="113"/>
      <c r="J23" s="114">
        <v>0</v>
      </c>
      <c r="K23" s="114"/>
      <c r="L23" s="95"/>
      <c r="M23" s="95"/>
      <c r="N23" s="95"/>
      <c r="O23" s="95"/>
    </row>
    <row r="24" spans="1:15" ht="15" customHeight="1">
      <c r="A24" s="95"/>
      <c r="B24" s="112">
        <v>2017</v>
      </c>
      <c r="C24" s="113"/>
      <c r="D24" s="113">
        <f t="shared" si="0"/>
        <v>241</v>
      </c>
      <c r="E24" s="113"/>
      <c r="F24" s="113">
        <v>0</v>
      </c>
      <c r="G24" s="113"/>
      <c r="H24" s="113">
        <f t="shared" si="1"/>
        <v>241</v>
      </c>
      <c r="I24" s="113"/>
      <c r="J24" s="114">
        <v>0</v>
      </c>
      <c r="K24" s="114"/>
      <c r="L24" s="95"/>
      <c r="M24" s="95"/>
      <c r="N24" s="95"/>
      <c r="O24" s="95"/>
    </row>
    <row r="25" spans="1:15" ht="15" customHeight="1">
      <c r="A25" s="95"/>
      <c r="B25" s="112">
        <v>2018</v>
      </c>
      <c r="C25" s="113"/>
      <c r="D25" s="113">
        <f t="shared" si="0"/>
        <v>243</v>
      </c>
      <c r="E25" s="113"/>
      <c r="F25" s="113">
        <v>0</v>
      </c>
      <c r="G25" s="113"/>
      <c r="H25" s="113">
        <f t="shared" si="1"/>
        <v>243</v>
      </c>
      <c r="I25" s="113"/>
      <c r="J25" s="114">
        <v>0</v>
      </c>
      <c r="K25" s="114"/>
      <c r="L25" s="95"/>
      <c r="M25" s="95"/>
      <c r="N25" s="95"/>
      <c r="O25" s="95"/>
    </row>
    <row r="26" spans="1:15" ht="15" customHeight="1">
      <c r="A26" s="95"/>
      <c r="B26" s="112">
        <v>2019</v>
      </c>
      <c r="C26" s="113"/>
      <c r="D26" s="113">
        <f t="shared" si="0"/>
        <v>246</v>
      </c>
      <c r="E26" s="113"/>
      <c r="F26" s="113">
        <v>0</v>
      </c>
      <c r="G26" s="113"/>
      <c r="H26" s="113">
        <f t="shared" si="1"/>
        <v>246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2020</v>
      </c>
      <c r="C27" s="116"/>
      <c r="D27" s="116">
        <f t="shared" si="0"/>
        <v>248</v>
      </c>
      <c r="E27" s="116"/>
      <c r="F27" s="116">
        <v>0</v>
      </c>
      <c r="G27" s="116"/>
      <c r="H27" s="116">
        <f t="shared" si="1"/>
        <v>248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2021</v>
      </c>
      <c r="C28" s="113"/>
      <c r="D28" s="113">
        <f t="shared" si="0"/>
        <v>250</v>
      </c>
      <c r="E28" s="113"/>
      <c r="F28" s="113">
        <v>0</v>
      </c>
      <c r="G28" s="113"/>
      <c r="H28" s="113">
        <f t="shared" si="1"/>
        <v>250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2022</v>
      </c>
      <c r="C29" s="113"/>
      <c r="D29" s="113">
        <f t="shared" si="0"/>
        <v>252</v>
      </c>
      <c r="E29" s="113"/>
      <c r="F29" s="113">
        <v>0</v>
      </c>
      <c r="G29" s="113"/>
      <c r="H29" s="113">
        <f t="shared" si="1"/>
        <v>252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2023</v>
      </c>
      <c r="C30" s="113"/>
      <c r="D30" s="113">
        <f t="shared" si="0"/>
        <v>255</v>
      </c>
      <c r="E30" s="113"/>
      <c r="F30" s="113">
        <v>0</v>
      </c>
      <c r="G30" s="113"/>
      <c r="H30" s="113">
        <f t="shared" si="1"/>
        <v>255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2024</v>
      </c>
      <c r="C31" s="113"/>
      <c r="D31" s="113">
        <f t="shared" si="0"/>
        <v>257</v>
      </c>
      <c r="E31" s="113"/>
      <c r="F31" s="113">
        <v>0</v>
      </c>
      <c r="G31" s="113"/>
      <c r="H31" s="113">
        <f t="shared" si="1"/>
        <v>257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2025</v>
      </c>
      <c r="C32" s="116"/>
      <c r="D32" s="116">
        <f t="shared" si="0"/>
        <v>259</v>
      </c>
      <c r="E32" s="116"/>
      <c r="F32" s="116">
        <v>0</v>
      </c>
      <c r="G32" s="116"/>
      <c r="H32" s="116">
        <f t="shared" si="1"/>
        <v>259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2026</v>
      </c>
      <c r="C33" s="113"/>
      <c r="D33" s="113">
        <f t="shared" si="0"/>
        <v>262</v>
      </c>
      <c r="E33" s="113"/>
      <c r="F33" s="113">
        <v>0</v>
      </c>
      <c r="G33" s="113"/>
      <c r="H33" s="113">
        <f t="shared" si="1"/>
        <v>262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2027</v>
      </c>
      <c r="C34" s="113"/>
      <c r="D34" s="113">
        <f t="shared" si="0"/>
        <v>264</v>
      </c>
      <c r="E34" s="113"/>
      <c r="F34" s="113">
        <v>0</v>
      </c>
      <c r="G34" s="113"/>
      <c r="H34" s="113">
        <f t="shared" si="1"/>
        <v>264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2028</v>
      </c>
      <c r="C35" s="113"/>
      <c r="D35" s="113">
        <f t="shared" si="0"/>
        <v>266</v>
      </c>
      <c r="E35" s="113"/>
      <c r="F35" s="113">
        <v>0</v>
      </c>
      <c r="G35" s="113"/>
      <c r="H35" s="113">
        <f t="shared" si="1"/>
        <v>266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2029</v>
      </c>
      <c r="C36" s="113"/>
      <c r="D36" s="113">
        <f t="shared" si="0"/>
        <v>269</v>
      </c>
      <c r="E36" s="113"/>
      <c r="F36" s="113">
        <v>0</v>
      </c>
      <c r="G36" s="113"/>
      <c r="H36" s="113">
        <f t="shared" si="1"/>
        <v>269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2030</v>
      </c>
      <c r="C37" s="116"/>
      <c r="D37" s="116">
        <f t="shared" si="0"/>
        <v>271</v>
      </c>
      <c r="E37" s="116"/>
      <c r="F37" s="116">
        <v>0</v>
      </c>
      <c r="G37" s="116"/>
      <c r="H37" s="116">
        <f t="shared" si="1"/>
        <v>271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2031</v>
      </c>
      <c r="C38" s="113"/>
      <c r="D38" s="113">
        <f t="shared" si="0"/>
        <v>273</v>
      </c>
      <c r="E38" s="113"/>
      <c r="F38" s="113">
        <v>0</v>
      </c>
      <c r="G38" s="113"/>
      <c r="H38" s="113">
        <f t="shared" si="1"/>
        <v>273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2032</v>
      </c>
      <c r="C39" s="113"/>
      <c r="D39" s="113">
        <f t="shared" si="0"/>
        <v>275</v>
      </c>
      <c r="E39" s="113"/>
      <c r="F39" s="113">
        <v>0</v>
      </c>
      <c r="G39" s="113"/>
      <c r="H39" s="113">
        <f t="shared" si="1"/>
        <v>275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2033</v>
      </c>
      <c r="C40" s="113"/>
      <c r="D40" s="113">
        <f t="shared" si="0"/>
        <v>278</v>
      </c>
      <c r="E40" s="113"/>
      <c r="F40" s="113">
        <v>0</v>
      </c>
      <c r="G40" s="113"/>
      <c r="H40" s="113">
        <f t="shared" si="1"/>
        <v>278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2034</v>
      </c>
      <c r="C41" s="113"/>
      <c r="D41" s="113">
        <f t="shared" si="0"/>
        <v>280</v>
      </c>
      <c r="E41" s="113"/>
      <c r="F41" s="113">
        <v>0</v>
      </c>
      <c r="G41" s="113"/>
      <c r="H41" s="113">
        <f t="shared" si="1"/>
        <v>280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 thickBot="1">
      <c r="A42" s="95"/>
      <c r="B42" s="115">
        <v>2035</v>
      </c>
      <c r="C42" s="116"/>
      <c r="D42" s="116">
        <f t="shared" si="0"/>
        <v>282</v>
      </c>
      <c r="E42" s="116"/>
      <c r="F42" s="116">
        <v>0</v>
      </c>
      <c r="G42" s="116"/>
      <c r="H42" s="116">
        <f t="shared" si="1"/>
        <v>282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8" t="s">
        <v>160</v>
      </c>
      <c r="C43" s="118"/>
      <c r="D43" s="119" t="s">
        <v>161</v>
      </c>
      <c r="E43" s="120">
        <f>D$11</f>
        <v>234</v>
      </c>
      <c r="F43" s="121"/>
      <c r="G43" s="119" t="s">
        <v>162</v>
      </c>
      <c r="H43" s="119">
        <f>ROUND((D$11-D$7)/(COUNT(D$7:D$11)-1),1)</f>
        <v>2.2999999999999998</v>
      </c>
      <c r="I43" s="119"/>
      <c r="J43" s="119" t="s">
        <v>163</v>
      </c>
      <c r="K43" s="122" t="s">
        <v>164</v>
      </c>
      <c r="L43" s="95"/>
      <c r="M43" s="95"/>
      <c r="N43" s="95"/>
      <c r="O43" s="95"/>
    </row>
    <row r="44" spans="1:15" ht="15" customHeight="1">
      <c r="A44" s="95"/>
      <c r="B44" s="123"/>
      <c r="C44" s="123"/>
      <c r="D44" s="124"/>
      <c r="E44" s="125"/>
      <c r="F44" s="126"/>
      <c r="G44" s="124"/>
      <c r="H44" s="124"/>
      <c r="I44" s="124"/>
      <c r="J44" s="124"/>
      <c r="K44" s="127"/>
      <c r="L44" s="95"/>
      <c r="M44" s="95"/>
      <c r="N44" s="95"/>
      <c r="O44" s="95"/>
    </row>
    <row r="45" spans="1:15" ht="1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1:15" ht="1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1:15" ht="15" customHeight="1">
      <c r="A47" s="95"/>
      <c r="B47" s="110" t="s">
        <v>165</v>
      </c>
      <c r="C47" s="111"/>
      <c r="D47" s="111"/>
      <c r="E47" s="111"/>
      <c r="F47" s="111"/>
      <c r="G47" s="111"/>
      <c r="H47" s="95"/>
      <c r="I47" s="95"/>
      <c r="J47" s="95"/>
      <c r="K47" s="95"/>
      <c r="L47" s="95"/>
      <c r="M47" s="95"/>
      <c r="N47" s="95"/>
      <c r="O47" s="95"/>
    </row>
    <row r="48" spans="1:15" ht="15" customHeight="1">
      <c r="A48" s="95"/>
      <c r="B48" s="95"/>
      <c r="C48" s="111" t="s">
        <v>166</v>
      </c>
      <c r="D48" s="111" t="s">
        <v>167</v>
      </c>
      <c r="E48" s="111"/>
      <c r="F48" s="111"/>
      <c r="G48" s="111"/>
      <c r="H48" s="95"/>
      <c r="I48" s="95"/>
      <c r="J48" s="95"/>
      <c r="K48" s="95"/>
      <c r="L48" s="95"/>
      <c r="M48" s="95"/>
      <c r="N48" s="95"/>
      <c r="O48" s="95"/>
    </row>
    <row r="49" spans="1:15" ht="15" customHeight="1">
      <c r="A49" s="95"/>
      <c r="B49" s="93"/>
      <c r="C49" s="93" t="s">
        <v>168</v>
      </c>
      <c r="D49" s="111" t="s">
        <v>151</v>
      </c>
      <c r="E49" s="93"/>
      <c r="F49" s="93"/>
      <c r="G49" s="93"/>
      <c r="H49" s="95"/>
      <c r="I49" s="95"/>
      <c r="J49" s="95"/>
      <c r="K49" s="95"/>
      <c r="L49" s="95"/>
      <c r="M49" s="95"/>
      <c r="N49" s="95"/>
      <c r="O49" s="95"/>
    </row>
    <row r="50" spans="1:15" ht="15" customHeight="1">
      <c r="A50" s="95"/>
      <c r="B50" s="111"/>
      <c r="C50" s="111"/>
      <c r="D50" s="111" t="s">
        <v>170</v>
      </c>
      <c r="E50" s="111"/>
      <c r="F50" s="111"/>
      <c r="G50" s="111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111"/>
      <c r="C51" s="111"/>
      <c r="D51" s="111" t="s">
        <v>171</v>
      </c>
      <c r="E51" s="111"/>
      <c r="F51" s="111"/>
      <c r="G51" s="111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15" ht="15" customHeight="1" thickBot="1">
      <c r="A53" s="95"/>
      <c r="B53" s="95"/>
      <c r="C53" s="95"/>
      <c r="D53" s="95"/>
      <c r="E53" s="95"/>
      <c r="F53" s="100" t="s">
        <v>172</v>
      </c>
      <c r="G53" s="100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4" t="s">
        <v>155</v>
      </c>
      <c r="C54" s="94"/>
      <c r="D54" s="94" t="s">
        <v>174</v>
      </c>
      <c r="E54" s="94"/>
      <c r="F54" s="94" t="s">
        <v>175</v>
      </c>
      <c r="G54" s="94"/>
      <c r="H54" s="94" t="s">
        <v>176</v>
      </c>
      <c r="I54" s="94"/>
      <c r="J54" s="94" t="s">
        <v>144</v>
      </c>
      <c r="K54" s="94"/>
      <c r="L54" s="95"/>
      <c r="M54" s="95"/>
      <c r="N54" s="95"/>
      <c r="O54" s="95"/>
    </row>
    <row r="55" spans="1:15" ht="15" customHeight="1">
      <c r="A55" s="95"/>
      <c r="B55" s="112">
        <v>2014</v>
      </c>
      <c r="C55" s="113"/>
      <c r="D55" s="113">
        <f t="shared" ref="D55:D76" si="2">ROUND(E$77*H$77^(B55-$C$4),0)</f>
        <v>234</v>
      </c>
      <c r="E55" s="113"/>
      <c r="F55" s="113">
        <v>0</v>
      </c>
      <c r="G55" s="113"/>
      <c r="H55" s="113">
        <f t="shared" ref="H55:H76" si="3">ROUND(D55*(1+F55),0)</f>
        <v>234</v>
      </c>
      <c r="I55" s="113"/>
      <c r="J55" s="114">
        <v>0</v>
      </c>
      <c r="K55" s="114"/>
      <c r="L55" s="95"/>
      <c r="M55" s="95"/>
      <c r="N55" s="95"/>
      <c r="O55" s="95"/>
    </row>
    <row r="56" spans="1:15" ht="15" customHeight="1">
      <c r="A56" s="95"/>
      <c r="B56" s="115">
        <v>2015</v>
      </c>
      <c r="C56" s="116"/>
      <c r="D56" s="116">
        <f t="shared" si="2"/>
        <v>236</v>
      </c>
      <c r="E56" s="116"/>
      <c r="F56" s="116">
        <v>0</v>
      </c>
      <c r="G56" s="116"/>
      <c r="H56" s="116">
        <f t="shared" si="3"/>
        <v>236</v>
      </c>
      <c r="I56" s="116"/>
      <c r="J56" s="117">
        <v>0</v>
      </c>
      <c r="K56" s="117"/>
      <c r="L56" s="95"/>
      <c r="M56" s="95"/>
      <c r="N56" s="95"/>
      <c r="O56" s="95"/>
    </row>
    <row r="57" spans="1:15" ht="15" customHeight="1">
      <c r="A57" s="95"/>
      <c r="B57" s="112">
        <v>2016</v>
      </c>
      <c r="C57" s="113"/>
      <c r="D57" s="113">
        <f t="shared" si="2"/>
        <v>239</v>
      </c>
      <c r="E57" s="113"/>
      <c r="F57" s="113">
        <v>0</v>
      </c>
      <c r="G57" s="113"/>
      <c r="H57" s="113">
        <f t="shared" si="3"/>
        <v>239</v>
      </c>
      <c r="I57" s="113"/>
      <c r="J57" s="114">
        <v>0</v>
      </c>
      <c r="K57" s="114"/>
      <c r="L57" s="95"/>
      <c r="M57" s="95"/>
      <c r="N57" s="95"/>
      <c r="O57" s="95"/>
    </row>
    <row r="58" spans="1:15" ht="15" customHeight="1">
      <c r="A58" s="95"/>
      <c r="B58" s="112">
        <v>2017</v>
      </c>
      <c r="C58" s="113"/>
      <c r="D58" s="113">
        <f t="shared" si="2"/>
        <v>241</v>
      </c>
      <c r="E58" s="113"/>
      <c r="F58" s="113">
        <v>0</v>
      </c>
      <c r="G58" s="113"/>
      <c r="H58" s="113">
        <f t="shared" si="3"/>
        <v>241</v>
      </c>
      <c r="I58" s="113"/>
      <c r="J58" s="114">
        <v>0</v>
      </c>
      <c r="K58" s="114"/>
      <c r="L58" s="95"/>
      <c r="M58" s="95"/>
      <c r="N58" s="95"/>
      <c r="O58" s="95"/>
    </row>
    <row r="59" spans="1:15" ht="15" customHeight="1">
      <c r="A59" s="95"/>
      <c r="B59" s="112">
        <v>2018</v>
      </c>
      <c r="C59" s="113"/>
      <c r="D59" s="113">
        <f t="shared" si="2"/>
        <v>243</v>
      </c>
      <c r="E59" s="113"/>
      <c r="F59" s="113">
        <v>0</v>
      </c>
      <c r="G59" s="113"/>
      <c r="H59" s="113">
        <f t="shared" si="3"/>
        <v>243</v>
      </c>
      <c r="I59" s="113"/>
      <c r="J59" s="114">
        <v>0</v>
      </c>
      <c r="K59" s="114"/>
      <c r="L59" s="95"/>
      <c r="M59" s="95"/>
      <c r="N59" s="95"/>
      <c r="O59" s="95"/>
    </row>
    <row r="60" spans="1:15" ht="15" customHeight="1">
      <c r="A60" s="95"/>
      <c r="B60" s="112">
        <v>2019</v>
      </c>
      <c r="C60" s="113"/>
      <c r="D60" s="113">
        <f t="shared" si="2"/>
        <v>246</v>
      </c>
      <c r="E60" s="113"/>
      <c r="F60" s="113">
        <v>0</v>
      </c>
      <c r="G60" s="113"/>
      <c r="H60" s="113">
        <f t="shared" si="3"/>
        <v>246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2020</v>
      </c>
      <c r="C61" s="116"/>
      <c r="D61" s="116">
        <f t="shared" si="2"/>
        <v>248</v>
      </c>
      <c r="E61" s="116"/>
      <c r="F61" s="116">
        <v>0</v>
      </c>
      <c r="G61" s="116"/>
      <c r="H61" s="116">
        <f t="shared" si="3"/>
        <v>248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2021</v>
      </c>
      <c r="C62" s="113"/>
      <c r="D62" s="113">
        <f t="shared" si="2"/>
        <v>251</v>
      </c>
      <c r="E62" s="113"/>
      <c r="F62" s="113">
        <v>0</v>
      </c>
      <c r="G62" s="113"/>
      <c r="H62" s="113">
        <f t="shared" si="3"/>
        <v>251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2022</v>
      </c>
      <c r="C63" s="113"/>
      <c r="D63" s="113">
        <f t="shared" si="2"/>
        <v>253</v>
      </c>
      <c r="E63" s="113"/>
      <c r="F63" s="113">
        <v>0</v>
      </c>
      <c r="G63" s="113"/>
      <c r="H63" s="113">
        <f t="shared" si="3"/>
        <v>253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2023</v>
      </c>
      <c r="C64" s="113"/>
      <c r="D64" s="113">
        <f t="shared" si="2"/>
        <v>256</v>
      </c>
      <c r="E64" s="113"/>
      <c r="F64" s="113">
        <v>0</v>
      </c>
      <c r="G64" s="113"/>
      <c r="H64" s="113">
        <f t="shared" si="3"/>
        <v>256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2024</v>
      </c>
      <c r="C65" s="113"/>
      <c r="D65" s="113">
        <f t="shared" si="2"/>
        <v>258</v>
      </c>
      <c r="E65" s="113"/>
      <c r="F65" s="113">
        <v>0</v>
      </c>
      <c r="G65" s="113"/>
      <c r="H65" s="113">
        <f t="shared" si="3"/>
        <v>258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2025</v>
      </c>
      <c r="C66" s="116"/>
      <c r="D66" s="116">
        <f t="shared" si="2"/>
        <v>261</v>
      </c>
      <c r="E66" s="116"/>
      <c r="F66" s="116">
        <v>0</v>
      </c>
      <c r="G66" s="116"/>
      <c r="H66" s="116">
        <f t="shared" si="3"/>
        <v>261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2026</v>
      </c>
      <c r="C67" s="113"/>
      <c r="D67" s="113">
        <f t="shared" si="2"/>
        <v>263</v>
      </c>
      <c r="E67" s="113"/>
      <c r="F67" s="113">
        <v>0</v>
      </c>
      <c r="G67" s="113"/>
      <c r="H67" s="113">
        <f t="shared" si="3"/>
        <v>263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2027</v>
      </c>
      <c r="C68" s="113"/>
      <c r="D68" s="113">
        <f t="shared" si="2"/>
        <v>266</v>
      </c>
      <c r="E68" s="113"/>
      <c r="F68" s="113">
        <v>0</v>
      </c>
      <c r="G68" s="113"/>
      <c r="H68" s="113">
        <f t="shared" si="3"/>
        <v>266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2028</v>
      </c>
      <c r="C69" s="113"/>
      <c r="D69" s="113">
        <f t="shared" si="2"/>
        <v>268</v>
      </c>
      <c r="E69" s="113"/>
      <c r="F69" s="113">
        <v>0</v>
      </c>
      <c r="G69" s="113"/>
      <c r="H69" s="113">
        <f t="shared" si="3"/>
        <v>268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2029</v>
      </c>
      <c r="C70" s="113"/>
      <c r="D70" s="113">
        <f t="shared" si="2"/>
        <v>271</v>
      </c>
      <c r="E70" s="113"/>
      <c r="F70" s="113">
        <v>0</v>
      </c>
      <c r="G70" s="113"/>
      <c r="H70" s="113">
        <f t="shared" si="3"/>
        <v>271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2030</v>
      </c>
      <c r="C71" s="116"/>
      <c r="D71" s="116">
        <f t="shared" si="2"/>
        <v>274</v>
      </c>
      <c r="E71" s="116"/>
      <c r="F71" s="116">
        <v>0</v>
      </c>
      <c r="G71" s="116"/>
      <c r="H71" s="116">
        <f t="shared" si="3"/>
        <v>274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2031</v>
      </c>
      <c r="C72" s="113"/>
      <c r="D72" s="113">
        <f t="shared" si="2"/>
        <v>276</v>
      </c>
      <c r="E72" s="113"/>
      <c r="F72" s="113">
        <v>0</v>
      </c>
      <c r="G72" s="113"/>
      <c r="H72" s="113">
        <f t="shared" si="3"/>
        <v>276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2032</v>
      </c>
      <c r="C73" s="113"/>
      <c r="D73" s="113">
        <f t="shared" si="2"/>
        <v>279</v>
      </c>
      <c r="E73" s="113"/>
      <c r="F73" s="113">
        <v>0</v>
      </c>
      <c r="G73" s="113"/>
      <c r="H73" s="113">
        <f t="shared" si="3"/>
        <v>279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2033</v>
      </c>
      <c r="C74" s="113"/>
      <c r="D74" s="113">
        <f t="shared" si="2"/>
        <v>282</v>
      </c>
      <c r="E74" s="113"/>
      <c r="F74" s="113">
        <v>0</v>
      </c>
      <c r="G74" s="113"/>
      <c r="H74" s="113">
        <f t="shared" si="3"/>
        <v>282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2034</v>
      </c>
      <c r="C75" s="113"/>
      <c r="D75" s="113">
        <f t="shared" si="2"/>
        <v>285</v>
      </c>
      <c r="E75" s="113"/>
      <c r="F75" s="113">
        <v>0</v>
      </c>
      <c r="G75" s="113"/>
      <c r="H75" s="113">
        <f t="shared" si="3"/>
        <v>285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 thickBot="1">
      <c r="A76" s="95"/>
      <c r="B76" s="115">
        <v>2035</v>
      </c>
      <c r="C76" s="116"/>
      <c r="D76" s="116">
        <f t="shared" si="2"/>
        <v>287</v>
      </c>
      <c r="E76" s="116"/>
      <c r="F76" s="116">
        <v>0</v>
      </c>
      <c r="G76" s="116"/>
      <c r="H76" s="116">
        <f t="shared" si="3"/>
        <v>287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8" t="s">
        <v>177</v>
      </c>
      <c r="C77" s="118"/>
      <c r="D77" s="119" t="s">
        <v>178</v>
      </c>
      <c r="E77" s="120">
        <f>D$11</f>
        <v>234</v>
      </c>
      <c r="F77" s="121"/>
      <c r="G77" s="119" t="s">
        <v>179</v>
      </c>
      <c r="H77" s="119">
        <f>ROUND((E$77/D$7)^(1/(COUNT(D$7:D$11)-1)),6)</f>
        <v>1.0098529999999999</v>
      </c>
      <c r="I77" s="119"/>
      <c r="J77" s="119" t="s">
        <v>180</v>
      </c>
      <c r="K77" s="122" t="s">
        <v>181</v>
      </c>
      <c r="L77" s="95"/>
      <c r="M77" s="95"/>
      <c r="N77" s="95"/>
      <c r="O77" s="95"/>
    </row>
    <row r="78" spans="1:15" ht="1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1:15" ht="1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1:15" ht="1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</row>
    <row r="81" spans="1:15" ht="1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</row>
    <row r="82" spans="1:15" ht="1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110" t="s">
        <v>182</v>
      </c>
      <c r="C87" s="111"/>
      <c r="D87" s="111"/>
      <c r="E87" s="111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111" t="s">
        <v>183</v>
      </c>
      <c r="D88" s="111" t="s">
        <v>184</v>
      </c>
      <c r="E88" s="111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111"/>
      <c r="C89" s="128" t="s">
        <v>185</v>
      </c>
      <c r="D89" s="111" t="s">
        <v>186</v>
      </c>
      <c r="E89" s="93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111"/>
      <c r="C90" s="111"/>
      <c r="D90" s="111" t="s">
        <v>187</v>
      </c>
      <c r="E90" s="111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3"/>
      <c r="C91" s="111"/>
      <c r="D91" s="111" t="s">
        <v>188</v>
      </c>
      <c r="E91" s="111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 thickBot="1">
      <c r="A92" s="95"/>
      <c r="B92" s="95"/>
      <c r="C92" s="95"/>
      <c r="D92" s="95"/>
      <c r="E92" s="95"/>
      <c r="F92" s="100" t="s">
        <v>189</v>
      </c>
      <c r="G92" s="100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4" t="s">
        <v>190</v>
      </c>
      <c r="C93" s="94"/>
      <c r="D93" s="94" t="s">
        <v>191</v>
      </c>
      <c r="E93" s="94" t="s">
        <v>192</v>
      </c>
      <c r="F93" s="94" t="s">
        <v>193</v>
      </c>
      <c r="G93" s="94"/>
      <c r="H93" s="94" t="s">
        <v>194</v>
      </c>
      <c r="I93" s="94"/>
      <c r="J93" s="94" t="s">
        <v>27</v>
      </c>
      <c r="K93" s="94"/>
      <c r="L93" s="95"/>
      <c r="M93" s="95"/>
      <c r="N93" s="95"/>
      <c r="O93" s="95"/>
    </row>
    <row r="94" spans="1:15" ht="15" customHeight="1">
      <c r="A94" s="95"/>
      <c r="B94" s="96">
        <f>B7</f>
        <v>2010</v>
      </c>
      <c r="C94" s="96"/>
      <c r="D94" s="100">
        <f>VLOOKUP(B94,B$7:E$11,3,FALSE)</f>
        <v>225</v>
      </c>
      <c r="E94" s="96">
        <f>((COUNT(B$94:B$98)-1)/2)+(B94-$C$4)</f>
        <v>-2</v>
      </c>
      <c r="F94" s="100">
        <f>E94^2</f>
        <v>4</v>
      </c>
      <c r="G94" s="98"/>
      <c r="H94" s="130">
        <f>ROUND(D94*E94,2)</f>
        <v>-450</v>
      </c>
      <c r="I94" s="131"/>
      <c r="J94" s="102">
        <v>0</v>
      </c>
      <c r="K94" s="102"/>
      <c r="L94" s="95"/>
      <c r="M94" s="95"/>
      <c r="N94" s="95"/>
      <c r="O94" s="95"/>
    </row>
    <row r="95" spans="1:15" ht="15" customHeight="1">
      <c r="A95" s="95"/>
      <c r="B95" s="96">
        <f>B8</f>
        <v>2011</v>
      </c>
      <c r="C95" s="96"/>
      <c r="D95" s="100">
        <f>VLOOKUP(B95,B$7:E$11,3,FALSE)</f>
        <v>228</v>
      </c>
      <c r="E95" s="96">
        <f>((COUNT(B$94:B$98)-1)/2)+(B95-$C$4)</f>
        <v>-1</v>
      </c>
      <c r="F95" s="100">
        <f>E95^2</f>
        <v>1</v>
      </c>
      <c r="G95" s="98"/>
      <c r="H95" s="130">
        <f>ROUND(D95*E95,2)</f>
        <v>-228</v>
      </c>
      <c r="I95" s="131"/>
      <c r="J95" s="102">
        <v>0</v>
      </c>
      <c r="K95" s="102"/>
      <c r="L95" s="95"/>
      <c r="M95" s="95"/>
      <c r="N95" s="95"/>
      <c r="O95" s="95"/>
    </row>
    <row r="96" spans="1:15" ht="15" customHeight="1">
      <c r="A96" s="95"/>
      <c r="B96" s="96">
        <f>B9</f>
        <v>2012</v>
      </c>
      <c r="C96" s="96"/>
      <c r="D96" s="100">
        <f>VLOOKUP(B96,B$7:E$11,3,FALSE)</f>
        <v>241</v>
      </c>
      <c r="E96" s="96">
        <f>((COUNT(B$94:B$98)-1)/2)+(B96-$C$4)</f>
        <v>0</v>
      </c>
      <c r="F96" s="100">
        <f>E96^2</f>
        <v>0</v>
      </c>
      <c r="G96" s="98"/>
      <c r="H96" s="130">
        <f>ROUND(D96*E96,2)</f>
        <v>0</v>
      </c>
      <c r="I96" s="131"/>
      <c r="J96" s="102">
        <v>0</v>
      </c>
      <c r="K96" s="102"/>
      <c r="L96" s="95"/>
      <c r="M96" s="95"/>
      <c r="N96" s="95"/>
      <c r="O96" s="95"/>
    </row>
    <row r="97" spans="1:15" ht="15" customHeight="1">
      <c r="A97" s="95"/>
      <c r="B97" s="96">
        <f>B10</f>
        <v>2013</v>
      </c>
      <c r="C97" s="96"/>
      <c r="D97" s="100">
        <f>VLOOKUP(B97,B$7:E$11,3,FALSE)</f>
        <v>252</v>
      </c>
      <c r="E97" s="96">
        <f>((COUNT(B$94:B$98)-1)/2)+(B97-$C$4)</f>
        <v>1</v>
      </c>
      <c r="F97" s="100">
        <f>E97^2</f>
        <v>1</v>
      </c>
      <c r="G97" s="98"/>
      <c r="H97" s="130">
        <f>ROUND(D97*E97,2)</f>
        <v>252</v>
      </c>
      <c r="I97" s="131"/>
      <c r="J97" s="102">
        <v>0</v>
      </c>
      <c r="K97" s="102"/>
      <c r="L97" s="95"/>
      <c r="M97" s="95"/>
      <c r="N97" s="95"/>
      <c r="O97" s="95"/>
    </row>
    <row r="98" spans="1:15" ht="15" customHeight="1">
      <c r="A98" s="95"/>
      <c r="B98" s="96">
        <f>B11</f>
        <v>2014</v>
      </c>
      <c r="C98" s="96"/>
      <c r="D98" s="100">
        <f>VLOOKUP(B98,B$7:E$11,3,FALSE)</f>
        <v>234</v>
      </c>
      <c r="E98" s="96">
        <f>((COUNT(B$94:B$98)-1)/2)+(B98-$C$4)</f>
        <v>2</v>
      </c>
      <c r="F98" s="100">
        <f>E98^2</f>
        <v>4</v>
      </c>
      <c r="G98" s="98"/>
      <c r="H98" s="130">
        <f>ROUND(D98*E98,2)</f>
        <v>468</v>
      </c>
      <c r="I98" s="131"/>
      <c r="J98" s="102">
        <v>0</v>
      </c>
      <c r="K98" s="102"/>
      <c r="L98" s="95"/>
      <c r="M98" s="95"/>
      <c r="N98" s="95"/>
      <c r="O98" s="95"/>
    </row>
    <row r="99" spans="1:15" ht="15" customHeight="1" thickBot="1">
      <c r="A99" s="95"/>
      <c r="B99" s="103" t="s">
        <v>196</v>
      </c>
      <c r="C99" s="104"/>
      <c r="D99" s="132">
        <f>SUM(D94:D98)</f>
        <v>1180</v>
      </c>
      <c r="E99" s="107"/>
      <c r="F99" s="133">
        <f>ROUND(SUM(F94:F98),0)</f>
        <v>10</v>
      </c>
      <c r="G99" s="104"/>
      <c r="H99" s="103">
        <f>SUM(H94:H98)</f>
        <v>42</v>
      </c>
      <c r="I99" s="108"/>
      <c r="J99" s="135"/>
      <c r="K99" s="135"/>
      <c r="L99" s="95"/>
      <c r="M99" s="95"/>
      <c r="N99" s="95"/>
      <c r="O99" s="95"/>
    </row>
    <row r="100" spans="1:15" ht="15" customHeight="1">
      <c r="A100" s="95"/>
      <c r="B100" s="100" t="s">
        <v>197</v>
      </c>
      <c r="C100" s="100"/>
      <c r="D100" s="136" t="s">
        <v>198</v>
      </c>
      <c r="E100" s="95"/>
      <c r="F100" s="95"/>
      <c r="G100" s="93">
        <f>((COUNT(B$94:B$98))*H$99-D$99*E$99)/((COUNT(B$94:B$98))*F$99-E$99*E$99)</f>
        <v>4.2</v>
      </c>
      <c r="H100" s="136" t="s">
        <v>199</v>
      </c>
      <c r="I100" s="93"/>
      <c r="J100" s="93"/>
      <c r="K100" s="93">
        <f>ROUND((F99*D99-H99*E99)/(COUNT(B$94:B$98)*F99-E99*E99),0)</f>
        <v>236</v>
      </c>
      <c r="L100" s="95"/>
      <c r="M100" s="95"/>
      <c r="N100" s="95"/>
      <c r="O100" s="95"/>
    </row>
    <row r="101" spans="1:15" ht="15" customHeight="1">
      <c r="A101" s="95"/>
      <c r="B101" s="123"/>
      <c r="C101" s="123"/>
      <c r="D101" s="137"/>
      <c r="E101" s="93"/>
      <c r="F101" s="126"/>
      <c r="G101" s="124"/>
      <c r="H101" s="95"/>
      <c r="I101" s="124"/>
      <c r="J101" s="124"/>
      <c r="K101" s="127"/>
      <c r="L101" s="95"/>
      <c r="M101" s="95"/>
      <c r="N101" s="95"/>
      <c r="O101" s="95"/>
    </row>
    <row r="102" spans="1:15" ht="15" customHeight="1">
      <c r="A102" s="95"/>
      <c r="B102" s="95"/>
      <c r="C102" s="95"/>
      <c r="D102" s="95"/>
      <c r="E102" s="111"/>
      <c r="F102" s="95"/>
      <c r="G102" s="95"/>
      <c r="H102" s="95"/>
      <c r="I102" s="95"/>
      <c r="J102" s="95"/>
      <c r="K102" s="95"/>
      <c r="L102" s="95"/>
      <c r="M102" s="95"/>
      <c r="N102" s="95"/>
      <c r="O102" s="95"/>
    </row>
    <row r="103" spans="1:15" ht="15" customHeight="1" thickBot="1">
      <c r="A103" s="95"/>
      <c r="B103" s="95"/>
      <c r="C103" s="95"/>
      <c r="D103" s="95"/>
      <c r="E103" s="95"/>
      <c r="F103" s="100" t="s">
        <v>200</v>
      </c>
      <c r="G103" s="100"/>
      <c r="H103" s="95"/>
      <c r="I103" s="95"/>
      <c r="J103" s="95"/>
      <c r="K103" s="95"/>
      <c r="L103" s="95"/>
      <c r="M103" s="95"/>
      <c r="N103" s="95"/>
      <c r="O103" s="95"/>
    </row>
    <row r="104" spans="1:15" ht="15" customHeight="1">
      <c r="A104" s="95"/>
      <c r="B104" s="94" t="s">
        <v>155</v>
      </c>
      <c r="C104" s="94"/>
      <c r="D104" s="94" t="s">
        <v>202</v>
      </c>
      <c r="E104" s="94"/>
      <c r="F104" s="94" t="s">
        <v>157</v>
      </c>
      <c r="G104" s="94"/>
      <c r="H104" s="94" t="s">
        <v>158</v>
      </c>
      <c r="I104" s="94"/>
      <c r="J104" s="94" t="s">
        <v>159</v>
      </c>
      <c r="K104" s="94"/>
      <c r="L104" s="95"/>
      <c r="M104" s="95"/>
      <c r="N104" s="95"/>
      <c r="O104" s="95"/>
    </row>
    <row r="105" spans="1:15" ht="15" customHeight="1">
      <c r="A105" s="95"/>
      <c r="B105" s="112">
        <v>2014</v>
      </c>
      <c r="C105" s="113"/>
      <c r="D105" s="113">
        <f t="shared" ref="D105:D126" si="4">ROUNDUP(G$100*(B105-B$98+E$98)+K$100,0)</f>
        <v>245</v>
      </c>
      <c r="E105" s="113"/>
      <c r="F105" s="113">
        <v>0</v>
      </c>
      <c r="G105" s="113"/>
      <c r="H105" s="113">
        <f t="shared" ref="H105:H126" si="5">ROUND(D105*(1+F105),0)</f>
        <v>245</v>
      </c>
      <c r="I105" s="113"/>
      <c r="J105" s="114">
        <v>0</v>
      </c>
      <c r="K105" s="114"/>
      <c r="L105" s="95"/>
      <c r="M105" s="95"/>
      <c r="N105" s="95"/>
      <c r="O105" s="95"/>
    </row>
    <row r="106" spans="1:15" ht="15" customHeight="1">
      <c r="A106" s="95"/>
      <c r="B106" s="115">
        <v>2015</v>
      </c>
      <c r="C106" s="116"/>
      <c r="D106" s="116">
        <f t="shared" si="4"/>
        <v>249</v>
      </c>
      <c r="E106" s="116"/>
      <c r="F106" s="116">
        <v>0</v>
      </c>
      <c r="G106" s="116"/>
      <c r="H106" s="116">
        <f t="shared" si="5"/>
        <v>249</v>
      </c>
      <c r="I106" s="116"/>
      <c r="J106" s="117">
        <v>0</v>
      </c>
      <c r="K106" s="117"/>
      <c r="L106" s="95"/>
      <c r="M106" s="95"/>
      <c r="N106" s="95"/>
      <c r="O106" s="95"/>
    </row>
    <row r="107" spans="1:15" ht="15" customHeight="1">
      <c r="A107" s="95"/>
      <c r="B107" s="112">
        <v>2016</v>
      </c>
      <c r="C107" s="113"/>
      <c r="D107" s="113">
        <f t="shared" si="4"/>
        <v>253</v>
      </c>
      <c r="E107" s="113"/>
      <c r="F107" s="113">
        <v>0</v>
      </c>
      <c r="G107" s="113"/>
      <c r="H107" s="113">
        <f t="shared" si="5"/>
        <v>253</v>
      </c>
      <c r="I107" s="113"/>
      <c r="J107" s="114">
        <v>0</v>
      </c>
      <c r="K107" s="114"/>
      <c r="L107" s="95"/>
      <c r="M107" s="95"/>
      <c r="N107" s="95"/>
      <c r="O107" s="95"/>
    </row>
    <row r="108" spans="1:15" ht="15" customHeight="1">
      <c r="A108" s="95"/>
      <c r="B108" s="112">
        <v>2017</v>
      </c>
      <c r="C108" s="113"/>
      <c r="D108" s="113">
        <f t="shared" si="4"/>
        <v>257</v>
      </c>
      <c r="E108" s="113"/>
      <c r="F108" s="113">
        <v>0</v>
      </c>
      <c r="G108" s="113"/>
      <c r="H108" s="113">
        <f t="shared" si="5"/>
        <v>257</v>
      </c>
      <c r="I108" s="113"/>
      <c r="J108" s="114">
        <v>0</v>
      </c>
      <c r="K108" s="114"/>
      <c r="L108" s="95"/>
      <c r="M108" s="95"/>
      <c r="N108" s="95"/>
      <c r="O108" s="95"/>
    </row>
    <row r="109" spans="1:15" ht="15" customHeight="1">
      <c r="A109" s="95"/>
      <c r="B109" s="112">
        <v>2018</v>
      </c>
      <c r="C109" s="113"/>
      <c r="D109" s="113">
        <f t="shared" si="4"/>
        <v>262</v>
      </c>
      <c r="E109" s="113"/>
      <c r="F109" s="113">
        <v>0</v>
      </c>
      <c r="G109" s="113"/>
      <c r="H109" s="113">
        <f t="shared" si="5"/>
        <v>262</v>
      </c>
      <c r="I109" s="113"/>
      <c r="J109" s="114">
        <v>0</v>
      </c>
      <c r="K109" s="114"/>
      <c r="L109" s="95"/>
      <c r="M109" s="95"/>
      <c r="N109" s="95"/>
      <c r="O109" s="95"/>
    </row>
    <row r="110" spans="1:15" ht="15" customHeight="1">
      <c r="A110" s="95"/>
      <c r="B110" s="112">
        <v>2019</v>
      </c>
      <c r="C110" s="113"/>
      <c r="D110" s="113">
        <f t="shared" si="4"/>
        <v>266</v>
      </c>
      <c r="E110" s="113"/>
      <c r="F110" s="113">
        <v>0</v>
      </c>
      <c r="G110" s="113"/>
      <c r="H110" s="113">
        <f t="shared" si="5"/>
        <v>266</v>
      </c>
      <c r="I110" s="113"/>
      <c r="J110" s="114">
        <v>0</v>
      </c>
      <c r="K110" s="114"/>
      <c r="L110" s="95"/>
      <c r="M110" s="95"/>
      <c r="N110" s="95"/>
      <c r="O110" s="95"/>
    </row>
    <row r="111" spans="1:15" ht="15" customHeight="1">
      <c r="A111" s="95"/>
      <c r="B111" s="115">
        <v>2020</v>
      </c>
      <c r="C111" s="116"/>
      <c r="D111" s="116">
        <f t="shared" si="4"/>
        <v>270</v>
      </c>
      <c r="E111" s="116"/>
      <c r="F111" s="116">
        <v>0</v>
      </c>
      <c r="G111" s="116"/>
      <c r="H111" s="116">
        <f t="shared" si="5"/>
        <v>270</v>
      </c>
      <c r="I111" s="116"/>
      <c r="J111" s="117">
        <v>0</v>
      </c>
      <c r="K111" s="117"/>
      <c r="L111" s="95"/>
      <c r="M111" s="95"/>
      <c r="N111" s="95"/>
      <c r="O111" s="95"/>
    </row>
    <row r="112" spans="1:15" ht="15" customHeight="1">
      <c r="A112" s="95"/>
      <c r="B112" s="112">
        <v>2021</v>
      </c>
      <c r="C112" s="113"/>
      <c r="D112" s="113">
        <f t="shared" si="4"/>
        <v>274</v>
      </c>
      <c r="E112" s="113"/>
      <c r="F112" s="113">
        <v>0</v>
      </c>
      <c r="G112" s="113"/>
      <c r="H112" s="113">
        <f t="shared" si="5"/>
        <v>274</v>
      </c>
      <c r="I112" s="113"/>
      <c r="J112" s="114">
        <v>0</v>
      </c>
      <c r="K112" s="114"/>
      <c r="L112" s="95"/>
      <c r="M112" s="95"/>
      <c r="N112" s="95"/>
      <c r="O112" s="95"/>
    </row>
    <row r="113" spans="1:15" ht="15" customHeight="1">
      <c r="A113" s="95"/>
      <c r="B113" s="112">
        <v>2022</v>
      </c>
      <c r="C113" s="113"/>
      <c r="D113" s="113">
        <f t="shared" si="4"/>
        <v>278</v>
      </c>
      <c r="E113" s="113"/>
      <c r="F113" s="113">
        <v>0</v>
      </c>
      <c r="G113" s="113"/>
      <c r="H113" s="113">
        <f t="shared" si="5"/>
        <v>278</v>
      </c>
      <c r="I113" s="113"/>
      <c r="J113" s="114">
        <v>0</v>
      </c>
      <c r="K113" s="114"/>
      <c r="L113" s="95"/>
      <c r="M113" s="95"/>
      <c r="N113" s="95"/>
      <c r="O113" s="95"/>
    </row>
    <row r="114" spans="1:15" ht="15" customHeight="1">
      <c r="A114" s="95"/>
      <c r="B114" s="112">
        <v>2023</v>
      </c>
      <c r="C114" s="113"/>
      <c r="D114" s="113">
        <f t="shared" si="4"/>
        <v>283</v>
      </c>
      <c r="E114" s="113"/>
      <c r="F114" s="113">
        <v>0</v>
      </c>
      <c r="G114" s="113"/>
      <c r="H114" s="113">
        <f t="shared" si="5"/>
        <v>283</v>
      </c>
      <c r="I114" s="113"/>
      <c r="J114" s="114">
        <v>0</v>
      </c>
      <c r="K114" s="114"/>
      <c r="L114" s="95"/>
      <c r="M114" s="95"/>
      <c r="N114" s="95"/>
      <c r="O114" s="95"/>
    </row>
    <row r="115" spans="1:15" ht="15" customHeight="1">
      <c r="A115" s="95"/>
      <c r="B115" s="112">
        <v>2024</v>
      </c>
      <c r="C115" s="113"/>
      <c r="D115" s="113">
        <f t="shared" si="4"/>
        <v>287</v>
      </c>
      <c r="E115" s="113"/>
      <c r="F115" s="113">
        <v>0</v>
      </c>
      <c r="G115" s="113"/>
      <c r="H115" s="113">
        <f t="shared" si="5"/>
        <v>287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2025</v>
      </c>
      <c r="C116" s="116"/>
      <c r="D116" s="116">
        <f t="shared" si="4"/>
        <v>291</v>
      </c>
      <c r="E116" s="116"/>
      <c r="F116" s="116">
        <v>0</v>
      </c>
      <c r="G116" s="116"/>
      <c r="H116" s="116">
        <f t="shared" si="5"/>
        <v>291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2026</v>
      </c>
      <c r="C117" s="113"/>
      <c r="D117" s="113">
        <f t="shared" si="4"/>
        <v>295</v>
      </c>
      <c r="E117" s="113"/>
      <c r="F117" s="113">
        <v>0</v>
      </c>
      <c r="G117" s="113"/>
      <c r="H117" s="113">
        <f t="shared" si="5"/>
        <v>295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2027</v>
      </c>
      <c r="C118" s="113"/>
      <c r="D118" s="113">
        <f t="shared" si="4"/>
        <v>299</v>
      </c>
      <c r="E118" s="113"/>
      <c r="F118" s="113">
        <v>0</v>
      </c>
      <c r="G118" s="113"/>
      <c r="H118" s="113">
        <f t="shared" si="5"/>
        <v>299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2028</v>
      </c>
      <c r="C119" s="113"/>
      <c r="D119" s="113">
        <f t="shared" si="4"/>
        <v>304</v>
      </c>
      <c r="E119" s="113"/>
      <c r="F119" s="113">
        <v>0</v>
      </c>
      <c r="G119" s="113"/>
      <c r="H119" s="113">
        <f t="shared" si="5"/>
        <v>304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2029</v>
      </c>
      <c r="C120" s="113"/>
      <c r="D120" s="113">
        <f t="shared" si="4"/>
        <v>308</v>
      </c>
      <c r="E120" s="113"/>
      <c r="F120" s="113">
        <v>0</v>
      </c>
      <c r="G120" s="113"/>
      <c r="H120" s="113">
        <f t="shared" si="5"/>
        <v>308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2030</v>
      </c>
      <c r="C121" s="116"/>
      <c r="D121" s="116">
        <f t="shared" si="4"/>
        <v>312</v>
      </c>
      <c r="E121" s="116"/>
      <c r="F121" s="116">
        <v>0</v>
      </c>
      <c r="G121" s="116"/>
      <c r="H121" s="116">
        <f t="shared" si="5"/>
        <v>312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2031</v>
      </c>
      <c r="C122" s="113"/>
      <c r="D122" s="113">
        <f t="shared" si="4"/>
        <v>316</v>
      </c>
      <c r="E122" s="113"/>
      <c r="F122" s="113">
        <v>0</v>
      </c>
      <c r="G122" s="113"/>
      <c r="H122" s="113">
        <f t="shared" si="5"/>
        <v>316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2032</v>
      </c>
      <c r="C123" s="113"/>
      <c r="D123" s="113">
        <f t="shared" si="4"/>
        <v>320</v>
      </c>
      <c r="E123" s="113"/>
      <c r="F123" s="113">
        <v>0</v>
      </c>
      <c r="G123" s="113"/>
      <c r="H123" s="113">
        <f t="shared" si="5"/>
        <v>320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2033</v>
      </c>
      <c r="C124" s="113"/>
      <c r="D124" s="113">
        <f t="shared" si="4"/>
        <v>325</v>
      </c>
      <c r="E124" s="113"/>
      <c r="F124" s="113">
        <v>0</v>
      </c>
      <c r="G124" s="113"/>
      <c r="H124" s="113">
        <f t="shared" si="5"/>
        <v>325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2034</v>
      </c>
      <c r="C125" s="113"/>
      <c r="D125" s="113">
        <f t="shared" si="4"/>
        <v>329</v>
      </c>
      <c r="E125" s="113"/>
      <c r="F125" s="113">
        <v>0</v>
      </c>
      <c r="G125" s="113"/>
      <c r="H125" s="113">
        <f t="shared" si="5"/>
        <v>329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 thickBot="1">
      <c r="A126" s="95"/>
      <c r="B126" s="115">
        <v>2035</v>
      </c>
      <c r="C126" s="116"/>
      <c r="D126" s="116">
        <f t="shared" si="4"/>
        <v>333</v>
      </c>
      <c r="E126" s="116"/>
      <c r="F126" s="116">
        <v>0</v>
      </c>
      <c r="G126" s="116"/>
      <c r="H126" s="116">
        <f t="shared" si="5"/>
        <v>333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95"/>
      <c r="M127" s="95"/>
      <c r="N127" s="95"/>
      <c r="O127" s="95"/>
    </row>
    <row r="128" spans="1:15" ht="15" customHeight="1">
      <c r="A128" s="95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95"/>
      <c r="M128" s="95"/>
      <c r="N128" s="95"/>
      <c r="O128" s="95"/>
    </row>
    <row r="129" spans="1:15" ht="15" customHeight="1">
      <c r="A129" s="95"/>
      <c r="B129" s="110" t="s">
        <v>203</v>
      </c>
      <c r="C129" s="111"/>
      <c r="D129" s="111"/>
      <c r="E129" s="111"/>
      <c r="F129" s="111"/>
      <c r="G129" s="95"/>
      <c r="H129" s="95"/>
      <c r="I129" s="95"/>
      <c r="J129" s="95"/>
      <c r="K129" s="95"/>
      <c r="L129" s="95"/>
      <c r="M129" s="95"/>
      <c r="N129" s="95"/>
      <c r="O129" s="95"/>
    </row>
    <row r="130" spans="1:15" ht="15" customHeight="1">
      <c r="A130" s="95"/>
      <c r="B130" s="95"/>
      <c r="C130" s="111" t="s">
        <v>204</v>
      </c>
      <c r="D130" s="111" t="s">
        <v>205</v>
      </c>
      <c r="E130" s="111"/>
      <c r="F130" s="111"/>
      <c r="G130" s="166" t="b">
        <v>1</v>
      </c>
      <c r="H130" s="95"/>
      <c r="I130" s="95"/>
      <c r="J130" s="95"/>
      <c r="K130" s="95"/>
      <c r="L130" s="95"/>
      <c r="M130" s="95"/>
      <c r="N130" s="95"/>
      <c r="O130" s="95"/>
    </row>
    <row r="131" spans="1:15" ht="15" customHeight="1">
      <c r="A131" s="95"/>
      <c r="B131" s="93"/>
      <c r="C131" s="128" t="s">
        <v>185</v>
      </c>
      <c r="D131" s="111" t="s">
        <v>207</v>
      </c>
      <c r="E131" s="111"/>
      <c r="F131" s="93"/>
      <c r="G131" s="139" t="b">
        <v>0</v>
      </c>
      <c r="H131" s="95"/>
      <c r="I131" s="95"/>
      <c r="J131" s="95"/>
      <c r="K131" s="95"/>
      <c r="L131" s="95"/>
      <c r="M131" s="95"/>
      <c r="N131" s="95"/>
      <c r="O131" s="95"/>
    </row>
    <row r="132" spans="1:15" ht="15" customHeight="1">
      <c r="A132" s="95"/>
      <c r="B132" s="93"/>
      <c r="C132" s="128"/>
      <c r="D132" s="111" t="s">
        <v>208</v>
      </c>
      <c r="E132" s="111"/>
      <c r="F132" s="93"/>
      <c r="G132" s="95"/>
      <c r="H132" s="95"/>
      <c r="I132" s="95"/>
      <c r="J132" s="95"/>
      <c r="K132" s="95"/>
      <c r="L132" s="95"/>
      <c r="M132" s="95"/>
      <c r="N132" s="95"/>
      <c r="O132" s="95"/>
    </row>
    <row r="133" spans="1:15" ht="15" customHeight="1">
      <c r="A133" s="95"/>
      <c r="B133" s="111"/>
      <c r="C133" s="111"/>
      <c r="D133" s="111" t="s">
        <v>209</v>
      </c>
      <c r="E133" s="111"/>
      <c r="F133" s="111"/>
      <c r="G133" s="95"/>
      <c r="H133" s="95"/>
      <c r="I133" s="95"/>
      <c r="J133" s="95"/>
      <c r="K133" s="95"/>
      <c r="L133" s="95"/>
      <c r="M133" s="95"/>
      <c r="N133" s="95"/>
      <c r="O133" s="95"/>
    </row>
    <row r="134" spans="1:15" ht="15" customHeight="1" thickBot="1">
      <c r="A134" s="95"/>
      <c r="B134" s="95"/>
      <c r="C134" s="95"/>
      <c r="D134" s="95"/>
      <c r="E134" s="95"/>
      <c r="F134" s="100" t="s">
        <v>210</v>
      </c>
      <c r="G134" s="100"/>
      <c r="H134" s="95"/>
      <c r="I134" s="95"/>
      <c r="J134" s="95"/>
      <c r="K134" s="95"/>
      <c r="L134" s="95"/>
      <c r="M134" s="95"/>
      <c r="N134" s="95"/>
      <c r="O134" s="95"/>
    </row>
    <row r="135" spans="1:15" ht="15" customHeight="1">
      <c r="A135" s="95"/>
      <c r="B135" s="94" t="s">
        <v>211</v>
      </c>
      <c r="C135" s="94"/>
      <c r="D135" s="94" t="s">
        <v>212</v>
      </c>
      <c r="E135" s="94" t="s">
        <v>213</v>
      </c>
      <c r="F135" s="94" t="s">
        <v>213</v>
      </c>
      <c r="G135" s="94" t="s">
        <v>214</v>
      </c>
      <c r="H135" s="94" t="s">
        <v>215</v>
      </c>
      <c r="I135" s="94"/>
      <c r="J135" s="94" t="s">
        <v>216</v>
      </c>
      <c r="K135" s="94" t="s">
        <v>217</v>
      </c>
      <c r="L135" s="95"/>
      <c r="M135" s="95"/>
      <c r="N135" s="95"/>
      <c r="O135" s="95"/>
    </row>
    <row r="136" spans="1:15" ht="15" customHeight="1">
      <c r="A136" s="95"/>
      <c r="B136" s="96">
        <f>B94</f>
        <v>2010</v>
      </c>
      <c r="C136" s="96"/>
      <c r="D136" s="100">
        <f>VLOOKUP(B136,B$7:E$11,3,FALSE)</f>
        <v>225</v>
      </c>
      <c r="E136" s="140">
        <f>IF(G$130=FALSE,"",((COUNT(B$94:B$98)-1))+(B136-$C$4))</f>
        <v>0</v>
      </c>
      <c r="F136" s="141">
        <v>0</v>
      </c>
      <c r="G136" s="142">
        <f>IF(F136="","",F136^2)</f>
        <v>0</v>
      </c>
      <c r="H136" s="131">
        <f>IF(G136="","",ABS(D136-D$136))</f>
        <v>0</v>
      </c>
      <c r="I136" s="131"/>
      <c r="J136" s="143">
        <v>0</v>
      </c>
      <c r="K136" s="143">
        <f>IF(J136="","",J136*F136)</f>
        <v>0</v>
      </c>
      <c r="L136" s="95"/>
      <c r="M136" s="95"/>
      <c r="N136" s="95"/>
      <c r="O136" s="95"/>
    </row>
    <row r="137" spans="1:15" ht="15" customHeight="1">
      <c r="A137" s="95"/>
      <c r="B137" s="96">
        <f>B95</f>
        <v>2011</v>
      </c>
      <c r="C137" s="96"/>
      <c r="D137" s="100">
        <f>VLOOKUP(B137,B$7:E$11,3,FALSE)</f>
        <v>228</v>
      </c>
      <c r="E137" s="140">
        <f>IF(G$130=FALSE,"",((COUNT(B$94:B$98)-1))+(B137-$C$4))</f>
        <v>1</v>
      </c>
      <c r="F137" s="141">
        <f>IF(E137="","",LOG(E137))</f>
        <v>0</v>
      </c>
      <c r="G137" s="142">
        <f>IF(F137="","",F137^2)</f>
        <v>0</v>
      </c>
      <c r="H137" s="131">
        <f>IF(G137="","",ABS(D137-D$136))</f>
        <v>3</v>
      </c>
      <c r="I137" s="131"/>
      <c r="J137" s="143">
        <f>IF(H137="","",LOG(H137))</f>
        <v>0.47712125471966244</v>
      </c>
      <c r="K137" s="143">
        <f>IF(J137="","",J137*F137)</f>
        <v>0</v>
      </c>
      <c r="L137" s="95"/>
      <c r="M137" s="95"/>
      <c r="N137" s="95"/>
      <c r="O137" s="95"/>
    </row>
    <row r="138" spans="1:15" ht="15" customHeight="1">
      <c r="A138" s="95"/>
      <c r="B138" s="96">
        <f>B96</f>
        <v>2012</v>
      </c>
      <c r="C138" s="96"/>
      <c r="D138" s="100">
        <f>VLOOKUP(B138,B$7:E$11,3,FALSE)</f>
        <v>241</v>
      </c>
      <c r="E138" s="140">
        <f>IF(G$130=FALSE,"",((COUNT(B$94:B$98)-1))+(B138-$C$4))</f>
        <v>2</v>
      </c>
      <c r="F138" s="141">
        <f>IF(E138="","",LOG(E138))</f>
        <v>0.3010299956639812</v>
      </c>
      <c r="G138" s="142">
        <f>IF(F138="","",F138^2)</f>
        <v>9.0619058289456544E-2</v>
      </c>
      <c r="H138" s="131">
        <f>IF(G138="","",ABS(D138-D$136))</f>
        <v>16</v>
      </c>
      <c r="I138" s="131"/>
      <c r="J138" s="143">
        <f>IF(H138="","",LOG(H138))</f>
        <v>1.2041199826559248</v>
      </c>
      <c r="K138" s="143">
        <f>IF(J138="","",J138*F138)</f>
        <v>0.36247623315782618</v>
      </c>
      <c r="L138" s="95"/>
      <c r="M138" s="95"/>
      <c r="N138" s="95"/>
      <c r="O138" s="95"/>
    </row>
    <row r="139" spans="1:15" ht="15" customHeight="1">
      <c r="A139" s="95"/>
      <c r="B139" s="96">
        <f>B97</f>
        <v>2013</v>
      </c>
      <c r="C139" s="96"/>
      <c r="D139" s="100">
        <f>VLOOKUP(B139,B$7:E$11,3,FALSE)</f>
        <v>252</v>
      </c>
      <c r="E139" s="140">
        <f>IF(G$130=FALSE,"",((COUNT(B$94:B$98)-1))+(B139-$C$4))</f>
        <v>3</v>
      </c>
      <c r="F139" s="141">
        <f>IF(E139="","",LOG(E139))</f>
        <v>0.47712125471966244</v>
      </c>
      <c r="G139" s="142">
        <f>IF(F139="","",F139^2)</f>
        <v>0.227644691705265</v>
      </c>
      <c r="H139" s="131">
        <f>IF(G139="","",ABS(D139-D$136))</f>
        <v>27</v>
      </c>
      <c r="I139" s="131"/>
      <c r="J139" s="143">
        <f>IF(H139="","",LOG(H139))</f>
        <v>1.4313637641589874</v>
      </c>
      <c r="K139" s="143">
        <f>IF(J139="","",J139*F139)</f>
        <v>0.68293407511579507</v>
      </c>
      <c r="L139" s="95"/>
      <c r="M139" s="95"/>
      <c r="N139" s="95"/>
      <c r="O139" s="95"/>
    </row>
    <row r="140" spans="1:15" ht="15" customHeight="1">
      <c r="A140" s="95"/>
      <c r="B140" s="96">
        <f>B98</f>
        <v>2014</v>
      </c>
      <c r="C140" s="96"/>
      <c r="D140" s="100">
        <f>VLOOKUP(B140,B$7:E$11,3,FALSE)</f>
        <v>234</v>
      </c>
      <c r="E140" s="140">
        <f>IF(G$130=FALSE,"",((COUNT(B$94:B$98)-1))+(B140-$C$4))</f>
        <v>4</v>
      </c>
      <c r="F140" s="141">
        <f>IF(E140="","",LOG(E140))</f>
        <v>0.6020599913279624</v>
      </c>
      <c r="G140" s="142">
        <f>IF(F140="","",F140^2)</f>
        <v>0.36247623315782618</v>
      </c>
      <c r="H140" s="131">
        <f>IF(G140="","",ABS(D140-D$136))</f>
        <v>9</v>
      </c>
      <c r="I140" s="131"/>
      <c r="J140" s="143">
        <f>IF(H140="","",LOG(H140))</f>
        <v>0.95424250943932487</v>
      </c>
      <c r="K140" s="143">
        <f>IF(J140="","",J140*F140)</f>
        <v>0.57451123695781303</v>
      </c>
      <c r="L140" s="95"/>
      <c r="M140" s="95"/>
      <c r="N140" s="95"/>
      <c r="O140" s="95"/>
    </row>
    <row r="141" spans="1:15" ht="15" customHeight="1" thickBot="1">
      <c r="A141" s="95"/>
      <c r="B141" s="103" t="s">
        <v>218</v>
      </c>
      <c r="C141" s="104"/>
      <c r="D141" s="144"/>
      <c r="E141" s="145"/>
      <c r="F141" s="146">
        <f>IF(F140="","",ROUND(SUM(F136:F140),6))</f>
        <v>1.3802110000000001</v>
      </c>
      <c r="G141" s="146">
        <f>IF(G140="","",ROUND(SUM(G136:G140),6))</f>
        <v>0.68074000000000001</v>
      </c>
      <c r="H141" s="147"/>
      <c r="I141" s="148"/>
      <c r="J141" s="149">
        <f>IF(J140="","",SUM(J136:J140))</f>
        <v>4.0668475109738997</v>
      </c>
      <c r="K141" s="149">
        <f>IF(K140="","",SUM(K136:K140))</f>
        <v>1.6199215452314344</v>
      </c>
      <c r="L141" s="95"/>
      <c r="M141" s="95"/>
      <c r="N141" s="95"/>
      <c r="O141" s="95"/>
    </row>
    <row r="142" spans="1:15" ht="15" customHeight="1">
      <c r="A142" s="95"/>
      <c r="B142" s="100" t="s">
        <v>219</v>
      </c>
      <c r="C142" s="100"/>
      <c r="D142" s="93" t="s">
        <v>162</v>
      </c>
      <c r="E142" s="93">
        <f>IF(G141="",0,5^ROUND((G141*J141-F141*K141)/((COUNT(B$136:B$140)-1)*G141-F141*F141),5))</f>
        <v>2.8519460649363517</v>
      </c>
      <c r="F142" s="137" t="s">
        <v>220</v>
      </c>
      <c r="G142" s="95"/>
      <c r="H142" s="100"/>
      <c r="I142" s="95"/>
      <c r="J142" s="150">
        <f>IF(G141="",0,ROUND(((COUNT(B$136:B$140)-1)*K141-J141*F141)/((COUNT(B$136:B$140)-1)*G141-F141*F141),5))</f>
        <v>1.05942</v>
      </c>
      <c r="K142" s="151"/>
      <c r="L142" s="95"/>
      <c r="M142" s="95"/>
      <c r="N142" s="95"/>
      <c r="O142" s="95"/>
    </row>
    <row r="143" spans="1:15" ht="15" customHeight="1">
      <c r="A143" s="95"/>
      <c r="B143" s="95"/>
      <c r="C143" s="95"/>
      <c r="D143" s="137" t="s">
        <v>221</v>
      </c>
      <c r="E143" s="111"/>
      <c r="F143" s="111"/>
      <c r="G143" s="152"/>
      <c r="H143" s="93" t="s">
        <v>222</v>
      </c>
      <c r="I143" s="111" t="s">
        <v>223</v>
      </c>
      <c r="J143" s="93" t="str">
        <f>"A = 5^("&amp;RIGHT(H143,1)&amp;") "</f>
        <v xml:space="preserve">A = 5^(b) </v>
      </c>
      <c r="K143" s="95"/>
      <c r="L143" s="95"/>
      <c r="M143" s="95"/>
      <c r="N143" s="95"/>
      <c r="O143" s="95"/>
    </row>
    <row r="144" spans="1:15" ht="1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 thickBot="1">
      <c r="A145" s="95"/>
      <c r="B145" s="95"/>
      <c r="C145" s="95"/>
      <c r="D145" s="95"/>
      <c r="E145" s="95"/>
      <c r="F145" s="100" t="s">
        <v>224</v>
      </c>
      <c r="G145" s="100"/>
      <c r="H145" s="95"/>
      <c r="I145" s="95"/>
      <c r="J145" s="95"/>
      <c r="K145" s="95"/>
      <c r="L145" s="95"/>
      <c r="M145" s="95"/>
      <c r="N145" s="95"/>
      <c r="O145" s="95"/>
    </row>
    <row r="146" spans="1:15" ht="15" customHeight="1">
      <c r="A146" s="95"/>
      <c r="B146" s="94" t="s">
        <v>155</v>
      </c>
      <c r="C146" s="94"/>
      <c r="D146" s="94" t="s">
        <v>202</v>
      </c>
      <c r="E146" s="94"/>
      <c r="F146" s="94" t="s">
        <v>226</v>
      </c>
      <c r="G146" s="94"/>
      <c r="H146" s="94" t="s">
        <v>227</v>
      </c>
      <c r="I146" s="94"/>
      <c r="J146" s="94" t="s">
        <v>228</v>
      </c>
      <c r="K146" s="94"/>
      <c r="L146" s="95"/>
      <c r="M146" s="95"/>
      <c r="N146" s="95"/>
      <c r="O146" s="95"/>
    </row>
    <row r="147" spans="1:15" ht="15" customHeight="1">
      <c r="A147" s="95"/>
      <c r="B147" s="112">
        <v>2014</v>
      </c>
      <c r="C147" s="100"/>
      <c r="D147" s="153">
        <f t="shared" ref="D147:D168" si="6">IF(J$142=0,0,ROUNDUP(D$136+E$142*(B147-B$136)^J$142,0))</f>
        <v>238</v>
      </c>
      <c r="E147" s="153"/>
      <c r="F147" s="97">
        <v>0</v>
      </c>
      <c r="G147" s="97"/>
      <c r="H147" s="97">
        <f t="shared" ref="H147:H168" si="7">ROUND(D147*(1+F147),0)</f>
        <v>238</v>
      </c>
      <c r="I147" s="97"/>
      <c r="J147" s="102">
        <v>0</v>
      </c>
      <c r="K147" s="102"/>
      <c r="L147" s="95"/>
      <c r="M147" s="95"/>
      <c r="N147" s="95"/>
      <c r="O147" s="95"/>
    </row>
    <row r="148" spans="1:15" ht="15" customHeight="1">
      <c r="A148" s="95"/>
      <c r="B148" s="115">
        <v>2015</v>
      </c>
      <c r="C148" s="116"/>
      <c r="D148" s="154">
        <f t="shared" si="6"/>
        <v>241</v>
      </c>
      <c r="E148" s="154"/>
      <c r="F148" s="155">
        <v>0</v>
      </c>
      <c r="G148" s="155"/>
      <c r="H148" s="155">
        <f t="shared" si="7"/>
        <v>241</v>
      </c>
      <c r="I148" s="155"/>
      <c r="J148" s="117">
        <v>0</v>
      </c>
      <c r="K148" s="117"/>
      <c r="L148" s="95"/>
      <c r="M148" s="95"/>
      <c r="N148" s="95"/>
      <c r="O148" s="95"/>
    </row>
    <row r="149" spans="1:15" ht="15" customHeight="1">
      <c r="A149" s="95"/>
      <c r="B149" s="112">
        <v>2016</v>
      </c>
      <c r="C149" s="113"/>
      <c r="D149" s="153">
        <f t="shared" si="6"/>
        <v>245</v>
      </c>
      <c r="E149" s="153"/>
      <c r="F149" s="156">
        <v>0</v>
      </c>
      <c r="G149" s="156"/>
      <c r="H149" s="156">
        <f t="shared" si="7"/>
        <v>245</v>
      </c>
      <c r="I149" s="156"/>
      <c r="J149" s="114">
        <v>0</v>
      </c>
      <c r="K149" s="114"/>
      <c r="L149" s="95"/>
      <c r="M149" s="95"/>
      <c r="N149" s="95"/>
      <c r="O149" s="95"/>
    </row>
    <row r="150" spans="1:15" ht="15" customHeight="1">
      <c r="A150" s="95"/>
      <c r="B150" s="112">
        <v>2017</v>
      </c>
      <c r="C150" s="113"/>
      <c r="D150" s="153">
        <f t="shared" si="6"/>
        <v>248</v>
      </c>
      <c r="E150" s="153"/>
      <c r="F150" s="156">
        <v>0</v>
      </c>
      <c r="G150" s="156"/>
      <c r="H150" s="156">
        <f t="shared" si="7"/>
        <v>248</v>
      </c>
      <c r="I150" s="156"/>
      <c r="J150" s="114">
        <v>0</v>
      </c>
      <c r="K150" s="114"/>
      <c r="L150" s="95"/>
      <c r="M150" s="95"/>
      <c r="N150" s="95"/>
      <c r="O150" s="95"/>
    </row>
    <row r="151" spans="1:15" ht="15" customHeight="1">
      <c r="A151" s="95"/>
      <c r="B151" s="112">
        <v>2018</v>
      </c>
      <c r="C151" s="113"/>
      <c r="D151" s="153">
        <f t="shared" si="6"/>
        <v>251</v>
      </c>
      <c r="E151" s="153"/>
      <c r="F151" s="156">
        <v>0</v>
      </c>
      <c r="G151" s="156"/>
      <c r="H151" s="156">
        <f t="shared" si="7"/>
        <v>251</v>
      </c>
      <c r="I151" s="156"/>
      <c r="J151" s="114">
        <v>0</v>
      </c>
      <c r="K151" s="114"/>
      <c r="L151" s="95"/>
      <c r="M151" s="95"/>
      <c r="N151" s="95"/>
      <c r="O151" s="95"/>
    </row>
    <row r="152" spans="1:15" ht="15" customHeight="1">
      <c r="A152" s="95"/>
      <c r="B152" s="112">
        <v>2019</v>
      </c>
      <c r="C152" s="113"/>
      <c r="D152" s="153">
        <f t="shared" si="6"/>
        <v>255</v>
      </c>
      <c r="E152" s="153"/>
      <c r="F152" s="156">
        <v>0</v>
      </c>
      <c r="G152" s="156"/>
      <c r="H152" s="156">
        <f t="shared" si="7"/>
        <v>255</v>
      </c>
      <c r="I152" s="156"/>
      <c r="J152" s="114">
        <v>0</v>
      </c>
      <c r="K152" s="114"/>
      <c r="L152" s="95"/>
      <c r="M152" s="95"/>
      <c r="N152" s="95"/>
      <c r="O152" s="95"/>
    </row>
    <row r="153" spans="1:15" ht="15" customHeight="1">
      <c r="A153" s="95"/>
      <c r="B153" s="115">
        <v>2020</v>
      </c>
      <c r="C153" s="116"/>
      <c r="D153" s="154">
        <f t="shared" si="6"/>
        <v>258</v>
      </c>
      <c r="E153" s="154"/>
      <c r="F153" s="155">
        <v>0</v>
      </c>
      <c r="G153" s="155"/>
      <c r="H153" s="155">
        <f t="shared" si="7"/>
        <v>258</v>
      </c>
      <c r="I153" s="155"/>
      <c r="J153" s="117">
        <v>0</v>
      </c>
      <c r="K153" s="117"/>
      <c r="L153" s="95"/>
      <c r="M153" s="95"/>
      <c r="N153" s="95"/>
      <c r="O153" s="95"/>
    </row>
    <row r="154" spans="1:15" ht="15" customHeight="1">
      <c r="A154" s="95"/>
      <c r="B154" s="112">
        <v>2021</v>
      </c>
      <c r="C154" s="113"/>
      <c r="D154" s="153">
        <f t="shared" si="6"/>
        <v>262</v>
      </c>
      <c r="E154" s="153"/>
      <c r="F154" s="156">
        <v>0</v>
      </c>
      <c r="G154" s="156"/>
      <c r="H154" s="156">
        <f t="shared" si="7"/>
        <v>262</v>
      </c>
      <c r="I154" s="156"/>
      <c r="J154" s="114">
        <v>0</v>
      </c>
      <c r="K154" s="114"/>
      <c r="L154" s="95"/>
      <c r="M154" s="95"/>
      <c r="N154" s="95"/>
      <c r="O154" s="95"/>
    </row>
    <row r="155" spans="1:15" ht="15" customHeight="1">
      <c r="A155" s="95"/>
      <c r="B155" s="112">
        <v>2022</v>
      </c>
      <c r="C155" s="113"/>
      <c r="D155" s="153">
        <f t="shared" si="6"/>
        <v>265</v>
      </c>
      <c r="E155" s="153"/>
      <c r="F155" s="156">
        <v>0</v>
      </c>
      <c r="G155" s="156"/>
      <c r="H155" s="156">
        <f t="shared" si="7"/>
        <v>265</v>
      </c>
      <c r="I155" s="156"/>
      <c r="J155" s="114">
        <v>0</v>
      </c>
      <c r="K155" s="114"/>
      <c r="L155" s="95"/>
      <c r="M155" s="95"/>
      <c r="N155" s="95"/>
      <c r="O155" s="95"/>
    </row>
    <row r="156" spans="1:15" ht="15" customHeight="1">
      <c r="A156" s="95"/>
      <c r="B156" s="112">
        <v>2023</v>
      </c>
      <c r="C156" s="113"/>
      <c r="D156" s="153">
        <f t="shared" si="6"/>
        <v>269</v>
      </c>
      <c r="E156" s="153"/>
      <c r="F156" s="156">
        <v>0</v>
      </c>
      <c r="G156" s="156"/>
      <c r="H156" s="156">
        <f t="shared" si="7"/>
        <v>269</v>
      </c>
      <c r="I156" s="156"/>
      <c r="J156" s="114">
        <v>0</v>
      </c>
      <c r="K156" s="114"/>
      <c r="L156" s="95"/>
      <c r="M156" s="95"/>
      <c r="N156" s="95"/>
      <c r="O156" s="95"/>
    </row>
    <row r="157" spans="1:15" ht="15" customHeight="1">
      <c r="A157" s="95"/>
      <c r="B157" s="112">
        <v>2024</v>
      </c>
      <c r="C157" s="113"/>
      <c r="D157" s="153">
        <f t="shared" si="6"/>
        <v>272</v>
      </c>
      <c r="E157" s="153"/>
      <c r="F157" s="156">
        <v>0</v>
      </c>
      <c r="G157" s="156"/>
      <c r="H157" s="156">
        <f t="shared" si="7"/>
        <v>272</v>
      </c>
      <c r="I157" s="156"/>
      <c r="J157" s="114">
        <v>0</v>
      </c>
      <c r="K157" s="114"/>
      <c r="L157" s="95"/>
      <c r="M157" s="95"/>
      <c r="N157" s="95"/>
      <c r="O157" s="95"/>
    </row>
    <row r="158" spans="1:15" ht="15" customHeight="1">
      <c r="A158" s="95"/>
      <c r="B158" s="115">
        <v>2025</v>
      </c>
      <c r="C158" s="116"/>
      <c r="D158" s="154">
        <f t="shared" si="6"/>
        <v>276</v>
      </c>
      <c r="E158" s="154"/>
      <c r="F158" s="155">
        <v>0</v>
      </c>
      <c r="G158" s="155"/>
      <c r="H158" s="155">
        <f t="shared" si="7"/>
        <v>276</v>
      </c>
      <c r="I158" s="155"/>
      <c r="J158" s="117">
        <v>0</v>
      </c>
      <c r="K158" s="117"/>
      <c r="L158" s="95"/>
      <c r="M158" s="95"/>
      <c r="N158" s="95"/>
      <c r="O158" s="95"/>
    </row>
    <row r="159" spans="1:15" ht="15" customHeight="1">
      <c r="A159" s="95"/>
      <c r="B159" s="112">
        <v>2026</v>
      </c>
      <c r="C159" s="113"/>
      <c r="D159" s="153">
        <f t="shared" si="6"/>
        <v>279</v>
      </c>
      <c r="E159" s="153"/>
      <c r="F159" s="156">
        <v>0</v>
      </c>
      <c r="G159" s="156"/>
      <c r="H159" s="156">
        <f t="shared" si="7"/>
        <v>279</v>
      </c>
      <c r="I159" s="156"/>
      <c r="J159" s="114">
        <v>0</v>
      </c>
      <c r="K159" s="114"/>
      <c r="L159" s="95"/>
      <c r="M159" s="95"/>
      <c r="N159" s="95"/>
      <c r="O159" s="95"/>
    </row>
    <row r="160" spans="1:15" ht="15" customHeight="1">
      <c r="A160" s="95"/>
      <c r="B160" s="112">
        <v>2027</v>
      </c>
      <c r="C160" s="113"/>
      <c r="D160" s="153">
        <f t="shared" si="6"/>
        <v>283</v>
      </c>
      <c r="E160" s="153"/>
      <c r="F160" s="156">
        <v>0</v>
      </c>
      <c r="G160" s="156"/>
      <c r="H160" s="156">
        <f t="shared" si="7"/>
        <v>283</v>
      </c>
      <c r="I160" s="156"/>
      <c r="J160" s="114">
        <v>0</v>
      </c>
      <c r="K160" s="114"/>
      <c r="L160" s="95"/>
      <c r="M160" s="95"/>
      <c r="N160" s="95"/>
      <c r="O160" s="95"/>
    </row>
    <row r="161" spans="1:15" ht="15" customHeight="1">
      <c r="A161" s="95"/>
      <c r="B161" s="112">
        <v>2028</v>
      </c>
      <c r="C161" s="113"/>
      <c r="D161" s="153">
        <f t="shared" si="6"/>
        <v>286</v>
      </c>
      <c r="E161" s="153"/>
      <c r="F161" s="156">
        <v>0</v>
      </c>
      <c r="G161" s="156"/>
      <c r="H161" s="156">
        <f t="shared" si="7"/>
        <v>286</v>
      </c>
      <c r="I161" s="156"/>
      <c r="J161" s="114">
        <v>0</v>
      </c>
      <c r="K161" s="114"/>
      <c r="L161" s="95"/>
      <c r="M161" s="95"/>
      <c r="N161" s="95"/>
      <c r="O161" s="95"/>
    </row>
    <row r="162" spans="1:15" ht="15" customHeight="1">
      <c r="A162" s="95"/>
      <c r="B162" s="112">
        <v>2029</v>
      </c>
      <c r="C162" s="113"/>
      <c r="D162" s="153">
        <f t="shared" si="6"/>
        <v>290</v>
      </c>
      <c r="E162" s="153"/>
      <c r="F162" s="156">
        <v>0</v>
      </c>
      <c r="G162" s="156"/>
      <c r="H162" s="156">
        <f t="shared" si="7"/>
        <v>290</v>
      </c>
      <c r="I162" s="156"/>
      <c r="J162" s="114">
        <v>0</v>
      </c>
      <c r="K162" s="114"/>
      <c r="L162" s="95"/>
      <c r="M162" s="95"/>
      <c r="N162" s="95"/>
      <c r="O162" s="95"/>
    </row>
    <row r="163" spans="1:15" ht="15" customHeight="1">
      <c r="A163" s="95"/>
      <c r="B163" s="115">
        <v>2030</v>
      </c>
      <c r="C163" s="116"/>
      <c r="D163" s="154">
        <f t="shared" si="6"/>
        <v>294</v>
      </c>
      <c r="E163" s="154"/>
      <c r="F163" s="155">
        <v>0</v>
      </c>
      <c r="G163" s="155"/>
      <c r="H163" s="155">
        <f t="shared" si="7"/>
        <v>294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2031</v>
      </c>
      <c r="C164" s="113"/>
      <c r="D164" s="153">
        <f t="shared" si="6"/>
        <v>297</v>
      </c>
      <c r="E164" s="153"/>
      <c r="F164" s="156">
        <v>0</v>
      </c>
      <c r="G164" s="156"/>
      <c r="H164" s="156">
        <f t="shared" si="7"/>
        <v>297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2032</v>
      </c>
      <c r="C165" s="113"/>
      <c r="D165" s="153">
        <f t="shared" si="6"/>
        <v>301</v>
      </c>
      <c r="E165" s="153"/>
      <c r="F165" s="156">
        <v>0</v>
      </c>
      <c r="G165" s="156"/>
      <c r="H165" s="156">
        <f t="shared" si="7"/>
        <v>301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2033</v>
      </c>
      <c r="C166" s="113"/>
      <c r="D166" s="153">
        <f t="shared" si="6"/>
        <v>305</v>
      </c>
      <c r="E166" s="153"/>
      <c r="F166" s="156">
        <v>0</v>
      </c>
      <c r="G166" s="156"/>
      <c r="H166" s="156">
        <f t="shared" si="7"/>
        <v>305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2034</v>
      </c>
      <c r="C167" s="113"/>
      <c r="D167" s="153">
        <f t="shared" si="6"/>
        <v>308</v>
      </c>
      <c r="E167" s="153"/>
      <c r="F167" s="156">
        <v>0</v>
      </c>
      <c r="G167" s="156"/>
      <c r="H167" s="156">
        <f t="shared" si="7"/>
        <v>308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 thickBot="1">
      <c r="A168" s="95"/>
      <c r="B168" s="115">
        <v>2035</v>
      </c>
      <c r="C168" s="116"/>
      <c r="D168" s="154">
        <f t="shared" si="6"/>
        <v>312</v>
      </c>
      <c r="E168" s="154"/>
      <c r="F168" s="155">
        <v>0</v>
      </c>
      <c r="G168" s="155"/>
      <c r="H168" s="155">
        <f t="shared" si="7"/>
        <v>312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95"/>
      <c r="M169" s="95"/>
      <c r="N169" s="95"/>
      <c r="O169" s="95"/>
    </row>
    <row r="170" spans="1:15" ht="15" customHeight="1">
      <c r="A170" s="95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95"/>
      <c r="M170" s="95"/>
      <c r="N170" s="95"/>
      <c r="O170" s="95"/>
    </row>
    <row r="171" spans="1:15" ht="15" customHeight="1">
      <c r="A171" s="95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95"/>
      <c r="M171" s="95"/>
      <c r="N171" s="95"/>
      <c r="O171" s="95"/>
    </row>
    <row r="172" spans="1:15" ht="15" customHeight="1">
      <c r="A172" s="95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95"/>
      <c r="M172" s="95"/>
      <c r="N172" s="95"/>
      <c r="O172" s="95"/>
    </row>
    <row r="173" spans="1:15" ht="15" customHeight="1">
      <c r="A173" s="95"/>
      <c r="B173" s="12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</row>
    <row r="174" spans="1:15" ht="15" customHeight="1">
      <c r="A174" s="95"/>
      <c r="B174" s="110" t="s">
        <v>229</v>
      </c>
      <c r="C174" s="111"/>
      <c r="D174" s="111"/>
      <c r="E174" s="111"/>
      <c r="F174" s="111"/>
      <c r="G174" s="111"/>
      <c r="H174" s="95"/>
      <c r="I174" s="95"/>
      <c r="J174" s="95"/>
      <c r="K174" s="95"/>
      <c r="L174" s="95"/>
      <c r="M174" s="95"/>
      <c r="N174" s="95"/>
      <c r="O174" s="95"/>
    </row>
    <row r="175" spans="1:15" ht="15" customHeight="1">
      <c r="A175" s="95"/>
      <c r="B175" s="95"/>
      <c r="C175" s="111" t="s">
        <v>230</v>
      </c>
      <c r="D175" s="111" t="s">
        <v>231</v>
      </c>
      <c r="E175" s="111"/>
      <c r="F175" s="111"/>
      <c r="G175" s="111"/>
      <c r="H175" s="95"/>
      <c r="I175" s="95"/>
      <c r="J175" s="95"/>
      <c r="K175" s="95"/>
      <c r="L175" s="95"/>
      <c r="M175" s="95"/>
      <c r="N175" s="95"/>
      <c r="O175" s="95"/>
    </row>
    <row r="176" spans="1:15" ht="15" customHeight="1">
      <c r="A176" s="95"/>
      <c r="B176" s="93"/>
      <c r="C176" s="128" t="s">
        <v>232</v>
      </c>
      <c r="D176" s="111" t="s">
        <v>233</v>
      </c>
      <c r="E176" s="111"/>
      <c r="F176" s="93"/>
      <c r="G176" s="95"/>
      <c r="H176" s="95"/>
      <c r="I176" s="95"/>
      <c r="J176" s="95"/>
      <c r="K176" s="95"/>
      <c r="L176" s="95"/>
      <c r="M176" s="95"/>
      <c r="N176" s="95"/>
      <c r="O176" s="95"/>
    </row>
    <row r="177" spans="1:15" ht="15" customHeight="1">
      <c r="A177" s="95"/>
      <c r="B177" s="93"/>
      <c r="C177" s="128"/>
      <c r="D177" s="111" t="s">
        <v>234</v>
      </c>
      <c r="E177" s="2250">
        <f>K7</f>
        <v>600</v>
      </c>
      <c r="F177" s="2250"/>
      <c r="G177" s="111" t="s">
        <v>235</v>
      </c>
      <c r="H177" s="111"/>
      <c r="I177" s="95"/>
      <c r="J177" s="95"/>
      <c r="K177" s="95"/>
      <c r="L177" s="95"/>
      <c r="M177" s="95"/>
      <c r="N177" s="95"/>
      <c r="O177" s="95"/>
    </row>
    <row r="178" spans="1:15" ht="15" customHeight="1" thickBot="1">
      <c r="A178" s="95"/>
      <c r="B178" s="95"/>
      <c r="C178" s="95"/>
      <c r="D178" s="95"/>
      <c r="E178" s="95"/>
      <c r="F178" s="100" t="s">
        <v>236</v>
      </c>
      <c r="G178" s="100"/>
      <c r="H178" s="95"/>
      <c r="I178" s="95"/>
      <c r="J178" s="95"/>
      <c r="K178" s="95"/>
      <c r="L178" s="95"/>
      <c r="M178" s="95"/>
      <c r="N178" s="95"/>
      <c r="O178" s="95"/>
    </row>
    <row r="179" spans="1:15" ht="15" customHeight="1">
      <c r="A179" s="95"/>
      <c r="B179" s="94" t="s">
        <v>155</v>
      </c>
      <c r="C179" s="94"/>
      <c r="D179" s="94" t="s">
        <v>238</v>
      </c>
      <c r="E179" s="94" t="s">
        <v>239</v>
      </c>
      <c r="F179" s="94" t="s">
        <v>240</v>
      </c>
      <c r="G179" s="94" t="s">
        <v>241</v>
      </c>
      <c r="H179" s="94" t="s">
        <v>242</v>
      </c>
      <c r="I179" s="94" t="s">
        <v>243</v>
      </c>
      <c r="J179" s="94" t="s">
        <v>244</v>
      </c>
      <c r="K179" s="94" t="s">
        <v>245</v>
      </c>
      <c r="L179" s="95"/>
      <c r="M179" s="95"/>
      <c r="N179" s="95"/>
      <c r="O179" s="95"/>
    </row>
    <row r="180" spans="1:15" ht="15" customHeight="1">
      <c r="A180" s="95"/>
      <c r="B180" s="96">
        <f>B136</f>
        <v>2010</v>
      </c>
      <c r="C180" s="96"/>
      <c r="D180" s="100">
        <f>VLOOKUP(B180,B$7:E$11,3,FALSE)</f>
        <v>225</v>
      </c>
      <c r="E180" s="140">
        <f>((COUNT(B$180:B$184)-1)/2)+(B180-$C$4)</f>
        <v>-2</v>
      </c>
      <c r="F180" s="98">
        <f>E180^2</f>
        <v>4</v>
      </c>
      <c r="G180" s="97">
        <f>E$177-D180</f>
        <v>375</v>
      </c>
      <c r="H180" s="157">
        <f>LOG(D180)</f>
        <v>2.3521825181113627</v>
      </c>
      <c r="I180" s="141">
        <f>LOG(G180)</f>
        <v>2.5740312677277188</v>
      </c>
      <c r="J180" s="142">
        <f>H180-I180</f>
        <v>-0.22184874961635614</v>
      </c>
      <c r="K180" s="142">
        <f>E180*J180</f>
        <v>0.44369749923271229</v>
      </c>
      <c r="L180" s="95"/>
      <c r="M180" s="95"/>
      <c r="N180" s="95"/>
      <c r="O180" s="95"/>
    </row>
    <row r="181" spans="1:15" ht="15" customHeight="1">
      <c r="A181" s="95"/>
      <c r="B181" s="96">
        <f>B137</f>
        <v>2011</v>
      </c>
      <c r="C181" s="96"/>
      <c r="D181" s="100">
        <f>VLOOKUP(B181,B$7:E$11,3,FALSE)</f>
        <v>228</v>
      </c>
      <c r="E181" s="140">
        <f>((COUNT(B$180:B$184)-1)/2)+(B181-$C$4)</f>
        <v>-1</v>
      </c>
      <c r="F181" s="98">
        <f>E181^2</f>
        <v>1</v>
      </c>
      <c r="G181" s="97">
        <f>E$177-D181</f>
        <v>372</v>
      </c>
      <c r="H181" s="157">
        <f>LOG(D181)</f>
        <v>2.357934847000454</v>
      </c>
      <c r="I181" s="141">
        <f>LOG(G181)</f>
        <v>2.5705429398818973</v>
      </c>
      <c r="J181" s="142">
        <f>H181-I181</f>
        <v>-0.21260809288144333</v>
      </c>
      <c r="K181" s="142">
        <f>E181*J181</f>
        <v>0.21260809288144333</v>
      </c>
      <c r="L181" s="95"/>
      <c r="M181" s="95"/>
      <c r="N181" s="95"/>
      <c r="O181" s="95"/>
    </row>
    <row r="182" spans="1:15" ht="15" customHeight="1">
      <c r="A182" s="95"/>
      <c r="B182" s="96">
        <f>B138</f>
        <v>2012</v>
      </c>
      <c r="C182" s="96"/>
      <c r="D182" s="100">
        <f>VLOOKUP(B182,B$7:E$11,3,FALSE)</f>
        <v>241</v>
      </c>
      <c r="E182" s="140">
        <f>((COUNT(B$180:B$184)-1)/2)+(B182-$C$4)</f>
        <v>0</v>
      </c>
      <c r="F182" s="98">
        <f>E182^2</f>
        <v>0</v>
      </c>
      <c r="G182" s="97">
        <f>E$177-D182</f>
        <v>359</v>
      </c>
      <c r="H182" s="157">
        <f>LOG(D182)</f>
        <v>2.3820170425748683</v>
      </c>
      <c r="I182" s="141">
        <f>LOG(G182)</f>
        <v>2.5550944485783194</v>
      </c>
      <c r="J182" s="142">
        <f>H182-I182</f>
        <v>-0.17307740600345101</v>
      </c>
      <c r="K182" s="142">
        <f>E182*J182</f>
        <v>0</v>
      </c>
      <c r="L182" s="95"/>
      <c r="M182" s="95"/>
      <c r="N182" s="95"/>
      <c r="O182" s="95"/>
    </row>
    <row r="183" spans="1:15" ht="15" customHeight="1">
      <c r="A183" s="95"/>
      <c r="B183" s="96">
        <f>B139</f>
        <v>2013</v>
      </c>
      <c r="C183" s="96"/>
      <c r="D183" s="100">
        <f>VLOOKUP(B183,B$7:E$11,3,FALSE)</f>
        <v>252</v>
      </c>
      <c r="E183" s="140">
        <f>((COUNT(B$180:B$184)-1)/2)+(B183-$C$4)</f>
        <v>1</v>
      </c>
      <c r="F183" s="98">
        <f>E183^2</f>
        <v>1</v>
      </c>
      <c r="G183" s="97">
        <f>E$177-D183</f>
        <v>348</v>
      </c>
      <c r="H183" s="157">
        <f>LOG(D183)</f>
        <v>2.4014005407815442</v>
      </c>
      <c r="I183" s="141">
        <f>LOG(G183)</f>
        <v>2.5415792439465807</v>
      </c>
      <c r="J183" s="142">
        <f>H183-I183</f>
        <v>-0.14017870316503656</v>
      </c>
      <c r="K183" s="142">
        <f>E183*J183</f>
        <v>-0.14017870316503656</v>
      </c>
      <c r="L183" s="95"/>
      <c r="M183" s="95"/>
      <c r="N183" s="95"/>
      <c r="O183" s="95"/>
    </row>
    <row r="184" spans="1:15" ht="15" customHeight="1">
      <c r="A184" s="95"/>
      <c r="B184" s="96">
        <f>B140</f>
        <v>2014</v>
      </c>
      <c r="C184" s="96"/>
      <c r="D184" s="100">
        <f>VLOOKUP(B184,B$7:E$11,3,FALSE)</f>
        <v>234</v>
      </c>
      <c r="E184" s="140">
        <f>((COUNT(B$180:B$184)-1)/2)+(B184-$C$4)</f>
        <v>2</v>
      </c>
      <c r="F184" s="98">
        <f>E184^2</f>
        <v>4</v>
      </c>
      <c r="G184" s="97">
        <f>E$177-D184</f>
        <v>366</v>
      </c>
      <c r="H184" s="157">
        <f>LOG(D184)</f>
        <v>2.369215857410143</v>
      </c>
      <c r="I184" s="141">
        <f>LOG(G184)</f>
        <v>2.5634810853944106</v>
      </c>
      <c r="J184" s="142">
        <f>H184-I184</f>
        <v>-0.1942652279842676</v>
      </c>
      <c r="K184" s="142">
        <f>E184*J184</f>
        <v>-0.38853045596853519</v>
      </c>
      <c r="L184" s="95"/>
      <c r="M184" s="95"/>
      <c r="N184" s="95"/>
      <c r="O184" s="95"/>
    </row>
    <row r="185" spans="1:15" ht="15" customHeight="1" thickBot="1">
      <c r="A185" s="95"/>
      <c r="B185" s="103" t="s">
        <v>218</v>
      </c>
      <c r="C185" s="104"/>
      <c r="D185" s="158">
        <f>SUM(D180:D184)</f>
        <v>1180</v>
      </c>
      <c r="E185" s="159">
        <f>SUM(E180:E184)</f>
        <v>0</v>
      </c>
      <c r="F185" s="160">
        <f>ROUND(SUM(F180:F184),0)</f>
        <v>10</v>
      </c>
      <c r="G185" s="145"/>
      <c r="H185" s="147"/>
      <c r="I185" s="148"/>
      <c r="J185" s="161">
        <f>SUM(J180:J184)</f>
        <v>-0.94197817965055464</v>
      </c>
      <c r="K185" s="161">
        <f>SUM(K180:K184)</f>
        <v>0.12759643298058387</v>
      </c>
      <c r="L185" s="95"/>
      <c r="M185" s="95"/>
      <c r="N185" s="95"/>
      <c r="O185" s="95"/>
    </row>
    <row r="186" spans="1:15" ht="15" customHeight="1">
      <c r="A186" s="95"/>
      <c r="B186" s="100" t="s">
        <v>246</v>
      </c>
      <c r="C186" s="100"/>
      <c r="D186" s="93" t="s">
        <v>247</v>
      </c>
      <c r="E186" s="136" t="s">
        <v>248</v>
      </c>
      <c r="F186" s="95"/>
      <c r="G186" s="111" t="str">
        <f>"X = x × LOG e = "&amp;E185&amp;" 이고,"</f>
        <v>X = x × LOG e = 0 이고,</v>
      </c>
      <c r="H186" s="111"/>
      <c r="I186" s="111" t="s">
        <v>249</v>
      </c>
      <c r="J186" s="111"/>
      <c r="K186" s="93"/>
      <c r="L186" s="95"/>
      <c r="M186" s="95"/>
      <c r="N186" s="95"/>
      <c r="O186" s="95"/>
    </row>
    <row r="187" spans="1:15" ht="15" customHeight="1">
      <c r="A187" s="95"/>
      <c r="B187" s="95"/>
      <c r="C187" s="95"/>
      <c r="D187" s="111" t="s">
        <v>250</v>
      </c>
      <c r="E187" s="111"/>
      <c r="F187" s="111"/>
      <c r="G187" s="111"/>
      <c r="H187" s="150">
        <f>ROUND(((E$185*K$185-F$185*J$185)/(COUNT(B$180:B$184)*F$185-E$185*E$185))/LOG(EXP(1)),5)</f>
        <v>0.43380000000000002</v>
      </c>
      <c r="I187" s="111"/>
      <c r="J187" s="111"/>
      <c r="K187" s="95"/>
      <c r="L187" s="95"/>
      <c r="M187" s="95"/>
      <c r="N187" s="95"/>
      <c r="O187" s="95"/>
    </row>
    <row r="188" spans="1:15" ht="15" customHeight="1">
      <c r="A188" s="95"/>
      <c r="B188" s="95"/>
      <c r="C188" s="95"/>
      <c r="D188" s="111" t="s">
        <v>251</v>
      </c>
      <c r="E188" s="111"/>
      <c r="F188" s="111"/>
      <c r="G188" s="162" t="s">
        <v>252</v>
      </c>
      <c r="H188" s="111"/>
      <c r="I188" s="111"/>
      <c r="J188" s="111"/>
      <c r="K188" s="163">
        <f>ROUND((COUNT(B$180:B$184)*K185-E185*J185)/(LOG(EXP(1))*(COUNT(B$180:B$184)*F185-E185*E185)),6)</f>
        <v>2.938E-2</v>
      </c>
      <c r="L188" s="95"/>
      <c r="M188" s="95"/>
      <c r="N188" s="95"/>
      <c r="O188" s="95"/>
    </row>
    <row r="189" spans="1:15" ht="15" customHeight="1">
      <c r="A189" s="95"/>
      <c r="B189" s="95"/>
      <c r="C189" s="95"/>
      <c r="D189" s="111"/>
      <c r="E189" s="95"/>
      <c r="F189" s="93"/>
      <c r="G189" s="93"/>
      <c r="H189" s="111"/>
      <c r="I189" s="111"/>
      <c r="J189" s="152"/>
      <c r="K189" s="95"/>
      <c r="L189" s="95"/>
      <c r="M189" s="95"/>
      <c r="N189" s="95"/>
      <c r="O189" s="95"/>
    </row>
    <row r="190" spans="1:15" ht="15" customHeight="1" thickBot="1">
      <c r="A190" s="95"/>
      <c r="B190" s="95"/>
      <c r="C190" s="95"/>
      <c r="D190" s="95"/>
      <c r="E190" s="95"/>
      <c r="F190" s="100" t="s">
        <v>253</v>
      </c>
      <c r="G190" s="100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4" t="s">
        <v>155</v>
      </c>
      <c r="C191" s="94"/>
      <c r="D191" s="94" t="s">
        <v>174</v>
      </c>
      <c r="E191" s="94"/>
      <c r="F191" s="94" t="s">
        <v>256</v>
      </c>
      <c r="G191" s="94"/>
      <c r="H191" s="94" t="s">
        <v>257</v>
      </c>
      <c r="I191" s="94"/>
      <c r="J191" s="94" t="s">
        <v>258</v>
      </c>
      <c r="K191" s="94"/>
      <c r="L191" s="95"/>
      <c r="M191" s="95"/>
      <c r="N191" s="95"/>
      <c r="O191" s="95"/>
    </row>
    <row r="192" spans="1:15" ht="15" customHeight="1">
      <c r="A192" s="95"/>
      <c r="B192" s="112">
        <v>2014</v>
      </c>
      <c r="C192" s="100"/>
      <c r="D192" s="100">
        <f t="shared" ref="D192:D213" si="8">ROUNDUP(E$177/(1+EXP(1)^(H$187-K$188*(B192-B$180+0.5))),0)</f>
        <v>256</v>
      </c>
      <c r="E192" s="100"/>
      <c r="F192" s="100">
        <v>0</v>
      </c>
      <c r="G192" s="100"/>
      <c r="H192" s="100">
        <f t="shared" ref="H192:H213" si="9">ROUND(D192*(1+F192),0)</f>
        <v>256</v>
      </c>
      <c r="I192" s="100"/>
      <c r="J192" s="102">
        <v>0</v>
      </c>
      <c r="K192" s="102"/>
      <c r="L192" s="95"/>
      <c r="M192" s="95"/>
      <c r="N192" s="95"/>
      <c r="O192" s="95"/>
    </row>
    <row r="193" spans="1:15" ht="15" customHeight="1">
      <c r="A193" s="95"/>
      <c r="B193" s="115">
        <v>2015</v>
      </c>
      <c r="C193" s="116"/>
      <c r="D193" s="116">
        <f t="shared" si="8"/>
        <v>260</v>
      </c>
      <c r="E193" s="116"/>
      <c r="F193" s="116">
        <v>0</v>
      </c>
      <c r="G193" s="116"/>
      <c r="H193" s="116">
        <f t="shared" si="9"/>
        <v>260</v>
      </c>
      <c r="I193" s="116"/>
      <c r="J193" s="117">
        <v>0</v>
      </c>
      <c r="K193" s="117"/>
      <c r="L193" s="95"/>
      <c r="M193" s="95"/>
      <c r="N193" s="95"/>
      <c r="O193" s="95"/>
    </row>
    <row r="194" spans="1:15" ht="15" customHeight="1">
      <c r="A194" s="95"/>
      <c r="B194" s="112">
        <v>2016</v>
      </c>
      <c r="C194" s="113"/>
      <c r="D194" s="113">
        <f t="shared" si="8"/>
        <v>264</v>
      </c>
      <c r="E194" s="113"/>
      <c r="F194" s="113">
        <v>0</v>
      </c>
      <c r="G194" s="113"/>
      <c r="H194" s="113">
        <f t="shared" si="9"/>
        <v>264</v>
      </c>
      <c r="I194" s="113"/>
      <c r="J194" s="114">
        <v>0</v>
      </c>
      <c r="K194" s="114"/>
      <c r="L194" s="95"/>
      <c r="M194" s="95"/>
      <c r="N194" s="95"/>
      <c r="O194" s="95"/>
    </row>
    <row r="195" spans="1:15" ht="15" customHeight="1">
      <c r="A195" s="95"/>
      <c r="B195" s="112">
        <v>2017</v>
      </c>
      <c r="C195" s="113"/>
      <c r="D195" s="113">
        <f t="shared" si="8"/>
        <v>269</v>
      </c>
      <c r="E195" s="113"/>
      <c r="F195" s="113">
        <v>0</v>
      </c>
      <c r="G195" s="113"/>
      <c r="H195" s="113">
        <f t="shared" si="9"/>
        <v>269</v>
      </c>
      <c r="I195" s="113"/>
      <c r="J195" s="114">
        <v>0</v>
      </c>
      <c r="K195" s="114"/>
      <c r="L195" s="95"/>
      <c r="M195" s="95"/>
      <c r="N195" s="95"/>
      <c r="O195" s="95"/>
    </row>
    <row r="196" spans="1:15" ht="15" customHeight="1">
      <c r="A196" s="95"/>
      <c r="B196" s="112">
        <v>2018</v>
      </c>
      <c r="C196" s="113"/>
      <c r="D196" s="113">
        <f t="shared" si="8"/>
        <v>273</v>
      </c>
      <c r="E196" s="113"/>
      <c r="F196" s="113">
        <v>0</v>
      </c>
      <c r="G196" s="113"/>
      <c r="H196" s="113">
        <f t="shared" si="9"/>
        <v>273</v>
      </c>
      <c r="I196" s="113"/>
      <c r="J196" s="114">
        <v>0</v>
      </c>
      <c r="K196" s="114"/>
      <c r="L196" s="95"/>
      <c r="M196" s="95"/>
      <c r="N196" s="95"/>
      <c r="O196" s="95"/>
    </row>
    <row r="197" spans="1:15" ht="15" customHeight="1">
      <c r="A197" s="95"/>
      <c r="B197" s="112">
        <v>2019</v>
      </c>
      <c r="C197" s="113"/>
      <c r="D197" s="113">
        <f t="shared" si="8"/>
        <v>277</v>
      </c>
      <c r="E197" s="113"/>
      <c r="F197" s="113">
        <v>0</v>
      </c>
      <c r="G197" s="113"/>
      <c r="H197" s="113">
        <f t="shared" si="9"/>
        <v>277</v>
      </c>
      <c r="I197" s="113"/>
      <c r="J197" s="114">
        <v>0</v>
      </c>
      <c r="K197" s="114"/>
      <c r="L197" s="95"/>
      <c r="M197" s="95"/>
      <c r="N197" s="95"/>
      <c r="O197" s="95"/>
    </row>
    <row r="198" spans="1:15" ht="15" customHeight="1">
      <c r="A198" s="95"/>
      <c r="B198" s="115">
        <v>2020</v>
      </c>
      <c r="C198" s="116"/>
      <c r="D198" s="116">
        <f t="shared" si="8"/>
        <v>282</v>
      </c>
      <c r="E198" s="116"/>
      <c r="F198" s="116">
        <v>0</v>
      </c>
      <c r="G198" s="116"/>
      <c r="H198" s="116">
        <f t="shared" si="9"/>
        <v>282</v>
      </c>
      <c r="I198" s="116"/>
      <c r="J198" s="117">
        <v>0</v>
      </c>
      <c r="K198" s="117"/>
      <c r="L198" s="95"/>
      <c r="M198" s="95"/>
      <c r="N198" s="95"/>
      <c r="O198" s="95"/>
    </row>
    <row r="199" spans="1:15" ht="15" customHeight="1">
      <c r="A199" s="95"/>
      <c r="B199" s="112">
        <v>2021</v>
      </c>
      <c r="C199" s="113"/>
      <c r="D199" s="113">
        <f t="shared" si="8"/>
        <v>286</v>
      </c>
      <c r="E199" s="113"/>
      <c r="F199" s="113">
        <v>0</v>
      </c>
      <c r="G199" s="113"/>
      <c r="H199" s="113">
        <f t="shared" si="9"/>
        <v>286</v>
      </c>
      <c r="I199" s="113"/>
      <c r="J199" s="114">
        <v>0</v>
      </c>
      <c r="K199" s="114"/>
      <c r="L199" s="95"/>
      <c r="M199" s="95"/>
      <c r="N199" s="95"/>
      <c r="O199" s="95"/>
    </row>
    <row r="200" spans="1:15" ht="15" customHeight="1">
      <c r="A200" s="95"/>
      <c r="B200" s="112">
        <v>2022</v>
      </c>
      <c r="C200" s="113"/>
      <c r="D200" s="113">
        <f t="shared" si="8"/>
        <v>291</v>
      </c>
      <c r="E200" s="113"/>
      <c r="F200" s="113">
        <v>0</v>
      </c>
      <c r="G200" s="113"/>
      <c r="H200" s="113">
        <f t="shared" si="9"/>
        <v>291</v>
      </c>
      <c r="I200" s="113"/>
      <c r="J200" s="114">
        <v>0</v>
      </c>
      <c r="K200" s="114"/>
      <c r="L200" s="95"/>
      <c r="M200" s="95"/>
      <c r="N200" s="95"/>
      <c r="O200" s="95"/>
    </row>
    <row r="201" spans="1:15" ht="15" customHeight="1">
      <c r="A201" s="95"/>
      <c r="B201" s="112">
        <v>2023</v>
      </c>
      <c r="C201" s="113"/>
      <c r="D201" s="113">
        <f t="shared" si="8"/>
        <v>295</v>
      </c>
      <c r="E201" s="113"/>
      <c r="F201" s="113">
        <v>0</v>
      </c>
      <c r="G201" s="113"/>
      <c r="H201" s="113">
        <f t="shared" si="9"/>
        <v>295</v>
      </c>
      <c r="I201" s="113"/>
      <c r="J201" s="114">
        <v>0</v>
      </c>
      <c r="K201" s="114"/>
      <c r="L201" s="95"/>
      <c r="M201" s="95"/>
      <c r="N201" s="95"/>
      <c r="O201" s="95"/>
    </row>
    <row r="202" spans="1:15" ht="15" customHeight="1">
      <c r="A202" s="95"/>
      <c r="B202" s="112">
        <v>2024</v>
      </c>
      <c r="C202" s="113"/>
      <c r="D202" s="113">
        <f t="shared" si="8"/>
        <v>299</v>
      </c>
      <c r="E202" s="113"/>
      <c r="F202" s="113">
        <v>0</v>
      </c>
      <c r="G202" s="113"/>
      <c r="H202" s="113">
        <f t="shared" si="9"/>
        <v>299</v>
      </c>
      <c r="I202" s="113"/>
      <c r="J202" s="114">
        <v>0</v>
      </c>
      <c r="K202" s="114"/>
      <c r="L202" s="95"/>
      <c r="M202" s="95"/>
      <c r="N202" s="95"/>
      <c r="O202" s="95"/>
    </row>
    <row r="203" spans="1:15" ht="15" customHeight="1">
      <c r="A203" s="95"/>
      <c r="B203" s="115">
        <v>2025</v>
      </c>
      <c r="C203" s="116"/>
      <c r="D203" s="116">
        <f t="shared" si="8"/>
        <v>304</v>
      </c>
      <c r="E203" s="116"/>
      <c r="F203" s="116">
        <v>0</v>
      </c>
      <c r="G203" s="116"/>
      <c r="H203" s="116">
        <f t="shared" si="9"/>
        <v>304</v>
      </c>
      <c r="I203" s="116"/>
      <c r="J203" s="117">
        <v>0</v>
      </c>
      <c r="K203" s="117"/>
      <c r="L203" s="95"/>
      <c r="M203" s="95"/>
      <c r="N203" s="95"/>
      <c r="O203" s="95"/>
    </row>
    <row r="204" spans="1:15" ht="15" customHeight="1">
      <c r="A204" s="95"/>
      <c r="B204" s="112">
        <v>2026</v>
      </c>
      <c r="C204" s="113"/>
      <c r="D204" s="113">
        <f t="shared" si="8"/>
        <v>308</v>
      </c>
      <c r="E204" s="113"/>
      <c r="F204" s="113">
        <v>0</v>
      </c>
      <c r="G204" s="113"/>
      <c r="H204" s="113">
        <f t="shared" si="9"/>
        <v>308</v>
      </c>
      <c r="I204" s="113"/>
      <c r="J204" s="114">
        <v>0</v>
      </c>
      <c r="K204" s="114"/>
      <c r="L204" s="95"/>
      <c r="M204" s="95"/>
      <c r="N204" s="95"/>
      <c r="O204" s="95"/>
    </row>
    <row r="205" spans="1:15" ht="15" customHeight="1">
      <c r="A205" s="95"/>
      <c r="B205" s="112">
        <v>2027</v>
      </c>
      <c r="C205" s="113"/>
      <c r="D205" s="113">
        <f t="shared" si="8"/>
        <v>313</v>
      </c>
      <c r="E205" s="113"/>
      <c r="F205" s="113">
        <v>0</v>
      </c>
      <c r="G205" s="113"/>
      <c r="H205" s="113">
        <f t="shared" si="9"/>
        <v>313</v>
      </c>
      <c r="I205" s="113"/>
      <c r="J205" s="114">
        <v>0</v>
      </c>
      <c r="K205" s="114"/>
      <c r="L205" s="95"/>
      <c r="M205" s="95"/>
      <c r="N205" s="95"/>
      <c r="O205" s="95"/>
    </row>
    <row r="206" spans="1:15" ht="15" customHeight="1">
      <c r="A206" s="95"/>
      <c r="B206" s="112">
        <v>2028</v>
      </c>
      <c r="C206" s="113"/>
      <c r="D206" s="113">
        <f t="shared" si="8"/>
        <v>317</v>
      </c>
      <c r="E206" s="113"/>
      <c r="F206" s="113">
        <v>0</v>
      </c>
      <c r="G206" s="113"/>
      <c r="H206" s="113">
        <f t="shared" si="9"/>
        <v>317</v>
      </c>
      <c r="I206" s="113"/>
      <c r="J206" s="114">
        <v>0</v>
      </c>
      <c r="K206" s="114"/>
      <c r="L206" s="95"/>
      <c r="M206" s="95"/>
      <c r="N206" s="95"/>
      <c r="O206" s="95"/>
    </row>
    <row r="207" spans="1:15" ht="15" customHeight="1">
      <c r="A207" s="95"/>
      <c r="B207" s="112">
        <v>2029</v>
      </c>
      <c r="C207" s="113"/>
      <c r="D207" s="113">
        <f t="shared" si="8"/>
        <v>321</v>
      </c>
      <c r="E207" s="113"/>
      <c r="F207" s="113">
        <v>0</v>
      </c>
      <c r="G207" s="113"/>
      <c r="H207" s="113">
        <f t="shared" si="9"/>
        <v>321</v>
      </c>
      <c r="I207" s="113"/>
      <c r="J207" s="114">
        <v>0</v>
      </c>
      <c r="K207" s="114"/>
      <c r="L207" s="95"/>
      <c r="M207" s="95"/>
      <c r="N207" s="95"/>
      <c r="O207" s="95"/>
    </row>
    <row r="208" spans="1:15" ht="15" customHeight="1">
      <c r="A208" s="95"/>
      <c r="B208" s="115">
        <v>2030</v>
      </c>
      <c r="C208" s="116"/>
      <c r="D208" s="116">
        <f t="shared" si="8"/>
        <v>326</v>
      </c>
      <c r="E208" s="116"/>
      <c r="F208" s="116">
        <v>0</v>
      </c>
      <c r="G208" s="116"/>
      <c r="H208" s="116">
        <f t="shared" si="9"/>
        <v>326</v>
      </c>
      <c r="I208" s="116"/>
      <c r="J208" s="117">
        <v>0</v>
      </c>
      <c r="K208" s="117"/>
      <c r="L208" s="95"/>
      <c r="M208" s="95"/>
      <c r="N208" s="95"/>
      <c r="O208" s="95"/>
    </row>
    <row r="209" spans="1:15" ht="15" customHeight="1">
      <c r="A209" s="95"/>
      <c r="B209" s="112">
        <v>2031</v>
      </c>
      <c r="C209" s="113"/>
      <c r="D209" s="113">
        <f t="shared" si="8"/>
        <v>330</v>
      </c>
      <c r="E209" s="113"/>
      <c r="F209" s="113">
        <v>0</v>
      </c>
      <c r="G209" s="113"/>
      <c r="H209" s="113">
        <f t="shared" si="9"/>
        <v>330</v>
      </c>
      <c r="I209" s="113"/>
      <c r="J209" s="114">
        <v>0</v>
      </c>
      <c r="K209" s="114"/>
      <c r="L209" s="95"/>
      <c r="M209" s="95"/>
      <c r="N209" s="95"/>
      <c r="O209" s="95"/>
    </row>
    <row r="210" spans="1:15" ht="15" customHeight="1">
      <c r="A210" s="95"/>
      <c r="B210" s="112">
        <v>2032</v>
      </c>
      <c r="C210" s="113"/>
      <c r="D210" s="113">
        <f t="shared" si="8"/>
        <v>334</v>
      </c>
      <c r="E210" s="113"/>
      <c r="F210" s="113">
        <v>0</v>
      </c>
      <c r="G210" s="113"/>
      <c r="H210" s="113">
        <f t="shared" si="9"/>
        <v>334</v>
      </c>
      <c r="I210" s="113"/>
      <c r="J210" s="114">
        <v>0</v>
      </c>
      <c r="K210" s="114"/>
      <c r="L210" s="95"/>
      <c r="M210" s="95"/>
      <c r="N210" s="95"/>
      <c r="O210" s="95"/>
    </row>
    <row r="211" spans="1:15" ht="15" customHeight="1">
      <c r="A211" s="95"/>
      <c r="B211" s="112">
        <v>2033</v>
      </c>
      <c r="C211" s="113"/>
      <c r="D211" s="113">
        <f t="shared" si="8"/>
        <v>339</v>
      </c>
      <c r="E211" s="113"/>
      <c r="F211" s="113">
        <v>0</v>
      </c>
      <c r="G211" s="113"/>
      <c r="H211" s="113">
        <f t="shared" si="9"/>
        <v>339</v>
      </c>
      <c r="I211" s="113"/>
      <c r="J211" s="114">
        <v>0</v>
      </c>
      <c r="K211" s="114"/>
      <c r="L211" s="95"/>
      <c r="M211" s="95"/>
      <c r="N211" s="95"/>
      <c r="O211" s="95"/>
    </row>
    <row r="212" spans="1:15" ht="15" customHeight="1">
      <c r="A212" s="95"/>
      <c r="B212" s="112">
        <v>2034</v>
      </c>
      <c r="C212" s="113"/>
      <c r="D212" s="113">
        <f t="shared" si="8"/>
        <v>343</v>
      </c>
      <c r="E212" s="113"/>
      <c r="F212" s="113">
        <v>0</v>
      </c>
      <c r="G212" s="113"/>
      <c r="H212" s="113">
        <f t="shared" si="9"/>
        <v>343</v>
      </c>
      <c r="I212" s="113"/>
      <c r="J212" s="114">
        <v>0</v>
      </c>
      <c r="K212" s="114"/>
      <c r="L212" s="95"/>
      <c r="M212" s="95"/>
      <c r="N212" s="95"/>
      <c r="O212" s="95"/>
    </row>
    <row r="213" spans="1:15" ht="15" customHeight="1" thickBot="1">
      <c r="A213" s="95"/>
      <c r="B213" s="115">
        <v>2035</v>
      </c>
      <c r="C213" s="116"/>
      <c r="D213" s="116">
        <f t="shared" si="8"/>
        <v>347</v>
      </c>
      <c r="E213" s="116"/>
      <c r="F213" s="116">
        <v>0</v>
      </c>
      <c r="G213" s="116"/>
      <c r="H213" s="116">
        <f t="shared" si="9"/>
        <v>347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95"/>
      <c r="M214" s="95"/>
      <c r="N214" s="95"/>
      <c r="O214" s="95"/>
    </row>
    <row r="215" spans="1:15" ht="15" customHeight="1">
      <c r="A215" s="95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95"/>
      <c r="M215" s="95"/>
      <c r="N215" s="95"/>
      <c r="O215" s="95"/>
    </row>
    <row r="216" spans="1:15" ht="15" customHeight="1">
      <c r="A216" s="95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95"/>
      <c r="M216" s="95"/>
      <c r="N216" s="95"/>
      <c r="O216" s="95"/>
    </row>
    <row r="217" spans="1:15" ht="15" customHeight="1">
      <c r="A217" s="95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95"/>
      <c r="M217" s="95"/>
      <c r="N217" s="95"/>
      <c r="O217" s="95"/>
    </row>
    <row r="218" spans="1:15" ht="15" customHeight="1">
      <c r="A218" s="95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95"/>
      <c r="M218" s="95"/>
      <c r="N218" s="95"/>
      <c r="O218" s="95"/>
    </row>
    <row r="219" spans="1:15" ht="15" customHeight="1" thickBot="1">
      <c r="A219" s="95"/>
      <c r="B219" s="95"/>
      <c r="C219" s="95"/>
      <c r="D219" s="95"/>
      <c r="E219" s="95"/>
      <c r="F219" s="100" t="s">
        <v>259</v>
      </c>
      <c r="G219" s="100"/>
      <c r="H219" s="95"/>
      <c r="I219" s="95"/>
      <c r="J219" s="95"/>
      <c r="K219" s="128" t="s">
        <v>260</v>
      </c>
      <c r="L219" s="95"/>
      <c r="M219" s="95"/>
      <c r="N219" s="95"/>
      <c r="O219" s="95"/>
    </row>
    <row r="220" spans="1:15" ht="15" customHeight="1">
      <c r="A220" s="95"/>
      <c r="B220" s="94" t="s">
        <v>155</v>
      </c>
      <c r="C220" s="94"/>
      <c r="D220" s="94" t="s">
        <v>261</v>
      </c>
      <c r="E220" s="94" t="s">
        <v>262</v>
      </c>
      <c r="F220" s="94" t="s">
        <v>263</v>
      </c>
      <c r="G220" s="94" t="s">
        <v>279</v>
      </c>
      <c r="H220" s="94" t="s">
        <v>264</v>
      </c>
      <c r="I220" s="94" t="s">
        <v>265</v>
      </c>
      <c r="J220" s="94" t="s">
        <v>266</v>
      </c>
      <c r="K220" s="94"/>
      <c r="L220" s="95"/>
      <c r="M220" s="95"/>
      <c r="N220" s="95">
        <v>396</v>
      </c>
      <c r="O220" s="95">
        <v>386</v>
      </c>
    </row>
    <row r="221" spans="1:15" ht="15" customHeight="1">
      <c r="A221" s="95"/>
      <c r="B221" s="112">
        <v>2014</v>
      </c>
      <c r="C221" s="113"/>
      <c r="D221" s="153">
        <f t="array" ref="D221">IF(B21=B221,H21)</f>
        <v>234</v>
      </c>
      <c r="E221" s="153">
        <f t="array" ref="E221">IF(B55=B221,H55)</f>
        <v>234</v>
      </c>
      <c r="F221" s="153">
        <f t="array" ref="F221">IF(B105=B221,H105)</f>
        <v>245</v>
      </c>
      <c r="G221" s="153">
        <f t="array" ref="G221">IF(B147=B221,H147)</f>
        <v>238</v>
      </c>
      <c r="H221" s="153">
        <f t="array" ref="H221">IF(B192=B221,H192)</f>
        <v>256</v>
      </c>
      <c r="I221" s="153">
        <f t="shared" ref="I221:I242" si="10">IF(G221=0,AVERAGE(D221,E221,F221,H221),AVERAGE(D221:H221))</f>
        <v>241.4</v>
      </c>
      <c r="J221" s="164">
        <f t="shared" ref="J221:J242" si="11">ROUND(AVERAGE(D221,F221:G221),0)</f>
        <v>239</v>
      </c>
      <c r="K221" s="156"/>
      <c r="L221" s="95"/>
      <c r="M221" s="95"/>
      <c r="N221" s="95"/>
      <c r="O221" s="95"/>
    </row>
    <row r="222" spans="1:15" ht="15" customHeight="1">
      <c r="A222" s="95"/>
      <c r="B222" s="115">
        <v>2015</v>
      </c>
      <c r="C222" s="116"/>
      <c r="D222" s="154">
        <f t="array" ref="D222">IF(B22=B222,H22)</f>
        <v>236</v>
      </c>
      <c r="E222" s="154">
        <f t="array" ref="E222">IF(B56=B222,H56)</f>
        <v>236</v>
      </c>
      <c r="F222" s="154">
        <f t="array" ref="F222">IF(B106=B222,H106)</f>
        <v>249</v>
      </c>
      <c r="G222" s="154">
        <f t="array" ref="G222">IF(B148=B222,H148)</f>
        <v>241</v>
      </c>
      <c r="H222" s="154">
        <f t="array" ref="H222">IF(B193=B222,H193)</f>
        <v>260</v>
      </c>
      <c r="I222" s="154">
        <f t="shared" si="10"/>
        <v>244.4</v>
      </c>
      <c r="J222" s="165">
        <f t="shared" si="11"/>
        <v>242</v>
      </c>
      <c r="K222" s="155"/>
      <c r="L222" s="95"/>
      <c r="M222" s="95"/>
      <c r="N222" s="95"/>
      <c r="O222" s="95"/>
    </row>
    <row r="223" spans="1:15" ht="15" customHeight="1">
      <c r="A223" s="95"/>
      <c r="B223" s="112">
        <v>2016</v>
      </c>
      <c r="C223" s="113"/>
      <c r="D223" s="153">
        <f t="array" ref="D223">IF(B23=B223,H23)</f>
        <v>239</v>
      </c>
      <c r="E223" s="153">
        <f t="array" ref="E223">IF(B57=B223,H57)</f>
        <v>239</v>
      </c>
      <c r="F223" s="153">
        <f t="array" ref="F223">IF(B107=B223,H107)</f>
        <v>253</v>
      </c>
      <c r="G223" s="153">
        <f t="array" ref="G223">IF(B149=B223,H149)</f>
        <v>245</v>
      </c>
      <c r="H223" s="153">
        <f t="array" ref="H223">IF(B194=B223,H194)</f>
        <v>264</v>
      </c>
      <c r="I223" s="153">
        <f t="shared" si="10"/>
        <v>248</v>
      </c>
      <c r="J223" s="164">
        <f t="shared" si="11"/>
        <v>246</v>
      </c>
      <c r="K223" s="156"/>
      <c r="L223" s="95"/>
      <c r="M223" s="95"/>
      <c r="N223" s="95"/>
      <c r="O223" s="95"/>
    </row>
    <row r="224" spans="1:15" ht="15" customHeight="1">
      <c r="A224" s="95"/>
      <c r="B224" s="112">
        <v>2017</v>
      </c>
      <c r="C224" s="113"/>
      <c r="D224" s="153">
        <f t="array" ref="D224">IF(B24=B224,H24)</f>
        <v>241</v>
      </c>
      <c r="E224" s="153">
        <f t="array" ref="E224">IF(B58=B224,H58)</f>
        <v>241</v>
      </c>
      <c r="F224" s="153">
        <f t="array" ref="F224">IF(B108=B224,H108)</f>
        <v>257</v>
      </c>
      <c r="G224" s="153">
        <f t="array" ref="G224">IF(B150=B224,H150)</f>
        <v>248</v>
      </c>
      <c r="H224" s="153">
        <f t="array" ref="H224">IF(B195=B224,H195)</f>
        <v>269</v>
      </c>
      <c r="I224" s="153">
        <f t="shared" si="10"/>
        <v>251.2</v>
      </c>
      <c r="J224" s="164">
        <f t="shared" si="11"/>
        <v>249</v>
      </c>
      <c r="K224" s="156"/>
      <c r="L224" s="95"/>
      <c r="M224" s="95"/>
      <c r="N224" s="95"/>
      <c r="O224" s="95"/>
    </row>
    <row r="225" spans="1:15" ht="15" customHeight="1">
      <c r="A225" s="95"/>
      <c r="B225" s="112">
        <v>2018</v>
      </c>
      <c r="C225" s="113"/>
      <c r="D225" s="153">
        <f t="array" ref="D225">IF(B25=B225,H25)</f>
        <v>243</v>
      </c>
      <c r="E225" s="153">
        <f t="array" ref="E225">IF(B59=B225,H59)</f>
        <v>243</v>
      </c>
      <c r="F225" s="153">
        <f t="array" ref="F225">IF(B109=B225,H109)</f>
        <v>262</v>
      </c>
      <c r="G225" s="153">
        <f t="array" ref="G225">IF(B151=B225,H151)</f>
        <v>251</v>
      </c>
      <c r="H225" s="153">
        <f t="array" ref="H225">IF(B196=B225,H196)</f>
        <v>273</v>
      </c>
      <c r="I225" s="153">
        <f t="shared" si="10"/>
        <v>254.4</v>
      </c>
      <c r="J225" s="164">
        <f t="shared" si="11"/>
        <v>252</v>
      </c>
      <c r="K225" s="156"/>
      <c r="L225" s="95"/>
      <c r="M225" s="95"/>
      <c r="N225" s="95"/>
      <c r="O225" s="95"/>
    </row>
    <row r="226" spans="1:15" ht="15" customHeight="1">
      <c r="A226" s="95"/>
      <c r="B226" s="112">
        <v>2019</v>
      </c>
      <c r="C226" s="113"/>
      <c r="D226" s="153">
        <f t="array" ref="D226">IF(B26=B226,H26)</f>
        <v>246</v>
      </c>
      <c r="E226" s="153">
        <f t="array" ref="E226">IF(B60=B226,H60)</f>
        <v>246</v>
      </c>
      <c r="F226" s="153">
        <f t="array" ref="F226">IF(B110=B226,H110)</f>
        <v>266</v>
      </c>
      <c r="G226" s="153">
        <f t="array" ref="G226">IF(B152=B226,H152)</f>
        <v>255</v>
      </c>
      <c r="H226" s="153">
        <f t="array" ref="H226">IF(B197=B226,H197)</f>
        <v>277</v>
      </c>
      <c r="I226" s="153">
        <f t="shared" si="10"/>
        <v>258</v>
      </c>
      <c r="J226" s="164">
        <f t="shared" si="11"/>
        <v>256</v>
      </c>
      <c r="K226" s="156"/>
      <c r="L226" s="95"/>
      <c r="M226" s="95"/>
      <c r="N226" s="95"/>
      <c r="O226" s="95"/>
    </row>
    <row r="227" spans="1:15" ht="15" customHeight="1">
      <c r="A227" s="95"/>
      <c r="B227" s="115">
        <v>2020</v>
      </c>
      <c r="C227" s="116"/>
      <c r="D227" s="154">
        <f t="array" ref="D227">IF(B27=B227,H27)</f>
        <v>248</v>
      </c>
      <c r="E227" s="154">
        <f t="array" ref="E227">IF(B61=B227,H61)</f>
        <v>248</v>
      </c>
      <c r="F227" s="154">
        <f t="array" ref="F227">IF(B111=B227,H111)</f>
        <v>270</v>
      </c>
      <c r="G227" s="154">
        <f t="array" ref="G227">IF(B153=B227,H153)</f>
        <v>258</v>
      </c>
      <c r="H227" s="154">
        <f t="array" ref="H227">IF(B198=B227,H198)</f>
        <v>282</v>
      </c>
      <c r="I227" s="154">
        <f t="shared" si="10"/>
        <v>261.2</v>
      </c>
      <c r="J227" s="165">
        <f t="shared" si="11"/>
        <v>259</v>
      </c>
      <c r="K227" s="155"/>
      <c r="L227" s="95"/>
      <c r="M227" s="95"/>
      <c r="N227" s="95"/>
      <c r="O227" s="95"/>
    </row>
    <row r="228" spans="1:15" ht="15" customHeight="1">
      <c r="A228" s="95"/>
      <c r="B228" s="112">
        <v>2021</v>
      </c>
      <c r="C228" s="113"/>
      <c r="D228" s="153">
        <f t="array" ref="D228">IF(B28=B228,H28)</f>
        <v>250</v>
      </c>
      <c r="E228" s="153">
        <f t="array" ref="E228">IF(B62=B228,H62)</f>
        <v>251</v>
      </c>
      <c r="F228" s="153">
        <f t="array" ref="F228">IF(B112=B228,H112)</f>
        <v>274</v>
      </c>
      <c r="G228" s="153">
        <f t="array" ref="G228">IF(B154=B228,H154)</f>
        <v>262</v>
      </c>
      <c r="H228" s="153">
        <f t="array" ref="H228">IF(B199=B228,H199)</f>
        <v>286</v>
      </c>
      <c r="I228" s="153">
        <f t="shared" si="10"/>
        <v>264.60000000000002</v>
      </c>
      <c r="J228" s="164">
        <f t="shared" si="11"/>
        <v>262</v>
      </c>
      <c r="K228" s="156"/>
      <c r="L228" s="95"/>
      <c r="M228" s="95"/>
      <c r="N228" s="95"/>
      <c r="O228" s="95"/>
    </row>
    <row r="229" spans="1:15" ht="15" customHeight="1">
      <c r="A229" s="95"/>
      <c r="B229" s="112">
        <v>2022</v>
      </c>
      <c r="C229" s="113"/>
      <c r="D229" s="153">
        <f t="array" ref="D229">IF(B29=B229,H29)</f>
        <v>252</v>
      </c>
      <c r="E229" s="153">
        <f t="array" ref="E229">IF(B63=B229,H63)</f>
        <v>253</v>
      </c>
      <c r="F229" s="153">
        <f t="array" ref="F229">IF(B113=B229,H113)</f>
        <v>278</v>
      </c>
      <c r="G229" s="153">
        <f t="array" ref="G229">IF(B155=B229,H155)</f>
        <v>265</v>
      </c>
      <c r="H229" s="153">
        <f t="array" ref="H229">IF(B200=B229,H200)</f>
        <v>291</v>
      </c>
      <c r="I229" s="153">
        <f t="shared" si="10"/>
        <v>267.8</v>
      </c>
      <c r="J229" s="164">
        <f t="shared" si="11"/>
        <v>265</v>
      </c>
      <c r="K229" s="156"/>
      <c r="L229" s="95"/>
      <c r="M229" s="95"/>
      <c r="N229" s="95"/>
      <c r="O229" s="95"/>
    </row>
    <row r="230" spans="1:15" ht="15" customHeight="1">
      <c r="A230" s="95"/>
      <c r="B230" s="112">
        <v>2023</v>
      </c>
      <c r="C230" s="113"/>
      <c r="D230" s="153">
        <f t="array" ref="D230">IF(B30=B230,H30)</f>
        <v>255</v>
      </c>
      <c r="E230" s="153">
        <f t="array" ref="E230">IF(B64=B230,H64)</f>
        <v>256</v>
      </c>
      <c r="F230" s="153">
        <f t="array" ref="F230">IF(B114=B230,H114)</f>
        <v>283</v>
      </c>
      <c r="G230" s="153">
        <f t="array" ref="G230">IF(B156=B230,H156)</f>
        <v>269</v>
      </c>
      <c r="H230" s="153">
        <f t="array" ref="H230">IF(B201=B230,H201)</f>
        <v>295</v>
      </c>
      <c r="I230" s="153">
        <f t="shared" si="10"/>
        <v>271.60000000000002</v>
      </c>
      <c r="J230" s="164">
        <f t="shared" si="11"/>
        <v>269</v>
      </c>
      <c r="K230" s="156"/>
      <c r="L230" s="95"/>
      <c r="M230" s="95"/>
      <c r="N230" s="95"/>
      <c r="O230" s="95"/>
    </row>
    <row r="231" spans="1:15" ht="15" customHeight="1">
      <c r="A231" s="95"/>
      <c r="B231" s="112">
        <v>2024</v>
      </c>
      <c r="C231" s="113"/>
      <c r="D231" s="153">
        <f t="array" ref="D231">IF(B31=B231,H31)</f>
        <v>257</v>
      </c>
      <c r="E231" s="153">
        <f t="array" ref="E231">IF(B65=B231,H65)</f>
        <v>258</v>
      </c>
      <c r="F231" s="153">
        <f t="array" ref="F231">IF(B115=B231,H115)</f>
        <v>287</v>
      </c>
      <c r="G231" s="153">
        <f t="array" ref="G231">IF(B157=B231,H157)</f>
        <v>272</v>
      </c>
      <c r="H231" s="153">
        <f t="array" ref="H231">IF(B202=B231,H202)</f>
        <v>299</v>
      </c>
      <c r="I231" s="153">
        <f t="shared" si="10"/>
        <v>274.60000000000002</v>
      </c>
      <c r="J231" s="164">
        <f t="shared" si="11"/>
        <v>272</v>
      </c>
      <c r="K231" s="156"/>
      <c r="L231" s="95"/>
      <c r="M231" s="95"/>
      <c r="N231" s="95"/>
      <c r="O231" s="95"/>
    </row>
    <row r="232" spans="1:15" ht="15" customHeight="1">
      <c r="A232" s="95"/>
      <c r="B232" s="115">
        <v>2025</v>
      </c>
      <c r="C232" s="116"/>
      <c r="D232" s="154">
        <f t="array" ref="D232">IF(B32=B232,H32)</f>
        <v>259</v>
      </c>
      <c r="E232" s="154">
        <f t="array" ref="E232">IF(B66=B232,H66)</f>
        <v>261</v>
      </c>
      <c r="F232" s="154">
        <f t="array" ref="F232">IF(B116=B232,H116)</f>
        <v>291</v>
      </c>
      <c r="G232" s="154">
        <f t="array" ref="G232">IF(B158=B232,H158)</f>
        <v>276</v>
      </c>
      <c r="H232" s="154">
        <f t="array" ref="H232">IF(B203=B232,H203)</f>
        <v>304</v>
      </c>
      <c r="I232" s="154">
        <f t="shared" si="10"/>
        <v>278.2</v>
      </c>
      <c r="J232" s="165">
        <f t="shared" si="11"/>
        <v>275</v>
      </c>
      <c r="K232" s="155"/>
      <c r="L232" s="95"/>
      <c r="M232" s="95"/>
      <c r="N232" s="95"/>
      <c r="O232" s="95"/>
    </row>
    <row r="233" spans="1:15" ht="15" customHeight="1">
      <c r="A233" s="95"/>
      <c r="B233" s="112">
        <v>2026</v>
      </c>
      <c r="C233" s="113"/>
      <c r="D233" s="153">
        <f t="array" ref="D233">IF(B33=B233,H33)</f>
        <v>262</v>
      </c>
      <c r="E233" s="153">
        <f t="array" ref="E233">IF(B67=B233,H67)</f>
        <v>263</v>
      </c>
      <c r="F233" s="153">
        <f t="array" ref="F233">IF(B117=B233,H117)</f>
        <v>295</v>
      </c>
      <c r="G233" s="153">
        <f t="array" ref="G233">IF(B159=B233,H159)</f>
        <v>279</v>
      </c>
      <c r="H233" s="153">
        <f t="array" ref="H233">IF(B204=B233,H204)</f>
        <v>308</v>
      </c>
      <c r="I233" s="153">
        <f t="shared" si="10"/>
        <v>281.39999999999998</v>
      </c>
      <c r="J233" s="164">
        <f t="shared" si="11"/>
        <v>279</v>
      </c>
      <c r="K233" s="156"/>
      <c r="L233" s="95"/>
      <c r="M233" s="95"/>
      <c r="N233" s="95"/>
      <c r="O233" s="95"/>
    </row>
    <row r="234" spans="1:15" ht="15" customHeight="1">
      <c r="A234" s="95"/>
      <c r="B234" s="112">
        <v>2027</v>
      </c>
      <c r="C234" s="113"/>
      <c r="D234" s="153">
        <f t="array" ref="D234">IF(B34=B234,H34)</f>
        <v>264</v>
      </c>
      <c r="E234" s="153">
        <f t="array" ref="E234">IF(B68=B234,H68)</f>
        <v>266</v>
      </c>
      <c r="F234" s="153">
        <f t="array" ref="F234">IF(B118=B234,H118)</f>
        <v>299</v>
      </c>
      <c r="G234" s="153">
        <f t="array" ref="G234">IF(B160=B234,H160)</f>
        <v>283</v>
      </c>
      <c r="H234" s="153">
        <f t="array" ref="H234">IF(B205=B234,H205)</f>
        <v>313</v>
      </c>
      <c r="I234" s="153">
        <f t="shared" si="10"/>
        <v>285</v>
      </c>
      <c r="J234" s="164">
        <f t="shared" si="11"/>
        <v>282</v>
      </c>
      <c r="K234" s="156"/>
      <c r="L234" s="95"/>
      <c r="M234" s="95"/>
      <c r="N234" s="95"/>
      <c r="O234" s="95"/>
    </row>
    <row r="235" spans="1:15" ht="15" customHeight="1">
      <c r="A235" s="95"/>
      <c r="B235" s="112">
        <v>2028</v>
      </c>
      <c r="C235" s="113"/>
      <c r="D235" s="153">
        <f t="array" ref="D235">IF(B35=B235,H35)</f>
        <v>266</v>
      </c>
      <c r="E235" s="153">
        <f t="array" ref="E235">IF(B69=B235,H69)</f>
        <v>268</v>
      </c>
      <c r="F235" s="153">
        <f t="array" ref="F235">IF(B119=B235,H119)</f>
        <v>304</v>
      </c>
      <c r="G235" s="153">
        <f t="array" ref="G235">IF(B161=B235,H161)</f>
        <v>286</v>
      </c>
      <c r="H235" s="153">
        <f t="array" ref="H235">IF(B206=B235,H206)</f>
        <v>317</v>
      </c>
      <c r="I235" s="153">
        <f t="shared" si="10"/>
        <v>288.2</v>
      </c>
      <c r="J235" s="164">
        <f t="shared" si="11"/>
        <v>285</v>
      </c>
      <c r="K235" s="156"/>
      <c r="L235" s="95"/>
      <c r="M235" s="95"/>
      <c r="N235" s="95"/>
      <c r="O235" s="95"/>
    </row>
    <row r="236" spans="1:15" ht="15" customHeight="1">
      <c r="A236" s="95"/>
      <c r="B236" s="112">
        <v>2029</v>
      </c>
      <c r="C236" s="113"/>
      <c r="D236" s="153">
        <f t="array" ref="D236">IF(B36=B236,H36)</f>
        <v>269</v>
      </c>
      <c r="E236" s="153">
        <f t="array" ref="E236">IF(B70=B236,H70)</f>
        <v>271</v>
      </c>
      <c r="F236" s="153">
        <f t="array" ref="F236">IF(B120=B236,H120)</f>
        <v>308</v>
      </c>
      <c r="G236" s="153">
        <f t="array" ref="G236">IF(B162=B236,H162)</f>
        <v>290</v>
      </c>
      <c r="H236" s="153">
        <f t="array" ref="H236">IF(B207=B236,H207)</f>
        <v>321</v>
      </c>
      <c r="I236" s="153">
        <f t="shared" si="10"/>
        <v>291.8</v>
      </c>
      <c r="J236" s="164">
        <f t="shared" si="11"/>
        <v>289</v>
      </c>
      <c r="K236" s="156"/>
      <c r="L236" s="95"/>
      <c r="M236" s="95"/>
      <c r="N236" s="95"/>
      <c r="O236" s="95"/>
    </row>
    <row r="237" spans="1:15" ht="15" customHeight="1">
      <c r="A237" s="95"/>
      <c r="B237" s="115">
        <v>2030</v>
      </c>
      <c r="C237" s="116"/>
      <c r="D237" s="154">
        <f t="array" ref="D237">IF(B37=B237,H37)</f>
        <v>271</v>
      </c>
      <c r="E237" s="154">
        <f t="array" ref="E237">IF(B71=B237,H71)</f>
        <v>274</v>
      </c>
      <c r="F237" s="154">
        <f t="array" ref="F237">IF(B121=B237,H121)</f>
        <v>312</v>
      </c>
      <c r="G237" s="154">
        <f t="array" ref="G237">IF(B163=B237,H163)</f>
        <v>294</v>
      </c>
      <c r="H237" s="154">
        <f t="array" ref="H237">IF(B208=B237,H208)</f>
        <v>326</v>
      </c>
      <c r="I237" s="154">
        <f t="shared" si="10"/>
        <v>295.39999999999998</v>
      </c>
      <c r="J237" s="165">
        <f t="shared" si="11"/>
        <v>292</v>
      </c>
      <c r="K237" s="155"/>
      <c r="L237" s="95"/>
      <c r="M237" s="95"/>
      <c r="N237" s="95"/>
      <c r="O237" s="95"/>
    </row>
    <row r="238" spans="1:15" ht="15" customHeight="1">
      <c r="A238" s="95"/>
      <c r="B238" s="112">
        <v>2031</v>
      </c>
      <c r="C238" s="113"/>
      <c r="D238" s="153">
        <f t="array" ref="D238">IF(B38=B238,H38)</f>
        <v>273</v>
      </c>
      <c r="E238" s="153">
        <f t="array" ref="E238">IF(B72=B238,H72)</f>
        <v>276</v>
      </c>
      <c r="F238" s="153">
        <f t="array" ref="F238">IF(B122=B238,H122)</f>
        <v>316</v>
      </c>
      <c r="G238" s="153">
        <f t="array" ref="G238">IF(B164=B238,H164)</f>
        <v>297</v>
      </c>
      <c r="H238" s="153">
        <f t="array" ref="H238">IF(B209=B238,H209)</f>
        <v>330</v>
      </c>
      <c r="I238" s="153">
        <f t="shared" si="10"/>
        <v>298.39999999999998</v>
      </c>
      <c r="J238" s="164">
        <f t="shared" si="11"/>
        <v>295</v>
      </c>
      <c r="K238" s="156"/>
      <c r="L238" s="95"/>
      <c r="M238" s="95"/>
      <c r="N238" s="95"/>
      <c r="O238" s="95"/>
    </row>
    <row r="239" spans="1:15" ht="15" customHeight="1">
      <c r="A239" s="95"/>
      <c r="B239" s="112">
        <v>2032</v>
      </c>
      <c r="C239" s="113"/>
      <c r="D239" s="153">
        <f t="array" ref="D239">IF(B39=B239,H39)</f>
        <v>275</v>
      </c>
      <c r="E239" s="153">
        <f t="array" ref="E239">IF(B73=B239,H73)</f>
        <v>279</v>
      </c>
      <c r="F239" s="153">
        <f t="array" ref="F239">IF(B123=B239,H123)</f>
        <v>320</v>
      </c>
      <c r="G239" s="153">
        <f t="array" ref="G239">IF(B165=B239,H165)</f>
        <v>301</v>
      </c>
      <c r="H239" s="153">
        <f t="array" ref="H239">IF(B210=B239,H210)</f>
        <v>334</v>
      </c>
      <c r="I239" s="153">
        <f t="shared" si="10"/>
        <v>301.8</v>
      </c>
      <c r="J239" s="164">
        <f t="shared" si="11"/>
        <v>299</v>
      </c>
      <c r="K239" s="156"/>
      <c r="L239" s="95"/>
      <c r="M239" s="95"/>
      <c r="N239" s="95"/>
      <c r="O239" s="95"/>
    </row>
    <row r="240" spans="1:15" ht="15" customHeight="1">
      <c r="A240" s="95"/>
      <c r="B240" s="112">
        <v>2033</v>
      </c>
      <c r="C240" s="113"/>
      <c r="D240" s="153">
        <f t="array" ref="D240">IF(B40=B240,H40)</f>
        <v>278</v>
      </c>
      <c r="E240" s="153">
        <f t="array" ref="E240">IF(B74=B240,H74)</f>
        <v>282</v>
      </c>
      <c r="F240" s="153">
        <f t="array" ref="F240">IF(B124=B240,H124)</f>
        <v>325</v>
      </c>
      <c r="G240" s="153">
        <f t="array" ref="G240">IF(B166=B240,H166)</f>
        <v>305</v>
      </c>
      <c r="H240" s="153">
        <f t="array" ref="H240">IF(B211=B240,H211)</f>
        <v>339</v>
      </c>
      <c r="I240" s="153">
        <f t="shared" si="10"/>
        <v>305.8</v>
      </c>
      <c r="J240" s="164">
        <f t="shared" si="11"/>
        <v>303</v>
      </c>
      <c r="K240" s="156"/>
      <c r="L240" s="95"/>
      <c r="M240" s="95"/>
      <c r="N240" s="95"/>
      <c r="O240" s="95"/>
    </row>
    <row r="241" spans="1:15" ht="15" customHeight="1">
      <c r="A241" s="95"/>
      <c r="B241" s="112">
        <v>2034</v>
      </c>
      <c r="C241" s="113"/>
      <c r="D241" s="153">
        <f t="array" ref="D241">IF(B41=B241,H41)</f>
        <v>280</v>
      </c>
      <c r="E241" s="153">
        <f t="array" ref="E241">IF(B75=B241,H75)</f>
        <v>285</v>
      </c>
      <c r="F241" s="153">
        <f t="array" ref="F241">IF(B125=B241,H125)</f>
        <v>329</v>
      </c>
      <c r="G241" s="153">
        <f t="array" ref="G241">IF(B167=B241,H167)</f>
        <v>308</v>
      </c>
      <c r="H241" s="153">
        <f t="array" ref="H241">IF(B212=B241,H212)</f>
        <v>343</v>
      </c>
      <c r="I241" s="153">
        <f t="shared" si="10"/>
        <v>309</v>
      </c>
      <c r="J241" s="164">
        <f t="shared" si="11"/>
        <v>306</v>
      </c>
      <c r="K241" s="156"/>
      <c r="L241" s="95"/>
      <c r="M241" s="95"/>
      <c r="N241" s="95"/>
      <c r="O241" s="95"/>
    </row>
    <row r="242" spans="1:15" ht="15" customHeight="1" thickBot="1">
      <c r="A242" s="95"/>
      <c r="B242" s="115">
        <v>2035</v>
      </c>
      <c r="C242" s="116"/>
      <c r="D242" s="154">
        <f t="array" ref="D242">IF(B42=B242,H42)</f>
        <v>282</v>
      </c>
      <c r="E242" s="154">
        <f t="array" ref="E242">IF(B76=B242,H76)</f>
        <v>287</v>
      </c>
      <c r="F242" s="154">
        <f t="array" ref="F242">IF(B126=B242,H126)</f>
        <v>333</v>
      </c>
      <c r="G242" s="154">
        <f t="array" ref="G242">IF(B168=B242,H168)</f>
        <v>312</v>
      </c>
      <c r="H242" s="154">
        <f t="array" ref="H242">IF(B213=B242,H213)</f>
        <v>347</v>
      </c>
      <c r="I242" s="154">
        <f t="shared" si="10"/>
        <v>312.2</v>
      </c>
      <c r="J242" s="165">
        <f t="shared" si="11"/>
        <v>309</v>
      </c>
      <c r="K242" s="155"/>
      <c r="L242" s="95"/>
      <c r="M242" s="95"/>
      <c r="N242" s="95"/>
      <c r="O242" s="95"/>
    </row>
    <row r="243" spans="1:15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196" t="s">
        <v>1775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204">
        <v>2005</v>
      </c>
      <c r="C7" s="96"/>
      <c r="D7" s="97">
        <f>+상수도사용원단위!D4</f>
        <v>162</v>
      </c>
      <c r="E7" s="97"/>
      <c r="F7" s="98">
        <f>D7-D7</f>
        <v>0</v>
      </c>
      <c r="G7" s="98"/>
      <c r="H7" s="99">
        <f>F7</f>
        <v>0</v>
      </c>
      <c r="I7" s="100"/>
      <c r="J7" s="101" t="s">
        <v>145</v>
      </c>
      <c r="K7" s="101">
        <v>600</v>
      </c>
      <c r="L7" s="95"/>
      <c r="M7" s="95"/>
      <c r="N7" s="95"/>
      <c r="O7" s="95"/>
    </row>
    <row r="8" spans="1:15" ht="15" customHeight="1">
      <c r="A8" s="95"/>
      <c r="B8" s="204">
        <f>+B7+1</f>
        <v>2006</v>
      </c>
      <c r="C8" s="96"/>
      <c r="D8" s="205">
        <f>+상수도사용원단위!D5</f>
        <v>167</v>
      </c>
      <c r="E8" s="97"/>
      <c r="F8" s="98">
        <f t="shared" ref="F8:F16" si="0">D8-D7</f>
        <v>5</v>
      </c>
      <c r="G8" s="98"/>
      <c r="H8" s="99">
        <f t="shared" ref="H8:H16" si="1">ROUND(F8/D7*100,2)</f>
        <v>3.09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204">
        <f t="shared" ref="B9:B16" si="2">+B8+1</f>
        <v>2007</v>
      </c>
      <c r="C9" s="96"/>
      <c r="D9" s="205">
        <f>+상수도사용원단위!D6</f>
        <v>219</v>
      </c>
      <c r="E9" s="97"/>
      <c r="F9" s="98">
        <f t="shared" si="0"/>
        <v>52</v>
      </c>
      <c r="G9" s="98"/>
      <c r="H9" s="99">
        <f t="shared" si="1"/>
        <v>31.14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204">
        <f t="shared" si="2"/>
        <v>2008</v>
      </c>
      <c r="C10" s="96"/>
      <c r="D10" s="205">
        <f>+상수도사용원단위!D7</f>
        <v>195</v>
      </c>
      <c r="E10" s="97"/>
      <c r="F10" s="98">
        <f t="shared" si="0"/>
        <v>-24</v>
      </c>
      <c r="G10" s="98"/>
      <c r="H10" s="99">
        <f t="shared" si="1"/>
        <v>-10.96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204">
        <f t="shared" si="2"/>
        <v>2009</v>
      </c>
      <c r="C11" s="96"/>
      <c r="D11" s="205">
        <f>+상수도사용원단위!D8</f>
        <v>235</v>
      </c>
      <c r="E11" s="97"/>
      <c r="F11" s="98">
        <f t="shared" si="0"/>
        <v>40</v>
      </c>
      <c r="G11" s="98"/>
      <c r="H11" s="99">
        <f t="shared" si="1"/>
        <v>20.51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>
      <c r="A12" s="95"/>
      <c r="B12" s="204">
        <f t="shared" si="2"/>
        <v>2010</v>
      </c>
      <c r="C12" s="96"/>
      <c r="D12" s="205">
        <f>+상수도사용원단위!D9</f>
        <v>233</v>
      </c>
      <c r="E12" s="97"/>
      <c r="F12" s="98">
        <f t="shared" si="0"/>
        <v>-2</v>
      </c>
      <c r="G12" s="98"/>
      <c r="H12" s="99">
        <f t="shared" si="1"/>
        <v>-0.85</v>
      </c>
      <c r="I12" s="100"/>
      <c r="J12" s="102">
        <v>0</v>
      </c>
      <c r="K12" s="102"/>
      <c r="L12" s="95"/>
      <c r="M12" s="95"/>
      <c r="N12" s="95"/>
      <c r="O12" s="95"/>
    </row>
    <row r="13" spans="1:15" ht="15" customHeight="1">
      <c r="A13" s="95"/>
      <c r="B13" s="204">
        <f t="shared" si="2"/>
        <v>2011</v>
      </c>
      <c r="C13" s="96"/>
      <c r="D13" s="205">
        <f>+상수도사용원단위!D10</f>
        <v>230</v>
      </c>
      <c r="E13" s="97"/>
      <c r="F13" s="98">
        <f t="shared" si="0"/>
        <v>-3</v>
      </c>
      <c r="G13" s="98"/>
      <c r="H13" s="99">
        <f t="shared" si="1"/>
        <v>-1.29</v>
      </c>
      <c r="I13" s="100"/>
      <c r="J13" s="102">
        <v>0</v>
      </c>
      <c r="K13" s="102"/>
      <c r="L13" s="95"/>
      <c r="M13" s="95"/>
      <c r="N13" s="95"/>
      <c r="O13" s="95"/>
    </row>
    <row r="14" spans="1:15" ht="15" customHeight="1">
      <c r="A14" s="95"/>
      <c r="B14" s="204">
        <f t="shared" si="2"/>
        <v>2012</v>
      </c>
      <c r="C14" s="96"/>
      <c r="D14" s="205">
        <f>+상수도사용원단위!D11</f>
        <v>214</v>
      </c>
      <c r="E14" s="97"/>
      <c r="F14" s="98">
        <f t="shared" si="0"/>
        <v>-16</v>
      </c>
      <c r="G14" s="98"/>
      <c r="H14" s="99">
        <f t="shared" si="1"/>
        <v>-6.96</v>
      </c>
      <c r="I14" s="100"/>
      <c r="J14" s="102">
        <v>0</v>
      </c>
      <c r="K14" s="102"/>
      <c r="L14" s="95"/>
      <c r="M14" s="95"/>
      <c r="N14" s="95"/>
      <c r="O14" s="95"/>
    </row>
    <row r="15" spans="1:15" ht="15" customHeight="1">
      <c r="A15" s="95"/>
      <c r="B15" s="204">
        <f t="shared" si="2"/>
        <v>2013</v>
      </c>
      <c r="C15" s="96"/>
      <c r="D15" s="205">
        <f>+상수도사용원단위!D12</f>
        <v>226</v>
      </c>
      <c r="E15" s="97"/>
      <c r="F15" s="98">
        <f t="shared" si="0"/>
        <v>12</v>
      </c>
      <c r="G15" s="98"/>
      <c r="H15" s="99">
        <f t="shared" si="1"/>
        <v>5.61</v>
      </c>
      <c r="I15" s="100"/>
      <c r="J15" s="102">
        <v>0</v>
      </c>
      <c r="K15" s="102"/>
      <c r="L15" s="95"/>
      <c r="M15" s="95"/>
      <c r="N15" s="95"/>
      <c r="O15" s="95"/>
    </row>
    <row r="16" spans="1:15" ht="15" customHeight="1">
      <c r="A16" s="95"/>
      <c r="B16" s="204">
        <f t="shared" si="2"/>
        <v>2014</v>
      </c>
      <c r="C16" s="96"/>
      <c r="D16" s="205">
        <f>+상수도사용원단위!D13</f>
        <v>223</v>
      </c>
      <c r="E16" s="97"/>
      <c r="F16" s="98">
        <f t="shared" si="0"/>
        <v>-3</v>
      </c>
      <c r="G16" s="98"/>
      <c r="H16" s="99">
        <f t="shared" si="1"/>
        <v>-1.33</v>
      </c>
      <c r="I16" s="100"/>
      <c r="J16" s="102">
        <v>0</v>
      </c>
      <c r="K16" s="102"/>
      <c r="L16" s="95"/>
      <c r="M16" s="95"/>
      <c r="N16" s="95"/>
      <c r="O16" s="95"/>
    </row>
    <row r="17" spans="1:15" ht="15" customHeight="1" thickBot="1">
      <c r="A17" s="95"/>
      <c r="B17" s="103" t="s">
        <v>146</v>
      </c>
      <c r="C17" s="104"/>
      <c r="D17" s="105">
        <f>SUM(D7:D16)</f>
        <v>2104</v>
      </c>
      <c r="E17" s="106"/>
      <c r="F17" s="107"/>
      <c r="G17" s="107"/>
      <c r="H17" s="108">
        <f>SUM(H7:H16)</f>
        <v>38.96</v>
      </c>
      <c r="I17" s="108"/>
      <c r="J17" s="109">
        <f>ROUND(AVERAGE(H8:H16),1)</f>
        <v>4.3</v>
      </c>
      <c r="K17" s="109"/>
      <c r="L17" s="95"/>
      <c r="M17" s="95"/>
      <c r="N17" s="95"/>
      <c r="O17" s="95"/>
    </row>
    <row r="18" spans="1:15" ht="1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>
      <c r="A19" s="95"/>
      <c r="B19" s="110" t="s">
        <v>147</v>
      </c>
      <c r="C19" s="111"/>
      <c r="D19" s="111"/>
      <c r="E19" s="111"/>
      <c r="F19" s="111"/>
      <c r="G19" s="95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5"/>
      <c r="C20" s="111" t="s">
        <v>148</v>
      </c>
      <c r="D20" s="111" t="s">
        <v>149</v>
      </c>
      <c r="E20" s="111"/>
      <c r="F20" s="111"/>
      <c r="G20" s="95"/>
      <c r="H20" s="95"/>
      <c r="I20" s="95"/>
      <c r="J20" s="95"/>
      <c r="K20" s="95"/>
      <c r="L20" s="95"/>
      <c r="M20" s="95"/>
      <c r="N20" s="95"/>
      <c r="O20" s="95"/>
    </row>
    <row r="21" spans="1:15" ht="15" customHeight="1">
      <c r="A21" s="95"/>
      <c r="B21" s="93"/>
      <c r="C21" s="93" t="s">
        <v>150</v>
      </c>
      <c r="D21" s="111" t="s">
        <v>151</v>
      </c>
      <c r="E21" s="93"/>
      <c r="F21" s="93"/>
      <c r="G21" s="95"/>
      <c r="H21" s="95"/>
      <c r="I21" s="95"/>
      <c r="J21" s="95"/>
      <c r="K21" s="95"/>
      <c r="L21" s="95"/>
      <c r="M21" s="95"/>
      <c r="N21" s="95"/>
      <c r="O21" s="95"/>
    </row>
    <row r="22" spans="1:15" ht="15" customHeight="1">
      <c r="A22" s="95"/>
      <c r="B22" s="111"/>
      <c r="C22" s="111"/>
      <c r="D22" s="111" t="s">
        <v>152</v>
      </c>
      <c r="E22" s="111"/>
      <c r="F22" s="111"/>
      <c r="G22" s="95"/>
      <c r="H22" s="95"/>
      <c r="I22" s="95"/>
      <c r="J22" s="95"/>
      <c r="K22" s="95"/>
      <c r="L22" s="95"/>
      <c r="M22" s="95"/>
      <c r="N22" s="95"/>
      <c r="O22" s="95"/>
    </row>
    <row r="23" spans="1:15" ht="15" customHeight="1">
      <c r="A23" s="95"/>
      <c r="B23" s="111"/>
      <c r="C23" s="111"/>
      <c r="D23" s="111" t="s">
        <v>153</v>
      </c>
      <c r="E23" s="111"/>
      <c r="F23" s="111"/>
      <c r="G23" s="95"/>
      <c r="H23" s="95"/>
      <c r="I23" s="95"/>
      <c r="J23" s="95"/>
      <c r="K23" s="95"/>
      <c r="L23" s="95"/>
      <c r="M23" s="95"/>
      <c r="N23" s="95"/>
      <c r="O23" s="95"/>
    </row>
    <row r="24" spans="1:15" ht="15" customHeight="1" thickBot="1">
      <c r="A24" s="95"/>
      <c r="B24" s="95"/>
      <c r="C24" s="95"/>
      <c r="D24" s="95"/>
      <c r="E24" s="95"/>
      <c r="F24" s="100" t="s">
        <v>154</v>
      </c>
      <c r="G24" s="100"/>
      <c r="H24" s="95"/>
      <c r="I24" s="95"/>
      <c r="J24" s="95"/>
      <c r="K24" s="95"/>
      <c r="L24" s="95"/>
      <c r="M24" s="95"/>
      <c r="N24" s="95"/>
      <c r="O24" s="95"/>
    </row>
    <row r="25" spans="1:15" ht="15" customHeight="1">
      <c r="A25" s="95"/>
      <c r="B25" s="94" t="s">
        <v>155</v>
      </c>
      <c r="C25" s="94"/>
      <c r="D25" s="94" t="s">
        <v>156</v>
      </c>
      <c r="E25" s="94"/>
      <c r="F25" s="94" t="s">
        <v>157</v>
      </c>
      <c r="G25" s="94"/>
      <c r="H25" s="94" t="s">
        <v>158</v>
      </c>
      <c r="I25" s="94"/>
      <c r="J25" s="94" t="s">
        <v>53</v>
      </c>
      <c r="K25" s="94"/>
      <c r="L25" s="95"/>
      <c r="M25" s="95"/>
      <c r="N25" s="95"/>
      <c r="O25" s="95"/>
    </row>
    <row r="26" spans="1:15" ht="15" customHeight="1">
      <c r="A26" s="95"/>
      <c r="B26" s="112">
        <v>2014</v>
      </c>
      <c r="C26" s="113"/>
      <c r="D26" s="113">
        <f t="shared" ref="D26:D47" si="3">ROUND(E$48+H$48*(B26-$C$4),0)</f>
        <v>223</v>
      </c>
      <c r="E26" s="113"/>
      <c r="F26" s="113">
        <v>0</v>
      </c>
      <c r="G26" s="113"/>
      <c r="H26" s="113">
        <f t="shared" ref="H26:H47" si="4">ROUND(D26*(1+F26),0)</f>
        <v>223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2015</v>
      </c>
      <c r="C27" s="116"/>
      <c r="D27" s="116">
        <f t="shared" si="3"/>
        <v>230</v>
      </c>
      <c r="E27" s="116"/>
      <c r="F27" s="116">
        <v>0</v>
      </c>
      <c r="G27" s="116"/>
      <c r="H27" s="116">
        <f t="shared" si="4"/>
        <v>230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2016</v>
      </c>
      <c r="C28" s="113"/>
      <c r="D28" s="113">
        <f t="shared" si="3"/>
        <v>237</v>
      </c>
      <c r="E28" s="113"/>
      <c r="F28" s="113">
        <v>0</v>
      </c>
      <c r="G28" s="113"/>
      <c r="H28" s="113">
        <f t="shared" si="4"/>
        <v>237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2017</v>
      </c>
      <c r="C29" s="113"/>
      <c r="D29" s="113">
        <f t="shared" si="3"/>
        <v>243</v>
      </c>
      <c r="E29" s="113"/>
      <c r="F29" s="113">
        <v>0</v>
      </c>
      <c r="G29" s="113"/>
      <c r="H29" s="113">
        <f t="shared" si="4"/>
        <v>243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2018</v>
      </c>
      <c r="C30" s="113"/>
      <c r="D30" s="113">
        <f t="shared" si="3"/>
        <v>250</v>
      </c>
      <c r="E30" s="113"/>
      <c r="F30" s="113">
        <v>0</v>
      </c>
      <c r="G30" s="113"/>
      <c r="H30" s="113">
        <f t="shared" si="4"/>
        <v>250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2019</v>
      </c>
      <c r="C31" s="113"/>
      <c r="D31" s="113">
        <f t="shared" si="3"/>
        <v>257</v>
      </c>
      <c r="E31" s="113"/>
      <c r="F31" s="113">
        <v>0</v>
      </c>
      <c r="G31" s="113"/>
      <c r="H31" s="113">
        <f t="shared" si="4"/>
        <v>257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2020</v>
      </c>
      <c r="C32" s="116"/>
      <c r="D32" s="116">
        <f t="shared" si="3"/>
        <v>264</v>
      </c>
      <c r="E32" s="116"/>
      <c r="F32" s="116">
        <v>0</v>
      </c>
      <c r="G32" s="116"/>
      <c r="H32" s="116">
        <f t="shared" si="4"/>
        <v>264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2021</v>
      </c>
      <c r="C33" s="113"/>
      <c r="D33" s="113">
        <f t="shared" si="3"/>
        <v>271</v>
      </c>
      <c r="E33" s="113"/>
      <c r="F33" s="113">
        <v>0</v>
      </c>
      <c r="G33" s="113"/>
      <c r="H33" s="113">
        <f t="shared" si="4"/>
        <v>271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2022</v>
      </c>
      <c r="C34" s="113"/>
      <c r="D34" s="113">
        <f t="shared" si="3"/>
        <v>277</v>
      </c>
      <c r="E34" s="113"/>
      <c r="F34" s="113">
        <v>0</v>
      </c>
      <c r="G34" s="113"/>
      <c r="H34" s="113">
        <f t="shared" si="4"/>
        <v>277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2023</v>
      </c>
      <c r="C35" s="113"/>
      <c r="D35" s="113">
        <f t="shared" si="3"/>
        <v>284</v>
      </c>
      <c r="E35" s="113"/>
      <c r="F35" s="113">
        <v>0</v>
      </c>
      <c r="G35" s="113"/>
      <c r="H35" s="113">
        <f t="shared" si="4"/>
        <v>284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2024</v>
      </c>
      <c r="C36" s="113"/>
      <c r="D36" s="113">
        <f t="shared" si="3"/>
        <v>291</v>
      </c>
      <c r="E36" s="113"/>
      <c r="F36" s="113">
        <v>0</v>
      </c>
      <c r="G36" s="113"/>
      <c r="H36" s="113">
        <f t="shared" si="4"/>
        <v>291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2025</v>
      </c>
      <c r="C37" s="116"/>
      <c r="D37" s="116">
        <f t="shared" si="3"/>
        <v>298</v>
      </c>
      <c r="E37" s="116"/>
      <c r="F37" s="116">
        <v>0</v>
      </c>
      <c r="G37" s="116"/>
      <c r="H37" s="116">
        <f t="shared" si="4"/>
        <v>298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2026</v>
      </c>
      <c r="C38" s="113"/>
      <c r="D38" s="113">
        <f t="shared" si="3"/>
        <v>305</v>
      </c>
      <c r="E38" s="113"/>
      <c r="F38" s="113">
        <v>0</v>
      </c>
      <c r="G38" s="113"/>
      <c r="H38" s="113">
        <f t="shared" si="4"/>
        <v>305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2027</v>
      </c>
      <c r="C39" s="113"/>
      <c r="D39" s="113">
        <f t="shared" si="3"/>
        <v>311</v>
      </c>
      <c r="E39" s="113"/>
      <c r="F39" s="113">
        <v>0</v>
      </c>
      <c r="G39" s="113"/>
      <c r="H39" s="113">
        <f t="shared" si="4"/>
        <v>311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2028</v>
      </c>
      <c r="C40" s="113"/>
      <c r="D40" s="113">
        <f t="shared" si="3"/>
        <v>318</v>
      </c>
      <c r="E40" s="113"/>
      <c r="F40" s="113">
        <v>0</v>
      </c>
      <c r="G40" s="113"/>
      <c r="H40" s="113">
        <f t="shared" si="4"/>
        <v>318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2029</v>
      </c>
      <c r="C41" s="113"/>
      <c r="D41" s="113">
        <f t="shared" si="3"/>
        <v>325</v>
      </c>
      <c r="E41" s="113"/>
      <c r="F41" s="113">
        <v>0</v>
      </c>
      <c r="G41" s="113"/>
      <c r="H41" s="113">
        <f t="shared" si="4"/>
        <v>325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>
      <c r="A42" s="95"/>
      <c r="B42" s="115">
        <v>2030</v>
      </c>
      <c r="C42" s="116"/>
      <c r="D42" s="116">
        <f t="shared" si="3"/>
        <v>332</v>
      </c>
      <c r="E42" s="116"/>
      <c r="F42" s="116">
        <v>0</v>
      </c>
      <c r="G42" s="116"/>
      <c r="H42" s="116">
        <f t="shared" si="4"/>
        <v>332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2">
        <v>2031</v>
      </c>
      <c r="C43" s="113"/>
      <c r="D43" s="113">
        <f t="shared" si="3"/>
        <v>339</v>
      </c>
      <c r="E43" s="113"/>
      <c r="F43" s="113">
        <v>0</v>
      </c>
      <c r="G43" s="113"/>
      <c r="H43" s="113">
        <f t="shared" si="4"/>
        <v>339</v>
      </c>
      <c r="I43" s="113"/>
      <c r="J43" s="114">
        <v>0</v>
      </c>
      <c r="K43" s="114"/>
      <c r="L43" s="95"/>
      <c r="M43" s="95"/>
      <c r="N43" s="95"/>
      <c r="O43" s="95"/>
    </row>
    <row r="44" spans="1:15" ht="15" customHeight="1">
      <c r="A44" s="95"/>
      <c r="B44" s="112">
        <v>2032</v>
      </c>
      <c r="C44" s="113"/>
      <c r="D44" s="113">
        <f t="shared" si="3"/>
        <v>345</v>
      </c>
      <c r="E44" s="113"/>
      <c r="F44" s="113">
        <v>0</v>
      </c>
      <c r="G44" s="113"/>
      <c r="H44" s="113">
        <f t="shared" si="4"/>
        <v>345</v>
      </c>
      <c r="I44" s="113"/>
      <c r="J44" s="114">
        <v>0</v>
      </c>
      <c r="K44" s="114"/>
      <c r="L44" s="95"/>
      <c r="M44" s="95"/>
      <c r="N44" s="95"/>
      <c r="O44" s="95"/>
    </row>
    <row r="45" spans="1:15" ht="15" customHeight="1">
      <c r="A45" s="95"/>
      <c r="B45" s="112">
        <v>2033</v>
      </c>
      <c r="C45" s="113"/>
      <c r="D45" s="113">
        <f t="shared" si="3"/>
        <v>352</v>
      </c>
      <c r="E45" s="113"/>
      <c r="F45" s="113">
        <v>0</v>
      </c>
      <c r="G45" s="113"/>
      <c r="H45" s="113">
        <f t="shared" si="4"/>
        <v>352</v>
      </c>
      <c r="I45" s="113"/>
      <c r="J45" s="114">
        <v>0</v>
      </c>
      <c r="K45" s="114"/>
      <c r="L45" s="95"/>
      <c r="M45" s="95"/>
      <c r="N45" s="95"/>
      <c r="O45" s="95"/>
    </row>
    <row r="46" spans="1:15" ht="15" customHeight="1">
      <c r="A46" s="95"/>
      <c r="B46" s="112">
        <v>2034</v>
      </c>
      <c r="C46" s="113"/>
      <c r="D46" s="113">
        <f t="shared" si="3"/>
        <v>359</v>
      </c>
      <c r="E46" s="113"/>
      <c r="F46" s="113">
        <v>0</v>
      </c>
      <c r="G46" s="113"/>
      <c r="H46" s="113">
        <f t="shared" si="4"/>
        <v>359</v>
      </c>
      <c r="I46" s="113"/>
      <c r="J46" s="114">
        <v>0</v>
      </c>
      <c r="K46" s="114"/>
      <c r="L46" s="95"/>
      <c r="M46" s="95"/>
      <c r="N46" s="95"/>
      <c r="O46" s="95"/>
    </row>
    <row r="47" spans="1:15" ht="15" customHeight="1" thickBot="1">
      <c r="A47" s="95"/>
      <c r="B47" s="115">
        <v>2035</v>
      </c>
      <c r="C47" s="116"/>
      <c r="D47" s="116">
        <f t="shared" si="3"/>
        <v>366</v>
      </c>
      <c r="E47" s="116"/>
      <c r="F47" s="116">
        <v>0</v>
      </c>
      <c r="G47" s="116"/>
      <c r="H47" s="116">
        <f t="shared" si="4"/>
        <v>366</v>
      </c>
      <c r="I47" s="116"/>
      <c r="J47" s="117">
        <v>0</v>
      </c>
      <c r="K47" s="117"/>
      <c r="L47" s="95"/>
      <c r="M47" s="95"/>
      <c r="N47" s="95"/>
      <c r="O47" s="95"/>
    </row>
    <row r="48" spans="1:15" ht="15" customHeight="1">
      <c r="A48" s="95"/>
      <c r="B48" s="118" t="s">
        <v>160</v>
      </c>
      <c r="C48" s="118"/>
      <c r="D48" s="119" t="s">
        <v>161</v>
      </c>
      <c r="E48" s="120">
        <f>D$16</f>
        <v>223</v>
      </c>
      <c r="F48" s="121"/>
      <c r="G48" s="119" t="s">
        <v>162</v>
      </c>
      <c r="H48" s="119">
        <f>ROUND((D$16-D$7)/(COUNT(D$7:D$16)-1),1)</f>
        <v>6.8</v>
      </c>
      <c r="I48" s="119"/>
      <c r="J48" s="119" t="s">
        <v>163</v>
      </c>
      <c r="K48" s="122" t="s">
        <v>164</v>
      </c>
      <c r="L48" s="95"/>
      <c r="M48" s="95"/>
      <c r="N48" s="95"/>
      <c r="O48" s="95"/>
    </row>
    <row r="49" spans="1:15" ht="15" customHeight="1">
      <c r="A49" s="95"/>
      <c r="B49" s="123"/>
      <c r="C49" s="123"/>
      <c r="D49" s="124"/>
      <c r="E49" s="125"/>
      <c r="F49" s="126"/>
      <c r="G49" s="124"/>
      <c r="H49" s="124"/>
      <c r="I49" s="124"/>
      <c r="J49" s="124"/>
      <c r="K49" s="127"/>
      <c r="L49" s="95"/>
      <c r="M49" s="95"/>
      <c r="N49" s="95"/>
      <c r="O49" s="95"/>
    </row>
    <row r="50" spans="1:15" ht="1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110" t="s">
        <v>165</v>
      </c>
      <c r="C52" s="111"/>
      <c r="D52" s="111"/>
      <c r="E52" s="111"/>
      <c r="F52" s="111"/>
      <c r="G52" s="111"/>
      <c r="H52" s="95"/>
      <c r="I52" s="95"/>
      <c r="J52" s="95"/>
      <c r="K52" s="95"/>
      <c r="L52" s="95"/>
      <c r="M52" s="95"/>
      <c r="N52" s="95"/>
      <c r="O52" s="95"/>
    </row>
    <row r="53" spans="1:15" ht="15" customHeight="1">
      <c r="A53" s="95"/>
      <c r="B53" s="95"/>
      <c r="C53" s="111" t="s">
        <v>166</v>
      </c>
      <c r="D53" s="111" t="s">
        <v>167</v>
      </c>
      <c r="E53" s="111"/>
      <c r="F53" s="111"/>
      <c r="G53" s="111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3"/>
      <c r="C54" s="93" t="s">
        <v>150</v>
      </c>
      <c r="D54" s="111" t="s">
        <v>151</v>
      </c>
      <c r="E54" s="93"/>
      <c r="F54" s="93"/>
      <c r="G54" s="93"/>
      <c r="H54" s="95"/>
      <c r="I54" s="95"/>
      <c r="J54" s="95"/>
      <c r="K54" s="95"/>
      <c r="L54" s="95"/>
      <c r="M54" s="95"/>
      <c r="N54" s="95"/>
      <c r="O54" s="95"/>
    </row>
    <row r="55" spans="1:15" ht="15" customHeight="1">
      <c r="A55" s="95"/>
      <c r="B55" s="111"/>
      <c r="C55" s="111"/>
      <c r="D55" s="111" t="s">
        <v>170</v>
      </c>
      <c r="E55" s="111"/>
      <c r="F55" s="111"/>
      <c r="G55" s="111"/>
      <c r="H55" s="95"/>
      <c r="I55" s="95"/>
      <c r="J55" s="95"/>
      <c r="K55" s="95"/>
      <c r="L55" s="95"/>
      <c r="M55" s="95"/>
      <c r="N55" s="95"/>
      <c r="O55" s="95"/>
    </row>
    <row r="56" spans="1:15" ht="15" customHeight="1">
      <c r="A56" s="95"/>
      <c r="B56" s="111"/>
      <c r="C56" s="111"/>
      <c r="D56" s="111" t="s">
        <v>171</v>
      </c>
      <c r="E56" s="111"/>
      <c r="F56" s="111"/>
      <c r="G56" s="111"/>
      <c r="H56" s="95"/>
      <c r="I56" s="95"/>
      <c r="J56" s="95"/>
      <c r="K56" s="95"/>
      <c r="L56" s="95"/>
      <c r="M56" s="95"/>
      <c r="N56" s="95"/>
      <c r="O56" s="95"/>
    </row>
    <row r="57" spans="1:15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</row>
    <row r="58" spans="1:15" ht="15" customHeight="1" thickBot="1">
      <c r="A58" s="95"/>
      <c r="B58" s="95"/>
      <c r="C58" s="95"/>
      <c r="D58" s="95"/>
      <c r="E58" s="95"/>
      <c r="F58" s="100" t="s">
        <v>172</v>
      </c>
      <c r="G58" s="100"/>
      <c r="H58" s="95"/>
      <c r="I58" s="95"/>
      <c r="J58" s="95"/>
      <c r="K58" s="95"/>
      <c r="L58" s="95"/>
      <c r="M58" s="95"/>
      <c r="N58" s="95"/>
      <c r="O58" s="95"/>
    </row>
    <row r="59" spans="1:15" ht="15" customHeight="1">
      <c r="A59" s="95"/>
      <c r="B59" s="94" t="s">
        <v>141</v>
      </c>
      <c r="C59" s="94"/>
      <c r="D59" s="94" t="s">
        <v>174</v>
      </c>
      <c r="E59" s="94"/>
      <c r="F59" s="94" t="s">
        <v>157</v>
      </c>
      <c r="G59" s="94"/>
      <c r="H59" s="94" t="s">
        <v>176</v>
      </c>
      <c r="I59" s="94"/>
      <c r="J59" s="94" t="s">
        <v>144</v>
      </c>
      <c r="K59" s="94"/>
      <c r="L59" s="95"/>
      <c r="M59" s="95"/>
      <c r="N59" s="95"/>
      <c r="O59" s="95"/>
    </row>
    <row r="60" spans="1:15" ht="15" customHeight="1">
      <c r="A60" s="95"/>
      <c r="B60" s="112">
        <v>2014</v>
      </c>
      <c r="C60" s="113"/>
      <c r="D60" s="113">
        <f t="shared" ref="D60:D81" si="5">ROUND(E$82*H$82^(B60-$C$4),0)</f>
        <v>223</v>
      </c>
      <c r="E60" s="113"/>
      <c r="F60" s="113">
        <v>0</v>
      </c>
      <c r="G60" s="113"/>
      <c r="H60" s="113">
        <f t="shared" ref="H60:H81" si="6">ROUND(D60*(1+F60),0)</f>
        <v>223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2015</v>
      </c>
      <c r="C61" s="116"/>
      <c r="D61" s="116">
        <f t="shared" si="5"/>
        <v>231</v>
      </c>
      <c r="E61" s="116"/>
      <c r="F61" s="116">
        <v>0</v>
      </c>
      <c r="G61" s="116"/>
      <c r="H61" s="116">
        <f t="shared" si="6"/>
        <v>231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2016</v>
      </c>
      <c r="C62" s="113"/>
      <c r="D62" s="113">
        <f t="shared" si="5"/>
        <v>239</v>
      </c>
      <c r="E62" s="113"/>
      <c r="F62" s="113">
        <v>0</v>
      </c>
      <c r="G62" s="113"/>
      <c r="H62" s="113">
        <f t="shared" si="6"/>
        <v>239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2017</v>
      </c>
      <c r="C63" s="113"/>
      <c r="D63" s="113">
        <f t="shared" si="5"/>
        <v>248</v>
      </c>
      <c r="E63" s="113"/>
      <c r="F63" s="113">
        <v>0</v>
      </c>
      <c r="G63" s="113"/>
      <c r="H63" s="113">
        <f t="shared" si="6"/>
        <v>248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2018</v>
      </c>
      <c r="C64" s="113"/>
      <c r="D64" s="113">
        <f t="shared" si="5"/>
        <v>257</v>
      </c>
      <c r="E64" s="113"/>
      <c r="F64" s="113">
        <v>0</v>
      </c>
      <c r="G64" s="113"/>
      <c r="H64" s="113">
        <f t="shared" si="6"/>
        <v>257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2019</v>
      </c>
      <c r="C65" s="113"/>
      <c r="D65" s="113">
        <f t="shared" si="5"/>
        <v>266</v>
      </c>
      <c r="E65" s="113"/>
      <c r="F65" s="113">
        <v>0</v>
      </c>
      <c r="G65" s="113"/>
      <c r="H65" s="113">
        <f t="shared" si="6"/>
        <v>266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2020</v>
      </c>
      <c r="C66" s="116"/>
      <c r="D66" s="116">
        <f t="shared" si="5"/>
        <v>276</v>
      </c>
      <c r="E66" s="116"/>
      <c r="F66" s="116">
        <v>0</v>
      </c>
      <c r="G66" s="116"/>
      <c r="H66" s="116">
        <f t="shared" si="6"/>
        <v>276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2021</v>
      </c>
      <c r="C67" s="113"/>
      <c r="D67" s="113">
        <f t="shared" si="5"/>
        <v>286</v>
      </c>
      <c r="E67" s="113"/>
      <c r="F67" s="113">
        <v>0</v>
      </c>
      <c r="G67" s="113"/>
      <c r="H67" s="113">
        <f t="shared" si="6"/>
        <v>286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2022</v>
      </c>
      <c r="C68" s="113"/>
      <c r="D68" s="113">
        <f t="shared" si="5"/>
        <v>296</v>
      </c>
      <c r="E68" s="113"/>
      <c r="F68" s="113">
        <v>0</v>
      </c>
      <c r="G68" s="113"/>
      <c r="H68" s="113">
        <f t="shared" si="6"/>
        <v>296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2023</v>
      </c>
      <c r="C69" s="113"/>
      <c r="D69" s="113">
        <f t="shared" si="5"/>
        <v>307</v>
      </c>
      <c r="E69" s="113"/>
      <c r="F69" s="113">
        <v>0</v>
      </c>
      <c r="G69" s="113"/>
      <c r="H69" s="113">
        <f t="shared" si="6"/>
        <v>307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2024</v>
      </c>
      <c r="C70" s="113"/>
      <c r="D70" s="113">
        <f t="shared" si="5"/>
        <v>318</v>
      </c>
      <c r="E70" s="113"/>
      <c r="F70" s="113">
        <v>0</v>
      </c>
      <c r="G70" s="113"/>
      <c r="H70" s="113">
        <f t="shared" si="6"/>
        <v>318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2025</v>
      </c>
      <c r="C71" s="116"/>
      <c r="D71" s="116">
        <f t="shared" si="5"/>
        <v>330</v>
      </c>
      <c r="E71" s="116"/>
      <c r="F71" s="116">
        <v>0</v>
      </c>
      <c r="G71" s="116"/>
      <c r="H71" s="116">
        <f t="shared" si="6"/>
        <v>330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2026</v>
      </c>
      <c r="C72" s="113"/>
      <c r="D72" s="113">
        <f t="shared" si="5"/>
        <v>341</v>
      </c>
      <c r="E72" s="113"/>
      <c r="F72" s="113">
        <v>0</v>
      </c>
      <c r="G72" s="113"/>
      <c r="H72" s="113">
        <f t="shared" si="6"/>
        <v>341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2027</v>
      </c>
      <c r="C73" s="113"/>
      <c r="D73" s="113">
        <f t="shared" si="5"/>
        <v>354</v>
      </c>
      <c r="E73" s="113"/>
      <c r="F73" s="113">
        <v>0</v>
      </c>
      <c r="G73" s="113"/>
      <c r="H73" s="113">
        <f t="shared" si="6"/>
        <v>354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2028</v>
      </c>
      <c r="C74" s="113"/>
      <c r="D74" s="113">
        <f t="shared" si="5"/>
        <v>367</v>
      </c>
      <c r="E74" s="113"/>
      <c r="F74" s="113">
        <v>0</v>
      </c>
      <c r="G74" s="113"/>
      <c r="H74" s="113">
        <f t="shared" si="6"/>
        <v>367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2029</v>
      </c>
      <c r="C75" s="113"/>
      <c r="D75" s="113">
        <f t="shared" si="5"/>
        <v>380</v>
      </c>
      <c r="E75" s="113"/>
      <c r="F75" s="113">
        <v>0</v>
      </c>
      <c r="G75" s="113"/>
      <c r="H75" s="113">
        <f t="shared" si="6"/>
        <v>380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>
      <c r="A76" s="95"/>
      <c r="B76" s="115">
        <v>2030</v>
      </c>
      <c r="C76" s="116"/>
      <c r="D76" s="116">
        <f t="shared" si="5"/>
        <v>394</v>
      </c>
      <c r="E76" s="116"/>
      <c r="F76" s="116">
        <v>0</v>
      </c>
      <c r="G76" s="116"/>
      <c r="H76" s="116">
        <f t="shared" si="6"/>
        <v>394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2">
        <v>2031</v>
      </c>
      <c r="C77" s="113"/>
      <c r="D77" s="113">
        <f t="shared" si="5"/>
        <v>408</v>
      </c>
      <c r="E77" s="113"/>
      <c r="F77" s="113">
        <v>0</v>
      </c>
      <c r="G77" s="113"/>
      <c r="H77" s="113">
        <f t="shared" si="6"/>
        <v>408</v>
      </c>
      <c r="I77" s="113"/>
      <c r="J77" s="114">
        <v>0</v>
      </c>
      <c r="K77" s="114"/>
      <c r="L77" s="95"/>
      <c r="M77" s="95"/>
      <c r="N77" s="95"/>
      <c r="O77" s="95"/>
    </row>
    <row r="78" spans="1:15" ht="15" customHeight="1">
      <c r="A78" s="95"/>
      <c r="B78" s="112">
        <v>2032</v>
      </c>
      <c r="C78" s="113"/>
      <c r="D78" s="113">
        <f t="shared" si="5"/>
        <v>423</v>
      </c>
      <c r="E78" s="113"/>
      <c r="F78" s="113">
        <v>0</v>
      </c>
      <c r="G78" s="113"/>
      <c r="H78" s="113">
        <f t="shared" si="6"/>
        <v>423</v>
      </c>
      <c r="I78" s="113"/>
      <c r="J78" s="114">
        <v>0</v>
      </c>
      <c r="K78" s="114"/>
      <c r="L78" s="95"/>
      <c r="M78" s="95"/>
      <c r="N78" s="95"/>
      <c r="O78" s="95"/>
    </row>
    <row r="79" spans="1:15" ht="15" customHeight="1">
      <c r="A79" s="95"/>
      <c r="B79" s="112">
        <v>2033</v>
      </c>
      <c r="C79" s="113"/>
      <c r="D79" s="113">
        <f t="shared" si="5"/>
        <v>438</v>
      </c>
      <c r="E79" s="113"/>
      <c r="F79" s="113">
        <v>0</v>
      </c>
      <c r="G79" s="113"/>
      <c r="H79" s="113">
        <f t="shared" si="6"/>
        <v>438</v>
      </c>
      <c r="I79" s="113"/>
      <c r="J79" s="114">
        <v>0</v>
      </c>
      <c r="K79" s="114"/>
      <c r="L79" s="95"/>
      <c r="M79" s="95"/>
      <c r="N79" s="95"/>
      <c r="O79" s="95"/>
    </row>
    <row r="80" spans="1:15" ht="15" customHeight="1">
      <c r="A80" s="95"/>
      <c r="B80" s="112">
        <v>2034</v>
      </c>
      <c r="C80" s="113"/>
      <c r="D80" s="113">
        <f t="shared" si="5"/>
        <v>454</v>
      </c>
      <c r="E80" s="113"/>
      <c r="F80" s="113">
        <v>0</v>
      </c>
      <c r="G80" s="113"/>
      <c r="H80" s="113">
        <f t="shared" si="6"/>
        <v>454</v>
      </c>
      <c r="I80" s="113"/>
      <c r="J80" s="114">
        <v>0</v>
      </c>
      <c r="K80" s="114"/>
      <c r="L80" s="95"/>
      <c r="M80" s="95"/>
      <c r="N80" s="95"/>
      <c r="O80" s="95"/>
    </row>
    <row r="81" spans="1:15" ht="15" customHeight="1" thickBot="1">
      <c r="A81" s="95"/>
      <c r="B81" s="115">
        <v>2035</v>
      </c>
      <c r="C81" s="116"/>
      <c r="D81" s="116">
        <f t="shared" si="5"/>
        <v>470</v>
      </c>
      <c r="E81" s="116"/>
      <c r="F81" s="116">
        <v>0</v>
      </c>
      <c r="G81" s="116"/>
      <c r="H81" s="116">
        <f t="shared" si="6"/>
        <v>470</v>
      </c>
      <c r="I81" s="116"/>
      <c r="J81" s="117">
        <v>0</v>
      </c>
      <c r="K81" s="117"/>
      <c r="L81" s="95"/>
      <c r="M81" s="95"/>
      <c r="N81" s="95"/>
      <c r="O81" s="95"/>
    </row>
    <row r="82" spans="1:15" ht="15" customHeight="1">
      <c r="A82" s="95"/>
      <c r="B82" s="118" t="s">
        <v>177</v>
      </c>
      <c r="C82" s="118"/>
      <c r="D82" s="119" t="s">
        <v>161</v>
      </c>
      <c r="E82" s="120">
        <f>D$16</f>
        <v>223</v>
      </c>
      <c r="F82" s="121"/>
      <c r="G82" s="119" t="s">
        <v>179</v>
      </c>
      <c r="H82" s="119">
        <f>ROUND((E$82/D$7)^(1/(COUNT(D$7:D$16)-1)),6)</f>
        <v>1.036146</v>
      </c>
      <c r="I82" s="119"/>
      <c r="J82" s="119" t="s">
        <v>163</v>
      </c>
      <c r="K82" s="122" t="s">
        <v>164</v>
      </c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>
      <c r="A92" s="95"/>
      <c r="B92" s="110" t="s">
        <v>182</v>
      </c>
      <c r="C92" s="111"/>
      <c r="D92" s="111"/>
      <c r="E92" s="111"/>
      <c r="F92" s="95"/>
      <c r="G92" s="95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5"/>
      <c r="C93" s="111" t="s">
        <v>148</v>
      </c>
      <c r="D93" s="111" t="s">
        <v>184</v>
      </c>
      <c r="E93" s="111"/>
      <c r="F93" s="95"/>
      <c r="G93" s="95"/>
      <c r="H93" s="95"/>
      <c r="I93" s="95"/>
      <c r="J93" s="95"/>
      <c r="K93" s="95"/>
      <c r="L93" s="95"/>
      <c r="M93" s="95"/>
      <c r="N93" s="95"/>
      <c r="O93" s="95"/>
    </row>
    <row r="94" spans="1:15" ht="15" customHeight="1">
      <c r="A94" s="95"/>
      <c r="B94" s="111"/>
      <c r="C94" s="128" t="s">
        <v>185</v>
      </c>
      <c r="D94" s="111" t="s">
        <v>186</v>
      </c>
      <c r="E94" s="93"/>
      <c r="F94" s="95"/>
      <c r="G94" s="95"/>
      <c r="H94" s="95"/>
      <c r="I94" s="95"/>
      <c r="J94" s="95"/>
      <c r="K94" s="95"/>
      <c r="L94" s="95"/>
      <c r="M94" s="95"/>
      <c r="N94" s="95"/>
      <c r="O94" s="95"/>
    </row>
    <row r="95" spans="1:15" ht="15" customHeight="1">
      <c r="A95" s="95"/>
      <c r="B95" s="111"/>
      <c r="C95" s="111"/>
      <c r="D95" s="111" t="s">
        <v>187</v>
      </c>
      <c r="E95" s="111"/>
      <c r="F95" s="95"/>
      <c r="G95" s="95"/>
      <c r="H95" s="95"/>
      <c r="I95" s="95"/>
      <c r="J95" s="95"/>
      <c r="K95" s="95"/>
      <c r="L95" s="95"/>
      <c r="M95" s="95"/>
      <c r="N95" s="95"/>
      <c r="O95" s="95"/>
    </row>
    <row r="96" spans="1:15" ht="15" customHeight="1">
      <c r="A96" s="95"/>
      <c r="B96" s="93"/>
      <c r="C96" s="111"/>
      <c r="D96" s="111" t="s">
        <v>188</v>
      </c>
      <c r="E96" s="111"/>
      <c r="F96" s="95"/>
      <c r="G96" s="95"/>
      <c r="H96" s="95"/>
      <c r="I96" s="95"/>
      <c r="J96" s="95"/>
      <c r="K96" s="95"/>
      <c r="L96" s="95"/>
      <c r="M96" s="95"/>
      <c r="N96" s="95"/>
      <c r="O96" s="95"/>
    </row>
    <row r="97" spans="1:15" ht="15" customHeight="1" thickBot="1">
      <c r="A97" s="95"/>
      <c r="B97" s="95"/>
      <c r="C97" s="95"/>
      <c r="D97" s="95"/>
      <c r="E97" s="95"/>
      <c r="F97" s="100" t="s">
        <v>189</v>
      </c>
      <c r="G97" s="100"/>
      <c r="H97" s="95"/>
      <c r="I97" s="95"/>
      <c r="J97" s="95"/>
      <c r="K97" s="95"/>
      <c r="L97" s="95"/>
      <c r="M97" s="95"/>
      <c r="N97" s="95"/>
      <c r="O97" s="95"/>
    </row>
    <row r="98" spans="1:15" ht="15" customHeight="1">
      <c r="A98" s="95"/>
      <c r="B98" s="94" t="s">
        <v>190</v>
      </c>
      <c r="C98" s="94"/>
      <c r="D98" s="94" t="s">
        <v>191</v>
      </c>
      <c r="E98" s="94" t="s">
        <v>192</v>
      </c>
      <c r="F98" s="94" t="s">
        <v>193</v>
      </c>
      <c r="G98" s="94"/>
      <c r="H98" s="94" t="s">
        <v>194</v>
      </c>
      <c r="I98" s="94"/>
      <c r="J98" s="94" t="s">
        <v>53</v>
      </c>
      <c r="K98" s="94"/>
      <c r="L98" s="95"/>
      <c r="M98" s="95"/>
      <c r="N98" s="95"/>
      <c r="O98" s="95"/>
    </row>
    <row r="99" spans="1:15" ht="15" customHeight="1">
      <c r="A99" s="95"/>
      <c r="B99" s="96">
        <f t="shared" ref="B99:B108" si="7">B7</f>
        <v>2005</v>
      </c>
      <c r="C99" s="96"/>
      <c r="D99" s="100">
        <f t="shared" ref="D99:D108" si="8">VLOOKUP(B99,B$7:E$16,3,FALSE)</f>
        <v>162</v>
      </c>
      <c r="E99" s="129">
        <f t="shared" ref="E99:E108" si="9">((COUNT(B$99:B$108)-1)/2)+(B99-$C$4)</f>
        <v>-4.5</v>
      </c>
      <c r="F99" s="100">
        <f t="shared" ref="F99:F108" si="10">E99^2</f>
        <v>20.25</v>
      </c>
      <c r="G99" s="98"/>
      <c r="H99" s="130">
        <f t="shared" ref="H99:H108" si="11">ROUND(D99*E99,2)</f>
        <v>-729</v>
      </c>
      <c r="I99" s="131"/>
      <c r="J99" s="102">
        <v>0</v>
      </c>
      <c r="K99" s="102"/>
      <c r="L99" s="95"/>
      <c r="M99" s="95"/>
      <c r="N99" s="95"/>
      <c r="O99" s="95"/>
    </row>
    <row r="100" spans="1:15" ht="15" customHeight="1">
      <c r="A100" s="95"/>
      <c r="B100" s="96">
        <f t="shared" si="7"/>
        <v>2006</v>
      </c>
      <c r="C100" s="96"/>
      <c r="D100" s="100">
        <f t="shared" si="8"/>
        <v>167</v>
      </c>
      <c r="E100" s="129">
        <f t="shared" si="9"/>
        <v>-3.5</v>
      </c>
      <c r="F100" s="100">
        <f t="shared" si="10"/>
        <v>12.25</v>
      </c>
      <c r="G100" s="98"/>
      <c r="H100" s="130">
        <f t="shared" si="11"/>
        <v>-584.5</v>
      </c>
      <c r="I100" s="131"/>
      <c r="J100" s="102">
        <v>0</v>
      </c>
      <c r="K100" s="102"/>
      <c r="L100" s="95"/>
      <c r="M100" s="95"/>
      <c r="N100" s="95"/>
      <c r="O100" s="95"/>
    </row>
    <row r="101" spans="1:15" ht="15" customHeight="1">
      <c r="A101" s="95"/>
      <c r="B101" s="96">
        <f t="shared" si="7"/>
        <v>2007</v>
      </c>
      <c r="C101" s="96"/>
      <c r="D101" s="100">
        <f t="shared" si="8"/>
        <v>219</v>
      </c>
      <c r="E101" s="129">
        <f t="shared" si="9"/>
        <v>-2.5</v>
      </c>
      <c r="F101" s="100">
        <f>E101^2</f>
        <v>6.25</v>
      </c>
      <c r="G101" s="98"/>
      <c r="H101" s="130">
        <f t="shared" si="11"/>
        <v>-547.5</v>
      </c>
      <c r="I101" s="131"/>
      <c r="J101" s="102">
        <v>0</v>
      </c>
      <c r="K101" s="102"/>
      <c r="L101" s="95"/>
      <c r="M101" s="95"/>
      <c r="N101" s="95"/>
      <c r="O101" s="95"/>
    </row>
    <row r="102" spans="1:15" ht="15" customHeight="1">
      <c r="A102" s="95"/>
      <c r="B102" s="96">
        <f t="shared" si="7"/>
        <v>2008</v>
      </c>
      <c r="C102" s="96"/>
      <c r="D102" s="100">
        <f t="shared" si="8"/>
        <v>195</v>
      </c>
      <c r="E102" s="129">
        <f t="shared" si="9"/>
        <v>-1.5</v>
      </c>
      <c r="F102" s="100">
        <f t="shared" si="10"/>
        <v>2.25</v>
      </c>
      <c r="G102" s="98"/>
      <c r="H102" s="130">
        <f t="shared" si="11"/>
        <v>-292.5</v>
      </c>
      <c r="I102" s="131"/>
      <c r="J102" s="102">
        <v>0</v>
      </c>
      <c r="K102" s="102"/>
      <c r="L102" s="95"/>
      <c r="M102" s="95"/>
      <c r="N102" s="95"/>
      <c r="O102" s="95"/>
    </row>
    <row r="103" spans="1:15" ht="15" customHeight="1">
      <c r="A103" s="95"/>
      <c r="B103" s="96">
        <f t="shared" si="7"/>
        <v>2009</v>
      </c>
      <c r="C103" s="96"/>
      <c r="D103" s="100">
        <f t="shared" si="8"/>
        <v>235</v>
      </c>
      <c r="E103" s="129">
        <f t="shared" si="9"/>
        <v>-0.5</v>
      </c>
      <c r="F103" s="100">
        <f t="shared" si="10"/>
        <v>0.25</v>
      </c>
      <c r="G103" s="98"/>
      <c r="H103" s="130">
        <f t="shared" si="11"/>
        <v>-117.5</v>
      </c>
      <c r="I103" s="131"/>
      <c r="J103" s="102">
        <v>0</v>
      </c>
      <c r="K103" s="102"/>
      <c r="L103" s="95"/>
      <c r="M103" s="95"/>
      <c r="N103" s="95"/>
      <c r="O103" s="95"/>
    </row>
    <row r="104" spans="1:15" ht="15" customHeight="1">
      <c r="A104" s="95"/>
      <c r="B104" s="96">
        <f t="shared" si="7"/>
        <v>2010</v>
      </c>
      <c r="C104" s="96"/>
      <c r="D104" s="100">
        <f t="shared" si="8"/>
        <v>233</v>
      </c>
      <c r="E104" s="129">
        <f t="shared" si="9"/>
        <v>0.5</v>
      </c>
      <c r="F104" s="100">
        <f t="shared" si="10"/>
        <v>0.25</v>
      </c>
      <c r="G104" s="98"/>
      <c r="H104" s="130">
        <f t="shared" si="11"/>
        <v>116.5</v>
      </c>
      <c r="I104" s="131"/>
      <c r="J104" s="102">
        <v>0</v>
      </c>
      <c r="K104" s="102"/>
      <c r="L104" s="95"/>
      <c r="M104" s="95"/>
      <c r="N104" s="95"/>
      <c r="O104" s="95"/>
    </row>
    <row r="105" spans="1:15" ht="15" customHeight="1">
      <c r="A105" s="95"/>
      <c r="B105" s="96">
        <f t="shared" si="7"/>
        <v>2011</v>
      </c>
      <c r="C105" s="96"/>
      <c r="D105" s="100">
        <f t="shared" si="8"/>
        <v>230</v>
      </c>
      <c r="E105" s="129">
        <f t="shared" si="9"/>
        <v>1.5</v>
      </c>
      <c r="F105" s="100">
        <f t="shared" si="10"/>
        <v>2.25</v>
      </c>
      <c r="G105" s="98"/>
      <c r="H105" s="130">
        <f t="shared" si="11"/>
        <v>345</v>
      </c>
      <c r="I105" s="131"/>
      <c r="J105" s="102">
        <v>0</v>
      </c>
      <c r="K105" s="102"/>
      <c r="L105" s="95"/>
      <c r="M105" s="95"/>
      <c r="N105" s="95"/>
      <c r="O105" s="95"/>
    </row>
    <row r="106" spans="1:15" ht="15" customHeight="1">
      <c r="A106" s="95"/>
      <c r="B106" s="96">
        <f t="shared" si="7"/>
        <v>2012</v>
      </c>
      <c r="C106" s="96"/>
      <c r="D106" s="100">
        <f t="shared" si="8"/>
        <v>214</v>
      </c>
      <c r="E106" s="129">
        <f t="shared" si="9"/>
        <v>2.5</v>
      </c>
      <c r="F106" s="100">
        <f t="shared" si="10"/>
        <v>6.25</v>
      </c>
      <c r="G106" s="98"/>
      <c r="H106" s="130">
        <f t="shared" si="11"/>
        <v>535</v>
      </c>
      <c r="I106" s="131"/>
      <c r="J106" s="102">
        <v>0</v>
      </c>
      <c r="K106" s="102"/>
      <c r="L106" s="95"/>
      <c r="M106" s="95"/>
      <c r="N106" s="95"/>
      <c r="O106" s="95"/>
    </row>
    <row r="107" spans="1:15" ht="15" customHeight="1">
      <c r="A107" s="95"/>
      <c r="B107" s="96">
        <f t="shared" si="7"/>
        <v>2013</v>
      </c>
      <c r="C107" s="96"/>
      <c r="D107" s="100">
        <f t="shared" si="8"/>
        <v>226</v>
      </c>
      <c r="E107" s="129">
        <f t="shared" si="9"/>
        <v>3.5</v>
      </c>
      <c r="F107" s="100">
        <f t="shared" si="10"/>
        <v>12.25</v>
      </c>
      <c r="G107" s="98"/>
      <c r="H107" s="130">
        <f t="shared" si="11"/>
        <v>791</v>
      </c>
      <c r="I107" s="131"/>
      <c r="J107" s="102">
        <v>0</v>
      </c>
      <c r="K107" s="102"/>
      <c r="L107" s="95"/>
      <c r="M107" s="95"/>
      <c r="N107" s="95"/>
      <c r="O107" s="95"/>
    </row>
    <row r="108" spans="1:15" ht="15" customHeight="1">
      <c r="A108" s="95"/>
      <c r="B108" s="96">
        <f t="shared" si="7"/>
        <v>2014</v>
      </c>
      <c r="C108" s="96"/>
      <c r="D108" s="100">
        <f t="shared" si="8"/>
        <v>223</v>
      </c>
      <c r="E108" s="129">
        <f t="shared" si="9"/>
        <v>4.5</v>
      </c>
      <c r="F108" s="100">
        <f t="shared" si="10"/>
        <v>20.25</v>
      </c>
      <c r="G108" s="98"/>
      <c r="H108" s="130">
        <f t="shared" si="11"/>
        <v>1003.5</v>
      </c>
      <c r="I108" s="131"/>
      <c r="J108" s="102">
        <v>0</v>
      </c>
      <c r="K108" s="102"/>
      <c r="L108" s="95"/>
      <c r="M108" s="95"/>
      <c r="N108" s="95"/>
      <c r="O108" s="95"/>
    </row>
    <row r="109" spans="1:15" ht="15" customHeight="1" thickBot="1">
      <c r="A109" s="95"/>
      <c r="B109" s="103" t="s">
        <v>146</v>
      </c>
      <c r="C109" s="104"/>
      <c r="D109" s="132">
        <f>SUM(D99:D108)</f>
        <v>2104</v>
      </c>
      <c r="E109" s="107"/>
      <c r="F109" s="133">
        <f>ROUND(SUM(F99:F108),0)</f>
        <v>83</v>
      </c>
      <c r="G109" s="104"/>
      <c r="H109" s="134">
        <f>SUM(H99:H108)</f>
        <v>520</v>
      </c>
      <c r="I109" s="108"/>
      <c r="J109" s="135"/>
      <c r="K109" s="135"/>
      <c r="L109" s="95"/>
      <c r="M109" s="95"/>
      <c r="N109" s="95"/>
      <c r="O109" s="95"/>
    </row>
    <row r="110" spans="1:15" ht="15" customHeight="1">
      <c r="A110" s="95"/>
      <c r="B110" s="100" t="s">
        <v>197</v>
      </c>
      <c r="C110" s="100"/>
      <c r="D110" s="136" t="s">
        <v>198</v>
      </c>
      <c r="E110" s="95"/>
      <c r="F110" s="95"/>
      <c r="G110" s="93">
        <f>((COUNT(B$99:B$108))*H$109-D$109*E$109)/((COUNT(B$99:B$108))*F$109-E$109*E$109)</f>
        <v>6.2650602409638552</v>
      </c>
      <c r="H110" s="136" t="s">
        <v>199</v>
      </c>
      <c r="I110" s="93"/>
      <c r="J110" s="93"/>
      <c r="K110" s="93">
        <f>ROUND((F109*D109-H109*E109)/(COUNT(B$99:B$108)*F109-E109*E109),0)</f>
        <v>210</v>
      </c>
      <c r="L110" s="95"/>
      <c r="M110" s="95"/>
      <c r="N110" s="95"/>
      <c r="O110" s="95"/>
    </row>
    <row r="111" spans="1:15" ht="15" customHeight="1">
      <c r="A111" s="95"/>
      <c r="B111" s="123"/>
      <c r="C111" s="123"/>
      <c r="D111" s="137"/>
      <c r="E111" s="93"/>
      <c r="F111" s="126"/>
      <c r="G111" s="124"/>
      <c r="H111" s="95"/>
      <c r="I111" s="124"/>
      <c r="J111" s="124"/>
      <c r="K111" s="127"/>
      <c r="L111" s="95"/>
      <c r="M111" s="95"/>
      <c r="N111" s="95"/>
      <c r="O111" s="95"/>
    </row>
    <row r="112" spans="1:15" ht="15" customHeight="1">
      <c r="A112" s="95"/>
      <c r="B112" s="95"/>
      <c r="C112" s="95"/>
      <c r="D112" s="95"/>
      <c r="E112" s="111"/>
      <c r="F112" s="95"/>
      <c r="G112" s="95"/>
      <c r="H112" s="95"/>
      <c r="I112" s="95"/>
      <c r="J112" s="95"/>
      <c r="K112" s="95"/>
      <c r="L112" s="95"/>
      <c r="M112" s="95"/>
      <c r="N112" s="95"/>
      <c r="O112" s="95"/>
    </row>
    <row r="113" spans="1:15" ht="15" customHeight="1" thickBot="1">
      <c r="A113" s="95"/>
      <c r="B113" s="95"/>
      <c r="C113" s="95"/>
      <c r="D113" s="95"/>
      <c r="E113" s="95"/>
      <c r="F113" s="100" t="s">
        <v>200</v>
      </c>
      <c r="G113" s="100"/>
      <c r="H113" s="95"/>
      <c r="I113" s="95"/>
      <c r="J113" s="95"/>
      <c r="K113" s="95"/>
      <c r="L113" s="95"/>
      <c r="M113" s="95"/>
      <c r="N113" s="95"/>
      <c r="O113" s="95"/>
    </row>
    <row r="114" spans="1:15" ht="15" customHeight="1">
      <c r="A114" s="95"/>
      <c r="B114" s="94" t="s">
        <v>141</v>
      </c>
      <c r="C114" s="94"/>
      <c r="D114" s="94" t="s">
        <v>174</v>
      </c>
      <c r="E114" s="94"/>
      <c r="F114" s="94" t="s">
        <v>157</v>
      </c>
      <c r="G114" s="94"/>
      <c r="H114" s="94" t="s">
        <v>158</v>
      </c>
      <c r="I114" s="94"/>
      <c r="J114" s="94" t="s">
        <v>53</v>
      </c>
      <c r="K114" s="94"/>
      <c r="L114" s="95"/>
      <c r="M114" s="95"/>
      <c r="N114" s="95"/>
      <c r="O114" s="95"/>
    </row>
    <row r="115" spans="1:15" ht="15" customHeight="1">
      <c r="A115" s="95"/>
      <c r="B115" s="112">
        <v>2014</v>
      </c>
      <c r="C115" s="113"/>
      <c r="D115" s="113">
        <f t="shared" ref="D115:D136" si="12">ROUNDUP(G$110*(B115-B$108+E$108)+K$110,0)</f>
        <v>239</v>
      </c>
      <c r="E115" s="113"/>
      <c r="F115" s="113">
        <v>0</v>
      </c>
      <c r="G115" s="113"/>
      <c r="H115" s="113">
        <f t="shared" ref="H115:H136" si="13">ROUND(D115*(1+F115),0)</f>
        <v>239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2015</v>
      </c>
      <c r="C116" s="116"/>
      <c r="D116" s="116">
        <f t="shared" si="12"/>
        <v>245</v>
      </c>
      <c r="E116" s="116"/>
      <c r="F116" s="116">
        <v>0</v>
      </c>
      <c r="G116" s="116"/>
      <c r="H116" s="116">
        <f t="shared" si="13"/>
        <v>245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2016</v>
      </c>
      <c r="C117" s="113"/>
      <c r="D117" s="113">
        <f t="shared" si="12"/>
        <v>251</v>
      </c>
      <c r="E117" s="113"/>
      <c r="F117" s="113">
        <v>0</v>
      </c>
      <c r="G117" s="113"/>
      <c r="H117" s="113">
        <f t="shared" si="13"/>
        <v>251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2017</v>
      </c>
      <c r="C118" s="113"/>
      <c r="D118" s="113">
        <f t="shared" si="12"/>
        <v>257</v>
      </c>
      <c r="E118" s="113"/>
      <c r="F118" s="113">
        <v>0</v>
      </c>
      <c r="G118" s="113"/>
      <c r="H118" s="113">
        <f t="shared" si="13"/>
        <v>257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2018</v>
      </c>
      <c r="C119" s="113"/>
      <c r="D119" s="113">
        <f t="shared" si="12"/>
        <v>264</v>
      </c>
      <c r="E119" s="113"/>
      <c r="F119" s="113">
        <v>0</v>
      </c>
      <c r="G119" s="113"/>
      <c r="H119" s="113">
        <f t="shared" si="13"/>
        <v>264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2019</v>
      </c>
      <c r="C120" s="113"/>
      <c r="D120" s="113">
        <f t="shared" si="12"/>
        <v>270</v>
      </c>
      <c r="E120" s="113"/>
      <c r="F120" s="113">
        <v>0</v>
      </c>
      <c r="G120" s="113"/>
      <c r="H120" s="113">
        <f t="shared" si="13"/>
        <v>270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2020</v>
      </c>
      <c r="C121" s="116"/>
      <c r="D121" s="116">
        <f t="shared" si="12"/>
        <v>276</v>
      </c>
      <c r="E121" s="116"/>
      <c r="F121" s="116">
        <v>0</v>
      </c>
      <c r="G121" s="116"/>
      <c r="H121" s="116">
        <f t="shared" si="13"/>
        <v>276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2021</v>
      </c>
      <c r="C122" s="113"/>
      <c r="D122" s="113">
        <f t="shared" si="12"/>
        <v>283</v>
      </c>
      <c r="E122" s="113"/>
      <c r="F122" s="113">
        <v>0</v>
      </c>
      <c r="G122" s="113"/>
      <c r="H122" s="113">
        <f t="shared" si="13"/>
        <v>283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2022</v>
      </c>
      <c r="C123" s="113"/>
      <c r="D123" s="113">
        <f t="shared" si="12"/>
        <v>289</v>
      </c>
      <c r="E123" s="113"/>
      <c r="F123" s="113">
        <v>0</v>
      </c>
      <c r="G123" s="113"/>
      <c r="H123" s="113">
        <f t="shared" si="13"/>
        <v>289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2023</v>
      </c>
      <c r="C124" s="113"/>
      <c r="D124" s="113">
        <f t="shared" si="12"/>
        <v>295</v>
      </c>
      <c r="E124" s="113"/>
      <c r="F124" s="113">
        <v>0</v>
      </c>
      <c r="G124" s="113"/>
      <c r="H124" s="113">
        <f t="shared" si="13"/>
        <v>295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2024</v>
      </c>
      <c r="C125" s="113"/>
      <c r="D125" s="113">
        <f t="shared" si="12"/>
        <v>301</v>
      </c>
      <c r="E125" s="113"/>
      <c r="F125" s="113">
        <v>0</v>
      </c>
      <c r="G125" s="113"/>
      <c r="H125" s="113">
        <f t="shared" si="13"/>
        <v>301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>
      <c r="A126" s="95"/>
      <c r="B126" s="115">
        <v>2025</v>
      </c>
      <c r="C126" s="116"/>
      <c r="D126" s="116">
        <f t="shared" si="12"/>
        <v>308</v>
      </c>
      <c r="E126" s="116"/>
      <c r="F126" s="116">
        <v>0</v>
      </c>
      <c r="G126" s="116"/>
      <c r="H126" s="116">
        <f t="shared" si="13"/>
        <v>308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12">
        <v>2026</v>
      </c>
      <c r="C127" s="113"/>
      <c r="D127" s="113">
        <f t="shared" si="12"/>
        <v>314</v>
      </c>
      <c r="E127" s="113"/>
      <c r="F127" s="113">
        <v>0</v>
      </c>
      <c r="G127" s="113"/>
      <c r="H127" s="113">
        <f t="shared" si="13"/>
        <v>314</v>
      </c>
      <c r="I127" s="113"/>
      <c r="J127" s="114">
        <v>0</v>
      </c>
      <c r="K127" s="114"/>
      <c r="L127" s="95"/>
      <c r="M127" s="95"/>
      <c r="N127" s="95"/>
      <c r="O127" s="95"/>
    </row>
    <row r="128" spans="1:15" ht="15" customHeight="1">
      <c r="A128" s="95"/>
      <c r="B128" s="112">
        <v>2027</v>
      </c>
      <c r="C128" s="113"/>
      <c r="D128" s="113">
        <f t="shared" si="12"/>
        <v>320</v>
      </c>
      <c r="E128" s="113"/>
      <c r="F128" s="113">
        <v>0</v>
      </c>
      <c r="G128" s="113"/>
      <c r="H128" s="113">
        <f t="shared" si="13"/>
        <v>320</v>
      </c>
      <c r="I128" s="113"/>
      <c r="J128" s="114">
        <v>0</v>
      </c>
      <c r="K128" s="114"/>
      <c r="L128" s="95"/>
      <c r="M128" s="95"/>
      <c r="N128" s="95"/>
      <c r="O128" s="95"/>
    </row>
    <row r="129" spans="1:15" ht="15" customHeight="1">
      <c r="A129" s="95"/>
      <c r="B129" s="112">
        <v>2028</v>
      </c>
      <c r="C129" s="113"/>
      <c r="D129" s="113">
        <f t="shared" si="12"/>
        <v>326</v>
      </c>
      <c r="E129" s="113"/>
      <c r="F129" s="113">
        <v>0</v>
      </c>
      <c r="G129" s="113"/>
      <c r="H129" s="113">
        <f t="shared" si="13"/>
        <v>326</v>
      </c>
      <c r="I129" s="113"/>
      <c r="J129" s="114">
        <v>0</v>
      </c>
      <c r="K129" s="114"/>
      <c r="L129" s="95"/>
      <c r="M129" s="95"/>
      <c r="N129" s="95"/>
      <c r="O129" s="95"/>
    </row>
    <row r="130" spans="1:15" ht="15" customHeight="1">
      <c r="A130" s="95"/>
      <c r="B130" s="112">
        <v>2029</v>
      </c>
      <c r="C130" s="113"/>
      <c r="D130" s="113">
        <f t="shared" si="12"/>
        <v>333</v>
      </c>
      <c r="E130" s="113"/>
      <c r="F130" s="113">
        <v>0</v>
      </c>
      <c r="G130" s="113"/>
      <c r="H130" s="113">
        <f t="shared" si="13"/>
        <v>333</v>
      </c>
      <c r="I130" s="113"/>
      <c r="J130" s="114">
        <v>0</v>
      </c>
      <c r="K130" s="114"/>
      <c r="L130" s="95"/>
      <c r="M130" s="95"/>
      <c r="N130" s="95"/>
      <c r="O130" s="95"/>
    </row>
    <row r="131" spans="1:15" ht="15" customHeight="1">
      <c r="A131" s="95"/>
      <c r="B131" s="115">
        <v>2030</v>
      </c>
      <c r="C131" s="116"/>
      <c r="D131" s="116">
        <f t="shared" si="12"/>
        <v>339</v>
      </c>
      <c r="E131" s="116"/>
      <c r="F131" s="116">
        <v>0</v>
      </c>
      <c r="G131" s="116"/>
      <c r="H131" s="116">
        <f t="shared" si="13"/>
        <v>339</v>
      </c>
      <c r="I131" s="116"/>
      <c r="J131" s="117">
        <v>0</v>
      </c>
      <c r="K131" s="117"/>
      <c r="L131" s="95"/>
      <c r="M131" s="95"/>
      <c r="N131" s="95"/>
      <c r="O131" s="95"/>
    </row>
    <row r="132" spans="1:15" ht="15" customHeight="1">
      <c r="A132" s="95"/>
      <c r="B132" s="112">
        <v>2031</v>
      </c>
      <c r="C132" s="113"/>
      <c r="D132" s="113">
        <f t="shared" si="12"/>
        <v>345</v>
      </c>
      <c r="E132" s="113"/>
      <c r="F132" s="113">
        <v>0</v>
      </c>
      <c r="G132" s="113"/>
      <c r="H132" s="113">
        <f t="shared" si="13"/>
        <v>345</v>
      </c>
      <c r="I132" s="113"/>
      <c r="J132" s="114">
        <v>0</v>
      </c>
      <c r="K132" s="114"/>
      <c r="L132" s="95"/>
      <c r="M132" s="95"/>
      <c r="N132" s="95"/>
      <c r="O132" s="95"/>
    </row>
    <row r="133" spans="1:15" ht="15" customHeight="1">
      <c r="A133" s="95"/>
      <c r="B133" s="112">
        <v>2032</v>
      </c>
      <c r="C133" s="113"/>
      <c r="D133" s="113">
        <f t="shared" si="12"/>
        <v>351</v>
      </c>
      <c r="E133" s="113"/>
      <c r="F133" s="113">
        <v>0</v>
      </c>
      <c r="G133" s="113"/>
      <c r="H133" s="113">
        <f t="shared" si="13"/>
        <v>351</v>
      </c>
      <c r="I133" s="113"/>
      <c r="J133" s="114">
        <v>0</v>
      </c>
      <c r="K133" s="114"/>
      <c r="L133" s="95"/>
      <c r="M133" s="95"/>
      <c r="N133" s="95"/>
      <c r="O133" s="95"/>
    </row>
    <row r="134" spans="1:15" ht="15" customHeight="1">
      <c r="A134" s="95"/>
      <c r="B134" s="112">
        <v>2033</v>
      </c>
      <c r="C134" s="113"/>
      <c r="D134" s="113">
        <f t="shared" si="12"/>
        <v>358</v>
      </c>
      <c r="E134" s="113"/>
      <c r="F134" s="113">
        <v>0</v>
      </c>
      <c r="G134" s="113"/>
      <c r="H134" s="113">
        <f t="shared" si="13"/>
        <v>358</v>
      </c>
      <c r="I134" s="113"/>
      <c r="J134" s="114">
        <v>0</v>
      </c>
      <c r="K134" s="114"/>
      <c r="L134" s="95"/>
      <c r="M134" s="95"/>
      <c r="N134" s="95"/>
      <c r="O134" s="95"/>
    </row>
    <row r="135" spans="1:15" ht="15" customHeight="1">
      <c r="A135" s="95"/>
      <c r="B135" s="112">
        <v>2034</v>
      </c>
      <c r="C135" s="113"/>
      <c r="D135" s="113">
        <f t="shared" si="12"/>
        <v>364</v>
      </c>
      <c r="E135" s="113"/>
      <c r="F135" s="113">
        <v>0</v>
      </c>
      <c r="G135" s="113"/>
      <c r="H135" s="113">
        <f t="shared" si="13"/>
        <v>364</v>
      </c>
      <c r="I135" s="113"/>
      <c r="J135" s="114">
        <v>0</v>
      </c>
      <c r="K135" s="114"/>
      <c r="L135" s="95"/>
      <c r="M135" s="95"/>
      <c r="N135" s="95"/>
      <c r="O135" s="95"/>
    </row>
    <row r="136" spans="1:15" ht="15" customHeight="1" thickBot="1">
      <c r="A136" s="95"/>
      <c r="B136" s="115">
        <v>2035</v>
      </c>
      <c r="C136" s="116"/>
      <c r="D136" s="116">
        <f t="shared" si="12"/>
        <v>370</v>
      </c>
      <c r="E136" s="116"/>
      <c r="F136" s="116">
        <v>0</v>
      </c>
      <c r="G136" s="116"/>
      <c r="H136" s="116">
        <f t="shared" si="13"/>
        <v>370</v>
      </c>
      <c r="I136" s="116"/>
      <c r="J136" s="117">
        <v>0</v>
      </c>
      <c r="K136" s="117"/>
      <c r="L136" s="95"/>
      <c r="M136" s="95"/>
      <c r="N136" s="95"/>
      <c r="O136" s="95"/>
    </row>
    <row r="137" spans="1:15" ht="15" customHeight="1">
      <c r="A137" s="95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95"/>
      <c r="M137" s="95"/>
      <c r="N137" s="95"/>
      <c r="O137" s="95"/>
    </row>
    <row r="138" spans="1:15" ht="15" customHeight="1">
      <c r="A138" s="95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95"/>
      <c r="M138" s="95"/>
      <c r="N138" s="95"/>
      <c r="O138" s="95"/>
    </row>
    <row r="139" spans="1:15" ht="15" customHeight="1">
      <c r="A139" s="95"/>
      <c r="B139" s="110" t="s">
        <v>203</v>
      </c>
      <c r="C139" s="111"/>
      <c r="D139" s="111"/>
      <c r="E139" s="111"/>
      <c r="F139" s="111"/>
      <c r="G139" s="95"/>
      <c r="H139" s="95"/>
      <c r="I139" s="95"/>
      <c r="J139" s="95"/>
      <c r="K139" s="95"/>
      <c r="L139" s="95"/>
      <c r="M139" s="95"/>
      <c r="N139" s="95"/>
      <c r="O139" s="95"/>
    </row>
    <row r="140" spans="1:15" ht="15" customHeight="1">
      <c r="A140" s="95"/>
      <c r="B140" s="95"/>
      <c r="C140" s="111" t="s">
        <v>204</v>
      </c>
      <c r="D140" s="111" t="s">
        <v>205</v>
      </c>
      <c r="E140" s="111"/>
      <c r="F140" s="111"/>
      <c r="G140" s="138" t="b">
        <v>1</v>
      </c>
      <c r="H140" s="95"/>
      <c r="I140" s="95"/>
      <c r="J140" s="95"/>
      <c r="K140" s="95"/>
      <c r="L140" s="95"/>
      <c r="M140" s="95"/>
      <c r="N140" s="95"/>
      <c r="O140" s="95"/>
    </row>
    <row r="141" spans="1:15" ht="15" customHeight="1">
      <c r="A141" s="95"/>
      <c r="B141" s="93"/>
      <c r="C141" s="128" t="s">
        <v>185</v>
      </c>
      <c r="D141" s="111" t="s">
        <v>207</v>
      </c>
      <c r="E141" s="111"/>
      <c r="F141" s="93"/>
      <c r="G141" s="139" t="b">
        <v>0</v>
      </c>
      <c r="H141" s="95"/>
      <c r="I141" s="95"/>
      <c r="J141" s="95"/>
      <c r="K141" s="95"/>
      <c r="L141" s="95"/>
      <c r="M141" s="95"/>
      <c r="N141" s="95"/>
      <c r="O141" s="95"/>
    </row>
    <row r="142" spans="1:15" ht="15" customHeight="1">
      <c r="A142" s="95"/>
      <c r="B142" s="93"/>
      <c r="C142" s="128"/>
      <c r="D142" s="111" t="s">
        <v>208</v>
      </c>
      <c r="E142" s="111"/>
      <c r="F142" s="93"/>
      <c r="G142" s="95"/>
      <c r="H142" s="95"/>
      <c r="I142" s="95"/>
      <c r="J142" s="95"/>
      <c r="K142" s="95"/>
      <c r="L142" s="95"/>
      <c r="M142" s="95"/>
      <c r="N142" s="95"/>
      <c r="O142" s="95"/>
    </row>
    <row r="143" spans="1:15" ht="15" customHeight="1">
      <c r="A143" s="95"/>
      <c r="B143" s="111"/>
      <c r="C143" s="111"/>
      <c r="D143" s="111" t="s">
        <v>209</v>
      </c>
      <c r="E143" s="111"/>
      <c r="F143" s="111"/>
      <c r="G143" s="95"/>
      <c r="H143" s="95"/>
      <c r="I143" s="95"/>
      <c r="J143" s="95"/>
      <c r="K143" s="95"/>
      <c r="L143" s="95"/>
      <c r="M143" s="95"/>
      <c r="N143" s="95"/>
      <c r="O143" s="95"/>
    </row>
    <row r="144" spans="1:15" ht="15" customHeight="1" thickBot="1">
      <c r="A144" s="95"/>
      <c r="B144" s="95"/>
      <c r="C144" s="95"/>
      <c r="D144" s="95"/>
      <c r="E144" s="95"/>
      <c r="F144" s="100" t="s">
        <v>210</v>
      </c>
      <c r="G144" s="100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>
      <c r="A145" s="95"/>
      <c r="B145" s="94" t="s">
        <v>141</v>
      </c>
      <c r="C145" s="94"/>
      <c r="D145" s="94" t="s">
        <v>212</v>
      </c>
      <c r="E145" s="94" t="s">
        <v>192</v>
      </c>
      <c r="F145" s="94" t="s">
        <v>192</v>
      </c>
      <c r="G145" s="94" t="s">
        <v>193</v>
      </c>
      <c r="H145" s="94" t="s">
        <v>215</v>
      </c>
      <c r="I145" s="94"/>
      <c r="J145" s="94" t="s">
        <v>216</v>
      </c>
      <c r="K145" s="94" t="s">
        <v>217</v>
      </c>
      <c r="L145" s="95"/>
      <c r="M145" s="95"/>
      <c r="N145" s="95"/>
      <c r="O145" s="95"/>
    </row>
    <row r="146" spans="1:15" ht="15" customHeight="1">
      <c r="A146" s="95"/>
      <c r="B146" s="96">
        <f t="shared" ref="B146:B155" si="14">B99</f>
        <v>2005</v>
      </c>
      <c r="C146" s="96"/>
      <c r="D146" s="100">
        <f t="shared" ref="D146:D155" si="15">VLOOKUP(B146,B$7:E$16,3,FALSE)</f>
        <v>162</v>
      </c>
      <c r="E146" s="140">
        <f t="shared" ref="E146:E155" si="16">IF(G$140=FALSE,"",((COUNT(B$99:B$108)-1))+(B146-$C$4))</f>
        <v>0</v>
      </c>
      <c r="F146" s="141">
        <f>IF(E146=0,0,"")</f>
        <v>0</v>
      </c>
      <c r="G146" s="142">
        <f t="shared" ref="G146:G155" si="17">IF(F146="","",F146^2)</f>
        <v>0</v>
      </c>
      <c r="H146" s="131">
        <f t="shared" ref="H146:H155" si="18">IF(G146="","",ABS(D146-D$146))</f>
        <v>0</v>
      </c>
      <c r="I146" s="131"/>
      <c r="J146" s="141">
        <f>IF(H146=0,0,"")</f>
        <v>0</v>
      </c>
      <c r="K146" s="143">
        <f t="shared" ref="K146:K155" si="19">IF(J146="","",J146*F146)</f>
        <v>0</v>
      </c>
      <c r="L146" s="95"/>
      <c r="M146" s="95"/>
      <c r="N146" s="95"/>
      <c r="O146" s="95"/>
    </row>
    <row r="147" spans="1:15" ht="15" customHeight="1">
      <c r="A147" s="95"/>
      <c r="B147" s="96">
        <f t="shared" si="14"/>
        <v>2006</v>
      </c>
      <c r="C147" s="96"/>
      <c r="D147" s="100">
        <f t="shared" si="15"/>
        <v>167</v>
      </c>
      <c r="E147" s="140">
        <f t="shared" si="16"/>
        <v>1</v>
      </c>
      <c r="F147" s="141">
        <f t="shared" ref="F147:F155" si="20">IF(E147="","",LOG(E147))</f>
        <v>0</v>
      </c>
      <c r="G147" s="142">
        <f t="shared" si="17"/>
        <v>0</v>
      </c>
      <c r="H147" s="131">
        <f t="shared" si="18"/>
        <v>5</v>
      </c>
      <c r="I147" s="131"/>
      <c r="J147" s="143">
        <f t="shared" ref="J147:J155" si="21">IF(H147="","",LOG(H147))</f>
        <v>0.69897000433601886</v>
      </c>
      <c r="K147" s="143">
        <f t="shared" si="19"/>
        <v>0</v>
      </c>
      <c r="L147" s="95"/>
      <c r="M147" s="95"/>
      <c r="N147" s="95"/>
      <c r="O147" s="95"/>
    </row>
    <row r="148" spans="1:15" ht="15" customHeight="1">
      <c r="A148" s="95"/>
      <c r="B148" s="96">
        <f t="shared" si="14"/>
        <v>2007</v>
      </c>
      <c r="C148" s="96"/>
      <c r="D148" s="100">
        <f t="shared" si="15"/>
        <v>219</v>
      </c>
      <c r="E148" s="140">
        <f t="shared" si="16"/>
        <v>2</v>
      </c>
      <c r="F148" s="141">
        <f t="shared" si="20"/>
        <v>0.3010299956639812</v>
      </c>
      <c r="G148" s="142">
        <f t="shared" si="17"/>
        <v>9.0619058289456544E-2</v>
      </c>
      <c r="H148" s="131">
        <f t="shared" si="18"/>
        <v>57</v>
      </c>
      <c r="I148" s="131"/>
      <c r="J148" s="143">
        <f t="shared" si="21"/>
        <v>1.7558748556724915</v>
      </c>
      <c r="K148" s="143">
        <f t="shared" si="19"/>
        <v>0.5285710001895837</v>
      </c>
      <c r="L148" s="95"/>
      <c r="M148" s="95"/>
      <c r="N148" s="95"/>
      <c r="O148" s="95"/>
    </row>
    <row r="149" spans="1:15" ht="15" customHeight="1">
      <c r="A149" s="95"/>
      <c r="B149" s="96">
        <f t="shared" si="14"/>
        <v>2008</v>
      </c>
      <c r="C149" s="96"/>
      <c r="D149" s="100">
        <f t="shared" si="15"/>
        <v>195</v>
      </c>
      <c r="E149" s="140">
        <f t="shared" si="16"/>
        <v>3</v>
      </c>
      <c r="F149" s="141">
        <f t="shared" si="20"/>
        <v>0.47712125471966244</v>
      </c>
      <c r="G149" s="142">
        <f t="shared" si="17"/>
        <v>0.227644691705265</v>
      </c>
      <c r="H149" s="131">
        <f t="shared" si="18"/>
        <v>33</v>
      </c>
      <c r="I149" s="131"/>
      <c r="J149" s="143">
        <f t="shared" si="21"/>
        <v>1.5185139398778875</v>
      </c>
      <c r="K149" s="143">
        <f t="shared" si="19"/>
        <v>0.72451527630383572</v>
      </c>
      <c r="L149" s="95"/>
      <c r="M149" s="95"/>
      <c r="N149" s="95"/>
      <c r="O149" s="95"/>
    </row>
    <row r="150" spans="1:15" ht="15" customHeight="1">
      <c r="A150" s="95"/>
      <c r="B150" s="96">
        <f t="shared" si="14"/>
        <v>2009</v>
      </c>
      <c r="C150" s="96"/>
      <c r="D150" s="100">
        <f t="shared" si="15"/>
        <v>235</v>
      </c>
      <c r="E150" s="140">
        <f t="shared" si="16"/>
        <v>4</v>
      </c>
      <c r="F150" s="141">
        <f t="shared" si="20"/>
        <v>0.6020599913279624</v>
      </c>
      <c r="G150" s="142">
        <f t="shared" si="17"/>
        <v>0.36247623315782618</v>
      </c>
      <c r="H150" s="131">
        <f t="shared" si="18"/>
        <v>73</v>
      </c>
      <c r="I150" s="131"/>
      <c r="J150" s="143">
        <f t="shared" si="21"/>
        <v>1.8633228601204559</v>
      </c>
      <c r="K150" s="143">
        <f t="shared" si="19"/>
        <v>1.1218321450053157</v>
      </c>
      <c r="L150" s="95"/>
      <c r="M150" s="95"/>
      <c r="N150" s="95"/>
      <c r="O150" s="95"/>
    </row>
    <row r="151" spans="1:15" ht="15" customHeight="1">
      <c r="A151" s="95"/>
      <c r="B151" s="96">
        <f t="shared" si="14"/>
        <v>2010</v>
      </c>
      <c r="C151" s="96"/>
      <c r="D151" s="100">
        <f t="shared" si="15"/>
        <v>233</v>
      </c>
      <c r="E151" s="140">
        <f t="shared" si="16"/>
        <v>5</v>
      </c>
      <c r="F151" s="141">
        <f t="shared" si="20"/>
        <v>0.69897000433601886</v>
      </c>
      <c r="G151" s="142">
        <f t="shared" si="17"/>
        <v>0.4885590669614942</v>
      </c>
      <c r="H151" s="131">
        <f t="shared" si="18"/>
        <v>71</v>
      </c>
      <c r="I151" s="131"/>
      <c r="J151" s="143">
        <f t="shared" si="21"/>
        <v>1.8512583487190752</v>
      </c>
      <c r="K151" s="143">
        <f t="shared" si="19"/>
        <v>1.2939740560312631</v>
      </c>
      <c r="L151" s="95"/>
      <c r="M151" s="95"/>
      <c r="N151" s="95"/>
      <c r="O151" s="95"/>
    </row>
    <row r="152" spans="1:15" ht="15" customHeight="1">
      <c r="A152" s="95"/>
      <c r="B152" s="96">
        <f t="shared" si="14"/>
        <v>2011</v>
      </c>
      <c r="C152" s="96"/>
      <c r="D152" s="100">
        <f t="shared" si="15"/>
        <v>230</v>
      </c>
      <c r="E152" s="140">
        <f t="shared" si="16"/>
        <v>6</v>
      </c>
      <c r="F152" s="141">
        <f t="shared" si="20"/>
        <v>0.77815125038364363</v>
      </c>
      <c r="G152" s="142">
        <f t="shared" si="17"/>
        <v>0.60551936847362808</v>
      </c>
      <c r="H152" s="131">
        <f t="shared" si="18"/>
        <v>68</v>
      </c>
      <c r="I152" s="131"/>
      <c r="J152" s="143">
        <f t="shared" si="21"/>
        <v>1.8325089127062364</v>
      </c>
      <c r="K152" s="143">
        <f t="shared" si="19"/>
        <v>1.425969101761529</v>
      </c>
      <c r="L152" s="95"/>
      <c r="M152" s="95"/>
      <c r="N152" s="95"/>
      <c r="O152" s="95"/>
    </row>
    <row r="153" spans="1:15" ht="15" customHeight="1">
      <c r="A153" s="95"/>
      <c r="B153" s="96">
        <f t="shared" si="14"/>
        <v>2012</v>
      </c>
      <c r="C153" s="96"/>
      <c r="D153" s="100">
        <f t="shared" si="15"/>
        <v>214</v>
      </c>
      <c r="E153" s="140">
        <f t="shared" si="16"/>
        <v>7</v>
      </c>
      <c r="F153" s="141">
        <f t="shared" si="20"/>
        <v>0.84509804001425681</v>
      </c>
      <c r="G153" s="142">
        <f t="shared" si="17"/>
        <v>0.71419069723593842</v>
      </c>
      <c r="H153" s="131">
        <f t="shared" si="18"/>
        <v>52</v>
      </c>
      <c r="I153" s="131"/>
      <c r="J153" s="143">
        <f t="shared" si="21"/>
        <v>1.7160033436347992</v>
      </c>
      <c r="K153" s="143">
        <f t="shared" si="19"/>
        <v>1.45019106236368</v>
      </c>
      <c r="L153" s="95"/>
      <c r="M153" s="95"/>
      <c r="N153" s="95"/>
      <c r="O153" s="95"/>
    </row>
    <row r="154" spans="1:15" ht="15" customHeight="1">
      <c r="A154" s="95"/>
      <c r="B154" s="96">
        <f t="shared" si="14"/>
        <v>2013</v>
      </c>
      <c r="C154" s="96"/>
      <c r="D154" s="100">
        <f t="shared" si="15"/>
        <v>226</v>
      </c>
      <c r="E154" s="140">
        <f t="shared" si="16"/>
        <v>8</v>
      </c>
      <c r="F154" s="141">
        <f t="shared" si="20"/>
        <v>0.90308998699194354</v>
      </c>
      <c r="G154" s="142">
        <f t="shared" si="17"/>
        <v>0.81557152460510873</v>
      </c>
      <c r="H154" s="131">
        <f t="shared" si="18"/>
        <v>64</v>
      </c>
      <c r="I154" s="131"/>
      <c r="J154" s="143">
        <f t="shared" si="21"/>
        <v>1.8061799739838871</v>
      </c>
      <c r="K154" s="143">
        <f t="shared" si="19"/>
        <v>1.6311430492102175</v>
      </c>
      <c r="L154" s="95"/>
      <c r="M154" s="95"/>
      <c r="N154" s="95"/>
      <c r="O154" s="95"/>
    </row>
    <row r="155" spans="1:15" ht="15" customHeight="1">
      <c r="A155" s="95"/>
      <c r="B155" s="96">
        <f t="shared" si="14"/>
        <v>2014</v>
      </c>
      <c r="C155" s="96"/>
      <c r="D155" s="100">
        <f t="shared" si="15"/>
        <v>223</v>
      </c>
      <c r="E155" s="140">
        <f t="shared" si="16"/>
        <v>9</v>
      </c>
      <c r="F155" s="141">
        <f t="shared" si="20"/>
        <v>0.95424250943932487</v>
      </c>
      <c r="G155" s="142">
        <f t="shared" si="17"/>
        <v>0.91057876682105998</v>
      </c>
      <c r="H155" s="131">
        <f t="shared" si="18"/>
        <v>61</v>
      </c>
      <c r="I155" s="131"/>
      <c r="J155" s="143">
        <f t="shared" si="21"/>
        <v>1.7853298350107671</v>
      </c>
      <c r="K155" s="143">
        <f t="shared" si="19"/>
        <v>1.7036376219375702</v>
      </c>
      <c r="L155" s="95"/>
      <c r="M155" s="95"/>
      <c r="N155" s="95"/>
      <c r="O155" s="95"/>
    </row>
    <row r="156" spans="1:15" ht="15" customHeight="1" thickBot="1">
      <c r="A156" s="95"/>
      <c r="B156" s="103" t="s">
        <v>146</v>
      </c>
      <c r="C156" s="104"/>
      <c r="D156" s="144"/>
      <c r="E156" s="145"/>
      <c r="F156" s="146">
        <f>IF(F155="","",ROUND(SUM(F146:F155),6))</f>
        <v>5.5597630000000002</v>
      </c>
      <c r="G156" s="146">
        <f>IF(G155="","",ROUND(SUM(G146:G155),6))</f>
        <v>4.2151589999999999</v>
      </c>
      <c r="H156" s="147"/>
      <c r="I156" s="148"/>
      <c r="J156" s="149">
        <f>IF(J155="","",SUM(J146:J155))</f>
        <v>14.827962074061618</v>
      </c>
      <c r="K156" s="149">
        <f>IF(K155="","",SUM(K146:K155))</f>
        <v>9.8798333128029956</v>
      </c>
      <c r="L156" s="95"/>
      <c r="M156" s="95"/>
      <c r="N156" s="95"/>
      <c r="O156" s="95"/>
    </row>
    <row r="157" spans="1:15" ht="15" customHeight="1">
      <c r="A157" s="95"/>
      <c r="B157" s="100" t="s">
        <v>219</v>
      </c>
      <c r="C157" s="100"/>
      <c r="D157" s="93" t="s">
        <v>162</v>
      </c>
      <c r="E157" s="93">
        <f>IF(G156="",0,10^ROUND((G156*J156-F156*K156)/((COUNT(B$146:B$155)-1)*G156-F156*F156),5))</f>
        <v>11.964374540313983</v>
      </c>
      <c r="F157" s="137" t="s">
        <v>220</v>
      </c>
      <c r="G157" s="95"/>
      <c r="H157" s="100"/>
      <c r="I157" s="95"/>
      <c r="J157" s="150">
        <f>IF(G156="",0,ROUND(((COUNT(B$146:B$155)-1)*K156-J156*F156)/((COUNT(B$146:B$155)-1)*G156-F156*F156),5))</f>
        <v>0.92215000000000003</v>
      </c>
      <c r="K157" s="151"/>
      <c r="L157" s="95"/>
      <c r="M157" s="95"/>
      <c r="N157" s="95"/>
      <c r="O157" s="95"/>
    </row>
    <row r="158" spans="1:15" ht="15" customHeight="1">
      <c r="A158" s="95"/>
      <c r="B158" s="95"/>
      <c r="C158" s="95"/>
      <c r="D158" s="137" t="s">
        <v>221</v>
      </c>
      <c r="E158" s="111"/>
      <c r="F158" s="111"/>
      <c r="G158" s="152"/>
      <c r="H158" s="93" t="s">
        <v>222</v>
      </c>
      <c r="I158" s="111" t="s">
        <v>223</v>
      </c>
      <c r="J158" s="93" t="str">
        <f>"A = 10^("&amp;RIGHT(H158,1)&amp;") "</f>
        <v xml:space="preserve">A = 10^(b) </v>
      </c>
      <c r="K158" s="95"/>
      <c r="L158" s="95"/>
      <c r="M158" s="95"/>
      <c r="N158" s="95"/>
      <c r="O158" s="95"/>
    </row>
    <row r="159" spans="1:15" ht="1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</row>
    <row r="160" spans="1:15" ht="15" customHeight="1" thickBot="1">
      <c r="A160" s="95"/>
      <c r="B160" s="95"/>
      <c r="C160" s="95"/>
      <c r="D160" s="95"/>
      <c r="E160" s="95"/>
      <c r="F160" s="100" t="s">
        <v>200</v>
      </c>
      <c r="G160" s="100"/>
      <c r="H160" s="95"/>
      <c r="I160" s="95"/>
      <c r="J160" s="95"/>
      <c r="K160" s="95"/>
      <c r="L160" s="95"/>
      <c r="M160" s="95"/>
      <c r="N160" s="95"/>
      <c r="O160" s="95"/>
    </row>
    <row r="161" spans="1:15" ht="15" customHeight="1">
      <c r="A161" s="95"/>
      <c r="B161" s="94" t="s">
        <v>155</v>
      </c>
      <c r="C161" s="94"/>
      <c r="D161" s="94" t="s">
        <v>174</v>
      </c>
      <c r="E161" s="94"/>
      <c r="F161" s="94" t="s">
        <v>157</v>
      </c>
      <c r="G161" s="94"/>
      <c r="H161" s="94" t="s">
        <v>158</v>
      </c>
      <c r="I161" s="94"/>
      <c r="J161" s="94" t="s">
        <v>53</v>
      </c>
      <c r="K161" s="94"/>
      <c r="L161" s="95"/>
      <c r="M161" s="95"/>
      <c r="N161" s="95"/>
      <c r="O161" s="95"/>
    </row>
    <row r="162" spans="1:15" ht="15" customHeight="1">
      <c r="A162" s="95"/>
      <c r="B162" s="112">
        <v>2014</v>
      </c>
      <c r="C162" s="100"/>
      <c r="D162" s="153">
        <f t="shared" ref="D162:D183" si="22">IF(J$157=0,0,ROUNDUP(D$146+E$157*(B162-B$146)^J$157,0))</f>
        <v>253</v>
      </c>
      <c r="E162" s="153"/>
      <c r="F162" s="97">
        <v>0</v>
      </c>
      <c r="G162" s="97"/>
      <c r="H162" s="97">
        <f t="shared" ref="H162:H183" si="23">ROUND(D162*(1+F162),0)</f>
        <v>253</v>
      </c>
      <c r="I162" s="97"/>
      <c r="J162" s="102">
        <v>0</v>
      </c>
      <c r="K162" s="102"/>
      <c r="L162" s="95"/>
      <c r="M162" s="95"/>
      <c r="N162" s="95"/>
      <c r="O162" s="95"/>
    </row>
    <row r="163" spans="1:15" ht="15" customHeight="1">
      <c r="A163" s="95"/>
      <c r="B163" s="115">
        <v>2015</v>
      </c>
      <c r="C163" s="116"/>
      <c r="D163" s="154">
        <f t="shared" si="22"/>
        <v>263</v>
      </c>
      <c r="E163" s="154"/>
      <c r="F163" s="155">
        <v>0</v>
      </c>
      <c r="G163" s="155"/>
      <c r="H163" s="155">
        <f t="shared" si="23"/>
        <v>263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2016</v>
      </c>
      <c r="C164" s="113"/>
      <c r="D164" s="153">
        <f t="shared" si="22"/>
        <v>272</v>
      </c>
      <c r="E164" s="153"/>
      <c r="F164" s="156">
        <v>0</v>
      </c>
      <c r="G164" s="156"/>
      <c r="H164" s="156">
        <f t="shared" si="23"/>
        <v>272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2017</v>
      </c>
      <c r="C165" s="113"/>
      <c r="D165" s="153">
        <f t="shared" si="22"/>
        <v>281</v>
      </c>
      <c r="E165" s="153"/>
      <c r="F165" s="156">
        <v>0</v>
      </c>
      <c r="G165" s="156"/>
      <c r="H165" s="156">
        <f t="shared" si="23"/>
        <v>281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2018</v>
      </c>
      <c r="C166" s="113"/>
      <c r="D166" s="153">
        <f t="shared" si="22"/>
        <v>290</v>
      </c>
      <c r="E166" s="153"/>
      <c r="F166" s="156">
        <v>0</v>
      </c>
      <c r="G166" s="156"/>
      <c r="H166" s="156">
        <f t="shared" si="23"/>
        <v>290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2019</v>
      </c>
      <c r="C167" s="113"/>
      <c r="D167" s="153">
        <f t="shared" si="22"/>
        <v>299</v>
      </c>
      <c r="E167" s="153"/>
      <c r="F167" s="156">
        <v>0</v>
      </c>
      <c r="G167" s="156"/>
      <c r="H167" s="156">
        <f t="shared" si="23"/>
        <v>299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>
      <c r="A168" s="95"/>
      <c r="B168" s="115">
        <v>2020</v>
      </c>
      <c r="C168" s="116"/>
      <c r="D168" s="154">
        <f t="shared" si="22"/>
        <v>308</v>
      </c>
      <c r="E168" s="154"/>
      <c r="F168" s="155">
        <v>0</v>
      </c>
      <c r="G168" s="155"/>
      <c r="H168" s="155">
        <f t="shared" si="23"/>
        <v>308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12">
        <v>2021</v>
      </c>
      <c r="C169" s="113"/>
      <c r="D169" s="153">
        <f t="shared" si="22"/>
        <v>317</v>
      </c>
      <c r="E169" s="153"/>
      <c r="F169" s="156">
        <v>0</v>
      </c>
      <c r="G169" s="156"/>
      <c r="H169" s="156">
        <f t="shared" si="23"/>
        <v>317</v>
      </c>
      <c r="I169" s="156"/>
      <c r="J169" s="114">
        <v>0</v>
      </c>
      <c r="K169" s="114"/>
      <c r="L169" s="95"/>
      <c r="M169" s="95"/>
      <c r="N169" s="95"/>
      <c r="O169" s="95"/>
    </row>
    <row r="170" spans="1:15" ht="15" customHeight="1">
      <c r="A170" s="95"/>
      <c r="B170" s="112">
        <v>2022</v>
      </c>
      <c r="C170" s="113"/>
      <c r="D170" s="153">
        <f t="shared" si="22"/>
        <v>326</v>
      </c>
      <c r="E170" s="153"/>
      <c r="F170" s="156">
        <v>0</v>
      </c>
      <c r="G170" s="156"/>
      <c r="H170" s="156">
        <f t="shared" si="23"/>
        <v>326</v>
      </c>
      <c r="I170" s="156"/>
      <c r="J170" s="114">
        <v>0</v>
      </c>
      <c r="K170" s="114"/>
      <c r="L170" s="95"/>
      <c r="M170" s="95"/>
      <c r="N170" s="95"/>
      <c r="O170" s="95"/>
    </row>
    <row r="171" spans="1:15" ht="15" customHeight="1">
      <c r="A171" s="95"/>
      <c r="B171" s="112">
        <v>2023</v>
      </c>
      <c r="C171" s="113"/>
      <c r="D171" s="153">
        <f t="shared" si="22"/>
        <v>334</v>
      </c>
      <c r="E171" s="153"/>
      <c r="F171" s="156">
        <v>0</v>
      </c>
      <c r="G171" s="156"/>
      <c r="H171" s="156">
        <f t="shared" si="23"/>
        <v>334</v>
      </c>
      <c r="I171" s="156"/>
      <c r="J171" s="114">
        <v>0</v>
      </c>
      <c r="K171" s="114"/>
      <c r="L171" s="95"/>
      <c r="M171" s="95"/>
      <c r="N171" s="95"/>
      <c r="O171" s="95"/>
    </row>
    <row r="172" spans="1:15" ht="15" customHeight="1">
      <c r="A172" s="95"/>
      <c r="B172" s="112">
        <v>2024</v>
      </c>
      <c r="C172" s="113"/>
      <c r="D172" s="153">
        <f t="shared" si="22"/>
        <v>343</v>
      </c>
      <c r="E172" s="153"/>
      <c r="F172" s="156">
        <v>0</v>
      </c>
      <c r="G172" s="156"/>
      <c r="H172" s="156">
        <f t="shared" si="23"/>
        <v>343</v>
      </c>
      <c r="I172" s="156"/>
      <c r="J172" s="114">
        <v>0</v>
      </c>
      <c r="K172" s="114"/>
      <c r="L172" s="95"/>
      <c r="M172" s="95"/>
      <c r="N172" s="95"/>
      <c r="O172" s="95"/>
    </row>
    <row r="173" spans="1:15" ht="15" customHeight="1">
      <c r="A173" s="95"/>
      <c r="B173" s="115">
        <v>2025</v>
      </c>
      <c r="C173" s="116"/>
      <c r="D173" s="154">
        <f t="shared" si="22"/>
        <v>352</v>
      </c>
      <c r="E173" s="154"/>
      <c r="F173" s="155">
        <v>0</v>
      </c>
      <c r="G173" s="155"/>
      <c r="H173" s="155">
        <f t="shared" si="23"/>
        <v>352</v>
      </c>
      <c r="I173" s="155"/>
      <c r="J173" s="117">
        <v>0</v>
      </c>
      <c r="K173" s="117"/>
      <c r="L173" s="95"/>
      <c r="M173" s="95"/>
      <c r="N173" s="95"/>
      <c r="O173" s="95"/>
    </row>
    <row r="174" spans="1:15" ht="15" customHeight="1">
      <c r="A174" s="95"/>
      <c r="B174" s="112">
        <v>2026</v>
      </c>
      <c r="C174" s="113"/>
      <c r="D174" s="153">
        <f t="shared" si="22"/>
        <v>361</v>
      </c>
      <c r="E174" s="153"/>
      <c r="F174" s="156">
        <v>0</v>
      </c>
      <c r="G174" s="156"/>
      <c r="H174" s="156">
        <f t="shared" si="23"/>
        <v>361</v>
      </c>
      <c r="I174" s="156"/>
      <c r="J174" s="114">
        <v>0</v>
      </c>
      <c r="K174" s="114"/>
      <c r="L174" s="95"/>
      <c r="M174" s="95"/>
      <c r="N174" s="95"/>
      <c r="O174" s="95"/>
    </row>
    <row r="175" spans="1:15" ht="15" customHeight="1">
      <c r="A175" s="95"/>
      <c r="B175" s="112">
        <v>2027</v>
      </c>
      <c r="C175" s="113"/>
      <c r="D175" s="153">
        <f t="shared" si="22"/>
        <v>369</v>
      </c>
      <c r="E175" s="153"/>
      <c r="F175" s="156">
        <v>0</v>
      </c>
      <c r="G175" s="156"/>
      <c r="H175" s="156">
        <f t="shared" si="23"/>
        <v>369</v>
      </c>
      <c r="I175" s="156"/>
      <c r="J175" s="114">
        <v>0</v>
      </c>
      <c r="K175" s="114"/>
      <c r="L175" s="95"/>
      <c r="M175" s="95"/>
      <c r="N175" s="95"/>
      <c r="O175" s="95"/>
    </row>
    <row r="176" spans="1:15" ht="15" customHeight="1">
      <c r="A176" s="95"/>
      <c r="B176" s="112">
        <v>2028</v>
      </c>
      <c r="C176" s="113"/>
      <c r="D176" s="153">
        <f t="shared" si="22"/>
        <v>378</v>
      </c>
      <c r="E176" s="153"/>
      <c r="F176" s="156">
        <v>0</v>
      </c>
      <c r="G176" s="156"/>
      <c r="H176" s="156">
        <f t="shared" si="23"/>
        <v>378</v>
      </c>
      <c r="I176" s="156"/>
      <c r="J176" s="114">
        <v>0</v>
      </c>
      <c r="K176" s="114"/>
      <c r="L176" s="95"/>
      <c r="M176" s="95"/>
      <c r="N176" s="95"/>
      <c r="O176" s="95"/>
    </row>
    <row r="177" spans="1:15" ht="15" customHeight="1">
      <c r="A177" s="95"/>
      <c r="B177" s="112">
        <v>2029</v>
      </c>
      <c r="C177" s="113"/>
      <c r="D177" s="153">
        <f t="shared" si="22"/>
        <v>387</v>
      </c>
      <c r="E177" s="153"/>
      <c r="F177" s="156">
        <v>0</v>
      </c>
      <c r="G177" s="156"/>
      <c r="H177" s="156">
        <f t="shared" si="23"/>
        <v>387</v>
      </c>
      <c r="I177" s="156"/>
      <c r="J177" s="114">
        <v>0</v>
      </c>
      <c r="K177" s="114"/>
      <c r="L177" s="95"/>
      <c r="M177" s="95"/>
      <c r="N177" s="95"/>
      <c r="O177" s="95"/>
    </row>
    <row r="178" spans="1:15" ht="15" customHeight="1">
      <c r="A178" s="95"/>
      <c r="B178" s="115">
        <v>2030</v>
      </c>
      <c r="C178" s="116"/>
      <c r="D178" s="154">
        <f t="shared" si="22"/>
        <v>395</v>
      </c>
      <c r="E178" s="154"/>
      <c r="F178" s="155">
        <v>0</v>
      </c>
      <c r="G178" s="155"/>
      <c r="H178" s="155">
        <f t="shared" si="23"/>
        <v>395</v>
      </c>
      <c r="I178" s="155"/>
      <c r="J178" s="117">
        <v>0</v>
      </c>
      <c r="K178" s="117"/>
      <c r="L178" s="95"/>
      <c r="M178" s="95"/>
      <c r="N178" s="95"/>
      <c r="O178" s="95"/>
    </row>
    <row r="179" spans="1:15" ht="15" customHeight="1">
      <c r="A179" s="95"/>
      <c r="B179" s="112">
        <v>2031</v>
      </c>
      <c r="C179" s="113"/>
      <c r="D179" s="153">
        <f t="shared" si="22"/>
        <v>404</v>
      </c>
      <c r="E179" s="153"/>
      <c r="F179" s="156">
        <v>0</v>
      </c>
      <c r="G179" s="156"/>
      <c r="H179" s="156">
        <f t="shared" si="23"/>
        <v>404</v>
      </c>
      <c r="I179" s="156"/>
      <c r="J179" s="114">
        <v>0</v>
      </c>
      <c r="K179" s="114"/>
      <c r="L179" s="95"/>
      <c r="M179" s="95"/>
      <c r="N179" s="95"/>
      <c r="O179" s="95"/>
    </row>
    <row r="180" spans="1:15" ht="15" customHeight="1">
      <c r="A180" s="95"/>
      <c r="B180" s="112">
        <v>2032</v>
      </c>
      <c r="C180" s="113"/>
      <c r="D180" s="153">
        <f t="shared" si="22"/>
        <v>412</v>
      </c>
      <c r="E180" s="153"/>
      <c r="F180" s="156">
        <v>0</v>
      </c>
      <c r="G180" s="156"/>
      <c r="H180" s="156">
        <f t="shared" si="23"/>
        <v>412</v>
      </c>
      <c r="I180" s="156"/>
      <c r="J180" s="114">
        <v>0</v>
      </c>
      <c r="K180" s="114"/>
      <c r="L180" s="95"/>
      <c r="M180" s="95"/>
      <c r="N180" s="95"/>
      <c r="O180" s="95"/>
    </row>
    <row r="181" spans="1:15" ht="15" customHeight="1">
      <c r="A181" s="95"/>
      <c r="B181" s="112">
        <v>2033</v>
      </c>
      <c r="C181" s="113"/>
      <c r="D181" s="153">
        <f t="shared" si="22"/>
        <v>421</v>
      </c>
      <c r="E181" s="153"/>
      <c r="F181" s="156">
        <v>0</v>
      </c>
      <c r="G181" s="156"/>
      <c r="H181" s="156">
        <f t="shared" si="23"/>
        <v>421</v>
      </c>
      <c r="I181" s="156"/>
      <c r="J181" s="114">
        <v>0</v>
      </c>
      <c r="K181" s="114"/>
      <c r="L181" s="95"/>
      <c r="M181" s="95"/>
      <c r="N181" s="95"/>
      <c r="O181" s="95"/>
    </row>
    <row r="182" spans="1:15" ht="15" customHeight="1">
      <c r="A182" s="95"/>
      <c r="B182" s="112">
        <v>2034</v>
      </c>
      <c r="C182" s="113"/>
      <c r="D182" s="153">
        <f t="shared" si="22"/>
        <v>429</v>
      </c>
      <c r="E182" s="153"/>
      <c r="F182" s="156">
        <v>0</v>
      </c>
      <c r="G182" s="156"/>
      <c r="H182" s="156">
        <f t="shared" si="23"/>
        <v>429</v>
      </c>
      <c r="I182" s="156"/>
      <c r="J182" s="114">
        <v>0</v>
      </c>
      <c r="K182" s="114"/>
      <c r="L182" s="95"/>
      <c r="M182" s="95"/>
      <c r="N182" s="95"/>
      <c r="O182" s="95"/>
    </row>
    <row r="183" spans="1:15" ht="15" customHeight="1" thickBot="1">
      <c r="A183" s="95"/>
      <c r="B183" s="115">
        <v>2035</v>
      </c>
      <c r="C183" s="116"/>
      <c r="D183" s="154">
        <f t="shared" si="22"/>
        <v>438</v>
      </c>
      <c r="E183" s="154"/>
      <c r="F183" s="155">
        <v>0</v>
      </c>
      <c r="G183" s="155"/>
      <c r="H183" s="155">
        <f t="shared" si="23"/>
        <v>438</v>
      </c>
      <c r="I183" s="155"/>
      <c r="J183" s="117">
        <v>0</v>
      </c>
      <c r="K183" s="117"/>
      <c r="L183" s="95"/>
      <c r="M183" s="95"/>
      <c r="N183" s="95"/>
      <c r="O183" s="95"/>
    </row>
    <row r="184" spans="1:15" ht="15" customHeight="1">
      <c r="A184" s="95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95"/>
      <c r="M184" s="95"/>
      <c r="N184" s="95"/>
      <c r="O184" s="95"/>
    </row>
    <row r="185" spans="1:15" ht="15" customHeight="1">
      <c r="A185" s="95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95"/>
      <c r="M185" s="95"/>
      <c r="N185" s="95"/>
      <c r="O185" s="95"/>
    </row>
    <row r="186" spans="1:15" ht="15" customHeight="1">
      <c r="A186" s="95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95"/>
      <c r="M186" s="95"/>
      <c r="N186" s="95"/>
      <c r="O186" s="95"/>
    </row>
    <row r="187" spans="1:15" ht="15" customHeight="1">
      <c r="A187" s="95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95"/>
      <c r="M187" s="95"/>
      <c r="N187" s="95"/>
      <c r="O187" s="95"/>
    </row>
    <row r="188" spans="1:15" ht="15" customHeight="1">
      <c r="A188" s="95"/>
      <c r="B188" s="126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</row>
    <row r="189" spans="1:15" ht="15" customHeight="1">
      <c r="A189" s="95"/>
      <c r="B189" s="110" t="s">
        <v>229</v>
      </c>
      <c r="C189" s="111"/>
      <c r="D189" s="111"/>
      <c r="E189" s="111"/>
      <c r="F189" s="111"/>
      <c r="G189" s="111"/>
      <c r="H189" s="95"/>
      <c r="I189" s="95"/>
      <c r="J189" s="95"/>
      <c r="K189" s="95"/>
      <c r="L189" s="95"/>
      <c r="M189" s="95"/>
      <c r="N189" s="95"/>
      <c r="O189" s="95"/>
    </row>
    <row r="190" spans="1:15" ht="15" customHeight="1">
      <c r="A190" s="95"/>
      <c r="B190" s="95"/>
      <c r="C190" s="111" t="s">
        <v>166</v>
      </c>
      <c r="D190" s="111" t="s">
        <v>231</v>
      </c>
      <c r="E190" s="111"/>
      <c r="F190" s="111"/>
      <c r="G190" s="111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3"/>
      <c r="C191" s="128" t="s">
        <v>185</v>
      </c>
      <c r="D191" s="111" t="s">
        <v>207</v>
      </c>
      <c r="E191" s="111"/>
      <c r="F191" s="93"/>
      <c r="G191" s="95"/>
      <c r="H191" s="95"/>
      <c r="I191" s="95"/>
      <c r="J191" s="95"/>
      <c r="K191" s="95"/>
      <c r="L191" s="95"/>
      <c r="M191" s="95"/>
      <c r="N191" s="95"/>
      <c r="O191" s="95"/>
    </row>
    <row r="192" spans="1:15" ht="15" customHeight="1">
      <c r="A192" s="95"/>
      <c r="B192" s="93"/>
      <c r="C192" s="128"/>
      <c r="D192" s="111" t="s">
        <v>234</v>
      </c>
      <c r="E192" s="2250">
        <f>K7</f>
        <v>600</v>
      </c>
      <c r="F192" s="2250"/>
      <c r="G192" s="111" t="s">
        <v>235</v>
      </c>
      <c r="H192" s="111"/>
      <c r="I192" s="95"/>
      <c r="J192" s="95"/>
      <c r="K192" s="95"/>
      <c r="L192" s="95"/>
      <c r="M192" s="95"/>
      <c r="N192" s="95"/>
      <c r="O192" s="95"/>
    </row>
    <row r="193" spans="1:15" ht="15" customHeight="1" thickBot="1">
      <c r="A193" s="95"/>
      <c r="B193" s="95"/>
      <c r="C193" s="95"/>
      <c r="D193" s="95"/>
      <c r="E193" s="95"/>
      <c r="F193" s="100" t="s">
        <v>236</v>
      </c>
      <c r="G193" s="100"/>
      <c r="H193" s="95"/>
      <c r="I193" s="95"/>
      <c r="J193" s="95"/>
      <c r="K193" s="95"/>
      <c r="L193" s="95"/>
      <c r="M193" s="95"/>
      <c r="N193" s="95"/>
      <c r="O193" s="95"/>
    </row>
    <row r="194" spans="1:15" ht="15" customHeight="1">
      <c r="A194" s="95"/>
      <c r="B194" s="94" t="s">
        <v>141</v>
      </c>
      <c r="C194" s="94"/>
      <c r="D194" s="94" t="s">
        <v>191</v>
      </c>
      <c r="E194" s="94" t="s">
        <v>192</v>
      </c>
      <c r="F194" s="94" t="s">
        <v>193</v>
      </c>
      <c r="G194" s="94" t="s">
        <v>241</v>
      </c>
      <c r="H194" s="94" t="s">
        <v>242</v>
      </c>
      <c r="I194" s="94" t="s">
        <v>243</v>
      </c>
      <c r="J194" s="94" t="s">
        <v>216</v>
      </c>
      <c r="K194" s="94" t="s">
        <v>245</v>
      </c>
      <c r="L194" s="95"/>
      <c r="M194" s="95"/>
      <c r="N194" s="95"/>
      <c r="O194" s="95"/>
    </row>
    <row r="195" spans="1:15" ht="15" customHeight="1">
      <c r="A195" s="95"/>
      <c r="B195" s="96">
        <f t="shared" ref="B195:B204" si="24">B146</f>
        <v>2005</v>
      </c>
      <c r="C195" s="96"/>
      <c r="D195" s="100">
        <f t="shared" ref="D195:D204" si="25">VLOOKUP(B195,B$7:E$16,3,FALSE)</f>
        <v>162</v>
      </c>
      <c r="E195" s="140">
        <f t="shared" ref="E195:E204" si="26">((COUNT(B$195:B$204)-1)/2)+(B195-$C$4)</f>
        <v>-4.5</v>
      </c>
      <c r="F195" s="98">
        <f t="shared" ref="F195:F204" si="27">E195^2</f>
        <v>20.25</v>
      </c>
      <c r="G195" s="97">
        <f t="shared" ref="G195:G204" si="28">E$192-D195</f>
        <v>438</v>
      </c>
      <c r="H195" s="157">
        <f t="shared" ref="H195:H204" si="29">LOG(D195)</f>
        <v>2.2095150145426308</v>
      </c>
      <c r="I195" s="141">
        <f t="shared" ref="I195:I204" si="30">LOG(G195)</f>
        <v>2.6414741105040997</v>
      </c>
      <c r="J195" s="142">
        <f>ROUND(H195-I195,6)</f>
        <v>-0.43195899999999998</v>
      </c>
      <c r="K195" s="142">
        <f t="shared" ref="K195:K204" si="31">E195*J195</f>
        <v>1.9438154999999999</v>
      </c>
      <c r="L195" s="95"/>
      <c r="M195" s="95"/>
      <c r="N195" s="95"/>
      <c r="O195" s="95"/>
    </row>
    <row r="196" spans="1:15" ht="15" customHeight="1">
      <c r="A196" s="95"/>
      <c r="B196" s="96">
        <f t="shared" si="24"/>
        <v>2006</v>
      </c>
      <c r="C196" s="96"/>
      <c r="D196" s="100">
        <f t="shared" si="25"/>
        <v>167</v>
      </c>
      <c r="E196" s="140">
        <f t="shared" si="26"/>
        <v>-3.5</v>
      </c>
      <c r="F196" s="98">
        <f t="shared" si="27"/>
        <v>12.25</v>
      </c>
      <c r="G196" s="97">
        <f t="shared" si="28"/>
        <v>433</v>
      </c>
      <c r="H196" s="157">
        <f t="shared" si="29"/>
        <v>2.2227164711475833</v>
      </c>
      <c r="I196" s="141">
        <f t="shared" si="30"/>
        <v>2.6364878963533656</v>
      </c>
      <c r="J196" s="142">
        <f t="shared" ref="J196:J204" si="32">H196-I196</f>
        <v>-0.41377142520578225</v>
      </c>
      <c r="K196" s="142">
        <f t="shared" si="31"/>
        <v>1.4481999882202379</v>
      </c>
      <c r="L196" s="95"/>
      <c r="M196" s="95"/>
      <c r="N196" s="95"/>
      <c r="O196" s="95"/>
    </row>
    <row r="197" spans="1:15" ht="15" customHeight="1">
      <c r="A197" s="95"/>
      <c r="B197" s="96">
        <f t="shared" si="24"/>
        <v>2007</v>
      </c>
      <c r="C197" s="96"/>
      <c r="D197" s="100">
        <f t="shared" si="25"/>
        <v>219</v>
      </c>
      <c r="E197" s="140">
        <f t="shared" si="26"/>
        <v>-2.5</v>
      </c>
      <c r="F197" s="98">
        <f t="shared" si="27"/>
        <v>6.25</v>
      </c>
      <c r="G197" s="97">
        <f t="shared" si="28"/>
        <v>381</v>
      </c>
      <c r="H197" s="157">
        <f t="shared" si="29"/>
        <v>2.3404441148401185</v>
      </c>
      <c r="I197" s="141">
        <f t="shared" si="30"/>
        <v>2.5809249756756194</v>
      </c>
      <c r="J197" s="142">
        <f t="shared" si="32"/>
        <v>-0.24048086083550091</v>
      </c>
      <c r="K197" s="142">
        <f t="shared" si="31"/>
        <v>0.60120215208875227</v>
      </c>
      <c r="L197" s="95"/>
      <c r="M197" s="95"/>
      <c r="N197" s="95"/>
      <c r="O197" s="95"/>
    </row>
    <row r="198" spans="1:15" ht="15" customHeight="1">
      <c r="A198" s="95"/>
      <c r="B198" s="96">
        <f t="shared" si="24"/>
        <v>2008</v>
      </c>
      <c r="C198" s="96"/>
      <c r="D198" s="100">
        <f t="shared" si="25"/>
        <v>195</v>
      </c>
      <c r="E198" s="140">
        <f t="shared" si="26"/>
        <v>-1.5</v>
      </c>
      <c r="F198" s="98">
        <f t="shared" si="27"/>
        <v>2.25</v>
      </c>
      <c r="G198" s="97">
        <f t="shared" si="28"/>
        <v>405</v>
      </c>
      <c r="H198" s="157">
        <f t="shared" si="29"/>
        <v>2.2900346113625178</v>
      </c>
      <c r="I198" s="141">
        <f t="shared" si="30"/>
        <v>2.6074550232146687</v>
      </c>
      <c r="J198" s="142">
        <f t="shared" si="32"/>
        <v>-0.31742041185215086</v>
      </c>
      <c r="K198" s="142">
        <f t="shared" si="31"/>
        <v>0.47613061777822629</v>
      </c>
      <c r="L198" s="95"/>
      <c r="M198" s="95"/>
      <c r="N198" s="95"/>
      <c r="O198" s="95"/>
    </row>
    <row r="199" spans="1:15" ht="15" customHeight="1">
      <c r="A199" s="95"/>
      <c r="B199" s="96">
        <f t="shared" si="24"/>
        <v>2009</v>
      </c>
      <c r="C199" s="96"/>
      <c r="D199" s="100">
        <f t="shared" si="25"/>
        <v>235</v>
      </c>
      <c r="E199" s="140">
        <f t="shared" si="26"/>
        <v>-0.5</v>
      </c>
      <c r="F199" s="98">
        <f t="shared" si="27"/>
        <v>0.25</v>
      </c>
      <c r="G199" s="97">
        <f t="shared" si="28"/>
        <v>365</v>
      </c>
      <c r="H199" s="157">
        <f t="shared" si="29"/>
        <v>2.3710678622717363</v>
      </c>
      <c r="I199" s="141">
        <f t="shared" si="30"/>
        <v>2.5622928644564746</v>
      </c>
      <c r="J199" s="142">
        <f t="shared" si="32"/>
        <v>-0.19122500218473837</v>
      </c>
      <c r="K199" s="142">
        <f t="shared" si="31"/>
        <v>9.5612501092369184E-2</v>
      </c>
      <c r="L199" s="95"/>
      <c r="M199" s="95"/>
      <c r="N199" s="95"/>
      <c r="O199" s="95"/>
    </row>
    <row r="200" spans="1:15" ht="15" customHeight="1">
      <c r="A200" s="95"/>
      <c r="B200" s="96">
        <f t="shared" si="24"/>
        <v>2010</v>
      </c>
      <c r="C200" s="96"/>
      <c r="D200" s="100">
        <f t="shared" si="25"/>
        <v>233</v>
      </c>
      <c r="E200" s="140">
        <f t="shared" si="26"/>
        <v>0.5</v>
      </c>
      <c r="F200" s="98">
        <f t="shared" si="27"/>
        <v>0.25</v>
      </c>
      <c r="G200" s="97">
        <f t="shared" si="28"/>
        <v>367</v>
      </c>
      <c r="H200" s="157">
        <f t="shared" si="29"/>
        <v>2.3673559210260189</v>
      </c>
      <c r="I200" s="141">
        <f t="shared" si="30"/>
        <v>2.5646660642520893</v>
      </c>
      <c r="J200" s="142">
        <f t="shared" si="32"/>
        <v>-0.19731014322607043</v>
      </c>
      <c r="K200" s="142">
        <f t="shared" si="31"/>
        <v>-9.8655071613035217E-2</v>
      </c>
      <c r="L200" s="95"/>
      <c r="M200" s="95"/>
      <c r="N200" s="95"/>
      <c r="O200" s="95"/>
    </row>
    <row r="201" spans="1:15" ht="15" customHeight="1">
      <c r="A201" s="95"/>
      <c r="B201" s="96">
        <f t="shared" si="24"/>
        <v>2011</v>
      </c>
      <c r="C201" s="96"/>
      <c r="D201" s="100">
        <f t="shared" si="25"/>
        <v>230</v>
      </c>
      <c r="E201" s="140">
        <f t="shared" si="26"/>
        <v>1.5</v>
      </c>
      <c r="F201" s="98">
        <f t="shared" si="27"/>
        <v>2.25</v>
      </c>
      <c r="G201" s="97">
        <f t="shared" si="28"/>
        <v>370</v>
      </c>
      <c r="H201" s="157">
        <f t="shared" si="29"/>
        <v>2.3617278360175931</v>
      </c>
      <c r="I201" s="141">
        <f t="shared" si="30"/>
        <v>2.568201724066995</v>
      </c>
      <c r="J201" s="142">
        <f t="shared" si="32"/>
        <v>-0.20647388804940192</v>
      </c>
      <c r="K201" s="142">
        <f t="shared" si="31"/>
        <v>-0.30971083207410288</v>
      </c>
      <c r="L201" s="95"/>
      <c r="M201" s="95"/>
      <c r="N201" s="95"/>
      <c r="O201" s="95"/>
    </row>
    <row r="202" spans="1:15" ht="15" customHeight="1">
      <c r="A202" s="95"/>
      <c r="B202" s="96">
        <f t="shared" si="24"/>
        <v>2012</v>
      </c>
      <c r="C202" s="96"/>
      <c r="D202" s="100">
        <f t="shared" si="25"/>
        <v>214</v>
      </c>
      <c r="E202" s="140">
        <f t="shared" si="26"/>
        <v>2.5</v>
      </c>
      <c r="F202" s="98">
        <f t="shared" si="27"/>
        <v>6.25</v>
      </c>
      <c r="G202" s="97">
        <f t="shared" si="28"/>
        <v>386</v>
      </c>
      <c r="H202" s="157">
        <f t="shared" si="29"/>
        <v>2.330413773349191</v>
      </c>
      <c r="I202" s="141">
        <f t="shared" si="30"/>
        <v>2.5865873046717551</v>
      </c>
      <c r="J202" s="142">
        <f t="shared" si="32"/>
        <v>-0.25617353132256415</v>
      </c>
      <c r="K202" s="142">
        <f t="shared" si="31"/>
        <v>-0.64043382830641038</v>
      </c>
      <c r="L202" s="95"/>
      <c r="M202" s="95"/>
      <c r="N202" s="95"/>
      <c r="O202" s="95"/>
    </row>
    <row r="203" spans="1:15" ht="15" customHeight="1">
      <c r="A203" s="95"/>
      <c r="B203" s="96">
        <f t="shared" si="24"/>
        <v>2013</v>
      </c>
      <c r="C203" s="96"/>
      <c r="D203" s="100">
        <f t="shared" si="25"/>
        <v>226</v>
      </c>
      <c r="E203" s="140">
        <f t="shared" si="26"/>
        <v>3.5</v>
      </c>
      <c r="F203" s="98">
        <f t="shared" si="27"/>
        <v>12.25</v>
      </c>
      <c r="G203" s="97">
        <f t="shared" si="28"/>
        <v>374</v>
      </c>
      <c r="H203" s="157">
        <f t="shared" si="29"/>
        <v>2.3541084391474008</v>
      </c>
      <c r="I203" s="141">
        <f t="shared" si="30"/>
        <v>2.5728716022004803</v>
      </c>
      <c r="J203" s="142">
        <f t="shared" si="32"/>
        <v>-0.21876316305307952</v>
      </c>
      <c r="K203" s="142">
        <f t="shared" si="31"/>
        <v>-0.76567107068577833</v>
      </c>
      <c r="L203" s="95"/>
      <c r="M203" s="95"/>
      <c r="N203" s="95"/>
      <c r="O203" s="95"/>
    </row>
    <row r="204" spans="1:15" ht="15" customHeight="1">
      <c r="A204" s="95"/>
      <c r="B204" s="96">
        <f t="shared" si="24"/>
        <v>2014</v>
      </c>
      <c r="C204" s="96"/>
      <c r="D204" s="100">
        <f t="shared" si="25"/>
        <v>223</v>
      </c>
      <c r="E204" s="140">
        <f t="shared" si="26"/>
        <v>4.5</v>
      </c>
      <c r="F204" s="98">
        <f t="shared" si="27"/>
        <v>20.25</v>
      </c>
      <c r="G204" s="97">
        <f t="shared" si="28"/>
        <v>377</v>
      </c>
      <c r="H204" s="157">
        <f t="shared" si="29"/>
        <v>2.3483048630481607</v>
      </c>
      <c r="I204" s="141">
        <f t="shared" si="30"/>
        <v>2.576341350205793</v>
      </c>
      <c r="J204" s="142">
        <f t="shared" si="32"/>
        <v>-0.22803648715763236</v>
      </c>
      <c r="K204" s="142">
        <f t="shared" si="31"/>
        <v>-1.0261641922093456</v>
      </c>
      <c r="L204" s="95"/>
      <c r="M204" s="95"/>
      <c r="N204" s="95"/>
      <c r="O204" s="95"/>
    </row>
    <row r="205" spans="1:15" ht="15" customHeight="1" thickBot="1">
      <c r="A205" s="95"/>
      <c r="B205" s="103" t="s">
        <v>146</v>
      </c>
      <c r="C205" s="104"/>
      <c r="D205" s="158">
        <f>SUM(D195:D204)</f>
        <v>2104</v>
      </c>
      <c r="E205" s="159">
        <f>SUM(E195:E204)</f>
        <v>0</v>
      </c>
      <c r="F205" s="160">
        <f>ROUND(SUM(F195:F204),0)</f>
        <v>83</v>
      </c>
      <c r="G205" s="145"/>
      <c r="H205" s="147"/>
      <c r="I205" s="148"/>
      <c r="J205" s="161">
        <f>SUM(J195:J204)</f>
        <v>-2.7016139128869208</v>
      </c>
      <c r="K205" s="161">
        <f>SUM(K195:K204)</f>
        <v>1.7243257642909133</v>
      </c>
      <c r="L205" s="95"/>
      <c r="M205" s="95"/>
      <c r="N205" s="95"/>
      <c r="O205" s="95"/>
    </row>
    <row r="206" spans="1:15" ht="15" customHeight="1">
      <c r="A206" s="95"/>
      <c r="B206" s="100" t="s">
        <v>246</v>
      </c>
      <c r="C206" s="100"/>
      <c r="D206" s="93" t="s">
        <v>247</v>
      </c>
      <c r="E206" s="136" t="s">
        <v>248</v>
      </c>
      <c r="F206" s="95"/>
      <c r="G206" s="111" t="str">
        <f>"X = x × LOG e = "&amp;E205&amp;" 이고,"</f>
        <v>X = x × LOG e = 0 이고,</v>
      </c>
      <c r="H206" s="111"/>
      <c r="I206" s="111" t="s">
        <v>249</v>
      </c>
      <c r="J206" s="111"/>
      <c r="K206" s="93"/>
      <c r="L206" s="95"/>
      <c r="M206" s="95"/>
      <c r="N206" s="95"/>
      <c r="O206" s="95"/>
    </row>
    <row r="207" spans="1:15" ht="15" customHeight="1">
      <c r="A207" s="95"/>
      <c r="B207" s="95"/>
      <c r="C207" s="95"/>
      <c r="D207" s="111" t="s">
        <v>250</v>
      </c>
      <c r="E207" s="111"/>
      <c r="F207" s="111"/>
      <c r="G207" s="111"/>
      <c r="H207" s="150">
        <f>ROUND(((E$205*K$205-F$205*J$205)/(COUNT(B$195:B$204)*F$205-E$205*E$205))/LOG(EXP(1)),5)</f>
        <v>0.62207000000000001</v>
      </c>
      <c r="I207" s="111"/>
      <c r="J207" s="111"/>
      <c r="K207" s="95"/>
      <c r="L207" s="95"/>
      <c r="M207" s="95"/>
      <c r="N207" s="95"/>
      <c r="O207" s="95"/>
    </row>
    <row r="208" spans="1:15" ht="15" customHeight="1">
      <c r="A208" s="95"/>
      <c r="B208" s="95"/>
      <c r="C208" s="95"/>
      <c r="D208" s="111" t="s">
        <v>251</v>
      </c>
      <c r="E208" s="111"/>
      <c r="F208" s="111"/>
      <c r="G208" s="162" t="s">
        <v>252</v>
      </c>
      <c r="H208" s="111"/>
      <c r="I208" s="111"/>
      <c r="J208" s="111"/>
      <c r="K208" s="163">
        <f>ROUND((COUNT(B$195:B$204)*K205-E205*J205)/(LOG(EXP(1))*(COUNT(B$195:B$204)*F205-E205*E205)),6)</f>
        <v>4.7835999999999997E-2</v>
      </c>
      <c r="L208" s="95"/>
      <c r="M208" s="95"/>
      <c r="N208" s="95"/>
      <c r="O208" s="95"/>
    </row>
    <row r="209" spans="1:15" ht="15" customHeight="1">
      <c r="A209" s="95"/>
      <c r="B209" s="95"/>
      <c r="C209" s="95"/>
      <c r="D209" s="111"/>
      <c r="E209" s="95"/>
      <c r="F209" s="93"/>
      <c r="G209" s="93"/>
      <c r="H209" s="111"/>
      <c r="I209" s="111"/>
      <c r="J209" s="152"/>
      <c r="K209" s="95"/>
      <c r="L209" s="95"/>
      <c r="M209" s="95"/>
      <c r="N209" s="95"/>
      <c r="O209" s="95"/>
    </row>
    <row r="210" spans="1:15" ht="15" customHeight="1" thickBot="1">
      <c r="A210" s="95"/>
      <c r="B210" s="95"/>
      <c r="C210" s="95"/>
      <c r="D210" s="95"/>
      <c r="E210" s="95"/>
      <c r="F210" s="100" t="s">
        <v>200</v>
      </c>
      <c r="G210" s="100"/>
      <c r="H210" s="95"/>
      <c r="I210" s="95"/>
      <c r="J210" s="95"/>
      <c r="K210" s="95"/>
      <c r="L210" s="95"/>
      <c r="M210" s="95"/>
      <c r="N210" s="95"/>
      <c r="O210" s="95"/>
    </row>
    <row r="211" spans="1:15" ht="15" customHeight="1">
      <c r="A211" s="95"/>
      <c r="B211" s="94" t="s">
        <v>141</v>
      </c>
      <c r="C211" s="94"/>
      <c r="D211" s="94" t="s">
        <v>174</v>
      </c>
      <c r="E211" s="94"/>
      <c r="F211" s="94" t="s">
        <v>256</v>
      </c>
      <c r="G211" s="94"/>
      <c r="H211" s="94" t="s">
        <v>257</v>
      </c>
      <c r="I211" s="94"/>
      <c r="J211" s="94" t="s">
        <v>53</v>
      </c>
      <c r="K211" s="94"/>
      <c r="L211" s="95"/>
      <c r="M211" s="95"/>
      <c r="N211" s="95"/>
      <c r="O211" s="95"/>
    </row>
    <row r="212" spans="1:15" ht="15" customHeight="1">
      <c r="A212" s="95"/>
      <c r="B212" s="112">
        <v>2014</v>
      </c>
      <c r="C212" s="100"/>
      <c r="D212" s="100">
        <f t="shared" ref="D212:D233" si="33">ROUNDUP(E$192/(1+EXP(1)^(H$207-K$208*(B212-B$200+0.5))),0)</f>
        <v>240</v>
      </c>
      <c r="E212" s="100"/>
      <c r="F212" s="100">
        <v>0</v>
      </c>
      <c r="G212" s="100"/>
      <c r="H212" s="100">
        <f t="shared" ref="H212:H233" si="34">ROUND(D212*(1+F212),0)</f>
        <v>240</v>
      </c>
      <c r="I212" s="100"/>
      <c r="J212" s="102">
        <v>0</v>
      </c>
      <c r="K212" s="102"/>
      <c r="L212" s="95"/>
      <c r="M212" s="95"/>
      <c r="N212" s="95"/>
      <c r="O212" s="95"/>
    </row>
    <row r="213" spans="1:15" ht="15" customHeight="1">
      <c r="A213" s="95"/>
      <c r="B213" s="115">
        <v>2015</v>
      </c>
      <c r="C213" s="116"/>
      <c r="D213" s="116">
        <f t="shared" si="33"/>
        <v>247</v>
      </c>
      <c r="E213" s="116"/>
      <c r="F213" s="116">
        <v>0</v>
      </c>
      <c r="G213" s="116"/>
      <c r="H213" s="116">
        <f t="shared" si="34"/>
        <v>247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12">
        <v>2016</v>
      </c>
      <c r="C214" s="113"/>
      <c r="D214" s="113">
        <f t="shared" si="33"/>
        <v>254</v>
      </c>
      <c r="E214" s="113"/>
      <c r="F214" s="113">
        <v>0</v>
      </c>
      <c r="G214" s="113"/>
      <c r="H214" s="113">
        <f t="shared" si="34"/>
        <v>254</v>
      </c>
      <c r="I214" s="113"/>
      <c r="J214" s="114">
        <v>0</v>
      </c>
      <c r="K214" s="114"/>
      <c r="L214" s="95"/>
      <c r="M214" s="95"/>
      <c r="N214" s="95"/>
      <c r="O214" s="95"/>
    </row>
    <row r="215" spans="1:15" ht="15" customHeight="1">
      <c r="A215" s="95"/>
      <c r="B215" s="112">
        <v>2017</v>
      </c>
      <c r="C215" s="113"/>
      <c r="D215" s="113">
        <f t="shared" si="33"/>
        <v>261</v>
      </c>
      <c r="E215" s="113"/>
      <c r="F215" s="113">
        <v>0</v>
      </c>
      <c r="G215" s="113"/>
      <c r="H215" s="113">
        <f t="shared" si="34"/>
        <v>261</v>
      </c>
      <c r="I215" s="113"/>
      <c r="J215" s="114">
        <v>0</v>
      </c>
      <c r="K215" s="114"/>
      <c r="L215" s="95"/>
      <c r="M215" s="95"/>
      <c r="N215" s="95"/>
      <c r="O215" s="95"/>
    </row>
    <row r="216" spans="1:15" ht="15" customHeight="1">
      <c r="A216" s="95"/>
      <c r="B216" s="112">
        <v>2018</v>
      </c>
      <c r="C216" s="113"/>
      <c r="D216" s="113">
        <f t="shared" si="33"/>
        <v>268</v>
      </c>
      <c r="E216" s="113"/>
      <c r="F216" s="113">
        <v>0</v>
      </c>
      <c r="G216" s="113"/>
      <c r="H216" s="113">
        <f t="shared" si="34"/>
        <v>268</v>
      </c>
      <c r="I216" s="113"/>
      <c r="J216" s="114">
        <v>0</v>
      </c>
      <c r="K216" s="114"/>
      <c r="L216" s="95"/>
      <c r="M216" s="95"/>
      <c r="N216" s="95"/>
      <c r="O216" s="95"/>
    </row>
    <row r="217" spans="1:15" ht="15" customHeight="1">
      <c r="A217" s="95"/>
      <c r="B217" s="112">
        <v>2019</v>
      </c>
      <c r="C217" s="113"/>
      <c r="D217" s="113">
        <f t="shared" si="33"/>
        <v>275</v>
      </c>
      <c r="E217" s="113"/>
      <c r="F217" s="113">
        <v>0</v>
      </c>
      <c r="G217" s="113"/>
      <c r="H217" s="113">
        <f t="shared" si="34"/>
        <v>275</v>
      </c>
      <c r="I217" s="113"/>
      <c r="J217" s="114">
        <v>0</v>
      </c>
      <c r="K217" s="114"/>
      <c r="L217" s="95"/>
      <c r="M217" s="95"/>
      <c r="N217" s="95"/>
      <c r="O217" s="95"/>
    </row>
    <row r="218" spans="1:15" ht="15" customHeight="1">
      <c r="A218" s="95"/>
      <c r="B218" s="115">
        <v>2020</v>
      </c>
      <c r="C218" s="116"/>
      <c r="D218" s="116">
        <f t="shared" si="33"/>
        <v>283</v>
      </c>
      <c r="E218" s="116"/>
      <c r="F218" s="116">
        <v>0</v>
      </c>
      <c r="G218" s="116"/>
      <c r="H218" s="116">
        <f t="shared" si="34"/>
        <v>283</v>
      </c>
      <c r="I218" s="116"/>
      <c r="J218" s="117">
        <v>0</v>
      </c>
      <c r="K218" s="117"/>
      <c r="L218" s="95"/>
      <c r="M218" s="95"/>
      <c r="N218" s="95"/>
      <c r="O218" s="95"/>
    </row>
    <row r="219" spans="1:15" ht="15" customHeight="1">
      <c r="A219" s="95"/>
      <c r="B219" s="112">
        <v>2021</v>
      </c>
      <c r="C219" s="113"/>
      <c r="D219" s="113">
        <f t="shared" si="33"/>
        <v>290</v>
      </c>
      <c r="E219" s="113"/>
      <c r="F219" s="113">
        <v>0</v>
      </c>
      <c r="G219" s="113"/>
      <c r="H219" s="113">
        <f t="shared" si="34"/>
        <v>290</v>
      </c>
      <c r="I219" s="113"/>
      <c r="J219" s="114">
        <v>0</v>
      </c>
      <c r="K219" s="114"/>
      <c r="L219" s="95"/>
      <c r="M219" s="95"/>
      <c r="N219" s="95"/>
      <c r="O219" s="95"/>
    </row>
    <row r="220" spans="1:15" ht="15" customHeight="1">
      <c r="A220" s="95"/>
      <c r="B220" s="112">
        <v>2022</v>
      </c>
      <c r="C220" s="113"/>
      <c r="D220" s="113">
        <f t="shared" si="33"/>
        <v>297</v>
      </c>
      <c r="E220" s="113"/>
      <c r="F220" s="113">
        <v>0</v>
      </c>
      <c r="G220" s="113"/>
      <c r="H220" s="113">
        <f t="shared" si="34"/>
        <v>297</v>
      </c>
      <c r="I220" s="113"/>
      <c r="J220" s="114">
        <v>0</v>
      </c>
      <c r="K220" s="114"/>
      <c r="L220" s="95"/>
      <c r="M220" s="95"/>
      <c r="N220" s="95"/>
      <c r="O220" s="95"/>
    </row>
    <row r="221" spans="1:15" ht="15" customHeight="1">
      <c r="A221" s="95"/>
      <c r="B221" s="112">
        <v>2023</v>
      </c>
      <c r="C221" s="113"/>
      <c r="D221" s="113">
        <f t="shared" si="33"/>
        <v>304</v>
      </c>
      <c r="E221" s="113"/>
      <c r="F221" s="113">
        <v>0</v>
      </c>
      <c r="G221" s="113"/>
      <c r="H221" s="113">
        <f t="shared" si="34"/>
        <v>304</v>
      </c>
      <c r="I221" s="113"/>
      <c r="J221" s="114">
        <v>0</v>
      </c>
      <c r="K221" s="114"/>
      <c r="L221" s="95"/>
      <c r="M221" s="95"/>
      <c r="N221" s="95"/>
      <c r="O221" s="95"/>
    </row>
    <row r="222" spans="1:15" ht="15" customHeight="1">
      <c r="A222" s="95"/>
      <c r="B222" s="112">
        <v>2024</v>
      </c>
      <c r="C222" s="113"/>
      <c r="D222" s="113">
        <f t="shared" si="33"/>
        <v>311</v>
      </c>
      <c r="E222" s="113"/>
      <c r="F222" s="113">
        <v>0</v>
      </c>
      <c r="G222" s="113"/>
      <c r="H222" s="113">
        <f t="shared" si="34"/>
        <v>311</v>
      </c>
      <c r="I222" s="113"/>
      <c r="J222" s="114">
        <v>0</v>
      </c>
      <c r="K222" s="114"/>
      <c r="L222" s="95"/>
      <c r="M222" s="95"/>
      <c r="N222" s="95"/>
      <c r="O222" s="95"/>
    </row>
    <row r="223" spans="1:15" ht="15" customHeight="1">
      <c r="A223" s="95"/>
      <c r="B223" s="115">
        <v>2025</v>
      </c>
      <c r="C223" s="116"/>
      <c r="D223" s="116">
        <f t="shared" si="33"/>
        <v>318</v>
      </c>
      <c r="E223" s="116"/>
      <c r="F223" s="116">
        <v>0</v>
      </c>
      <c r="G223" s="116"/>
      <c r="H223" s="116">
        <f t="shared" si="34"/>
        <v>318</v>
      </c>
      <c r="I223" s="116"/>
      <c r="J223" s="117">
        <v>0</v>
      </c>
      <c r="K223" s="117"/>
      <c r="L223" s="95"/>
      <c r="M223" s="95"/>
      <c r="N223" s="95"/>
      <c r="O223" s="95"/>
    </row>
    <row r="224" spans="1:15" ht="15" customHeight="1">
      <c r="A224" s="95"/>
      <c r="B224" s="112">
        <v>2026</v>
      </c>
      <c r="C224" s="113"/>
      <c r="D224" s="113">
        <f t="shared" si="33"/>
        <v>326</v>
      </c>
      <c r="E224" s="113"/>
      <c r="F224" s="113">
        <v>0</v>
      </c>
      <c r="G224" s="113"/>
      <c r="H224" s="113">
        <f t="shared" si="34"/>
        <v>326</v>
      </c>
      <c r="I224" s="113"/>
      <c r="J224" s="114">
        <v>0</v>
      </c>
      <c r="K224" s="114"/>
      <c r="L224" s="95"/>
      <c r="M224" s="95"/>
      <c r="N224" s="95"/>
      <c r="O224" s="95"/>
    </row>
    <row r="225" spans="1:15" ht="15" customHeight="1">
      <c r="A225" s="95"/>
      <c r="B225" s="112">
        <v>2027</v>
      </c>
      <c r="C225" s="113"/>
      <c r="D225" s="113">
        <f t="shared" si="33"/>
        <v>333</v>
      </c>
      <c r="E225" s="113"/>
      <c r="F225" s="113">
        <v>0</v>
      </c>
      <c r="G225" s="113"/>
      <c r="H225" s="113">
        <f t="shared" si="34"/>
        <v>333</v>
      </c>
      <c r="I225" s="113"/>
      <c r="J225" s="114">
        <v>0</v>
      </c>
      <c r="K225" s="114"/>
      <c r="L225" s="95"/>
      <c r="M225" s="95"/>
      <c r="N225" s="95"/>
      <c r="O225" s="95"/>
    </row>
    <row r="226" spans="1:15" ht="15" customHeight="1">
      <c r="A226" s="95"/>
      <c r="B226" s="112">
        <v>2028</v>
      </c>
      <c r="C226" s="113"/>
      <c r="D226" s="113">
        <f t="shared" si="33"/>
        <v>340</v>
      </c>
      <c r="E226" s="113"/>
      <c r="F226" s="113">
        <v>0</v>
      </c>
      <c r="G226" s="113"/>
      <c r="H226" s="113">
        <f t="shared" si="34"/>
        <v>340</v>
      </c>
      <c r="I226" s="113"/>
      <c r="J226" s="114">
        <v>0</v>
      </c>
      <c r="K226" s="114"/>
      <c r="L226" s="95"/>
      <c r="M226" s="95"/>
      <c r="N226" s="95"/>
      <c r="O226" s="95"/>
    </row>
    <row r="227" spans="1:15" ht="15" customHeight="1">
      <c r="A227" s="95"/>
      <c r="B227" s="112">
        <v>2029</v>
      </c>
      <c r="C227" s="113"/>
      <c r="D227" s="113">
        <f t="shared" si="33"/>
        <v>347</v>
      </c>
      <c r="E227" s="113"/>
      <c r="F227" s="113">
        <v>0</v>
      </c>
      <c r="G227" s="113"/>
      <c r="H227" s="113">
        <f t="shared" si="34"/>
        <v>347</v>
      </c>
      <c r="I227" s="113"/>
      <c r="J227" s="114">
        <v>0</v>
      </c>
      <c r="K227" s="114"/>
      <c r="L227" s="95"/>
      <c r="M227" s="95"/>
      <c r="N227" s="95"/>
      <c r="O227" s="95"/>
    </row>
    <row r="228" spans="1:15" ht="15" customHeight="1">
      <c r="A228" s="95"/>
      <c r="B228" s="115">
        <v>2030</v>
      </c>
      <c r="C228" s="116"/>
      <c r="D228" s="116">
        <f t="shared" si="33"/>
        <v>354</v>
      </c>
      <c r="E228" s="116"/>
      <c r="F228" s="116">
        <v>0</v>
      </c>
      <c r="G228" s="116"/>
      <c r="H228" s="116">
        <f t="shared" si="34"/>
        <v>354</v>
      </c>
      <c r="I228" s="116"/>
      <c r="J228" s="117">
        <v>0</v>
      </c>
      <c r="K228" s="117"/>
      <c r="L228" s="95"/>
      <c r="M228" s="95"/>
      <c r="N228" s="95"/>
      <c r="O228" s="95"/>
    </row>
    <row r="229" spans="1:15" ht="15" customHeight="1">
      <c r="A229" s="95"/>
      <c r="B229" s="112">
        <v>2031</v>
      </c>
      <c r="C229" s="113"/>
      <c r="D229" s="113">
        <f t="shared" si="33"/>
        <v>361</v>
      </c>
      <c r="E229" s="113"/>
      <c r="F229" s="113">
        <v>0</v>
      </c>
      <c r="G229" s="113"/>
      <c r="H229" s="113">
        <f t="shared" si="34"/>
        <v>361</v>
      </c>
      <c r="I229" s="113"/>
      <c r="J229" s="114">
        <v>0</v>
      </c>
      <c r="K229" s="114"/>
      <c r="L229" s="95"/>
      <c r="M229" s="95"/>
      <c r="N229" s="95"/>
      <c r="O229" s="95"/>
    </row>
    <row r="230" spans="1:15" ht="15" customHeight="1">
      <c r="A230" s="95"/>
      <c r="B230" s="112">
        <v>2032</v>
      </c>
      <c r="C230" s="113"/>
      <c r="D230" s="113">
        <f t="shared" si="33"/>
        <v>367</v>
      </c>
      <c r="E230" s="113"/>
      <c r="F230" s="113">
        <v>0</v>
      </c>
      <c r="G230" s="113"/>
      <c r="H230" s="113">
        <f t="shared" si="34"/>
        <v>367</v>
      </c>
      <c r="I230" s="113"/>
      <c r="J230" s="114">
        <v>0</v>
      </c>
      <c r="K230" s="114"/>
      <c r="L230" s="95"/>
      <c r="M230" s="95"/>
      <c r="N230" s="95"/>
      <c r="O230" s="95"/>
    </row>
    <row r="231" spans="1:15" ht="15" customHeight="1">
      <c r="A231" s="95"/>
      <c r="B231" s="112">
        <v>2033</v>
      </c>
      <c r="C231" s="113"/>
      <c r="D231" s="113">
        <f t="shared" si="33"/>
        <v>374</v>
      </c>
      <c r="E231" s="113"/>
      <c r="F231" s="113">
        <v>0</v>
      </c>
      <c r="G231" s="113"/>
      <c r="H231" s="113">
        <f t="shared" si="34"/>
        <v>374</v>
      </c>
      <c r="I231" s="113"/>
      <c r="J231" s="114">
        <v>0</v>
      </c>
      <c r="K231" s="114"/>
      <c r="L231" s="95"/>
      <c r="M231" s="95"/>
      <c r="N231" s="95"/>
      <c r="O231" s="95"/>
    </row>
    <row r="232" spans="1:15" ht="15" customHeight="1">
      <c r="A232" s="95"/>
      <c r="B232" s="112">
        <v>2034</v>
      </c>
      <c r="C232" s="113"/>
      <c r="D232" s="113">
        <f t="shared" si="33"/>
        <v>381</v>
      </c>
      <c r="E232" s="113"/>
      <c r="F232" s="113">
        <v>0</v>
      </c>
      <c r="G232" s="113"/>
      <c r="H232" s="113">
        <f t="shared" si="34"/>
        <v>381</v>
      </c>
      <c r="I232" s="113"/>
      <c r="J232" s="114">
        <v>0</v>
      </c>
      <c r="K232" s="114"/>
      <c r="L232" s="95"/>
      <c r="M232" s="95"/>
      <c r="N232" s="95"/>
      <c r="O232" s="95"/>
    </row>
    <row r="233" spans="1:15" ht="15" customHeight="1" thickBot="1">
      <c r="A233" s="95"/>
      <c r="B233" s="115">
        <v>2035</v>
      </c>
      <c r="C233" s="116"/>
      <c r="D233" s="116">
        <f t="shared" si="33"/>
        <v>388</v>
      </c>
      <c r="E233" s="116"/>
      <c r="F233" s="116">
        <v>0</v>
      </c>
      <c r="G233" s="116"/>
      <c r="H233" s="116">
        <f t="shared" si="34"/>
        <v>388</v>
      </c>
      <c r="I233" s="116"/>
      <c r="J233" s="117">
        <v>0</v>
      </c>
      <c r="K233" s="117"/>
      <c r="L233" s="95"/>
      <c r="M233" s="95"/>
      <c r="N233" s="95"/>
      <c r="O233" s="95"/>
    </row>
    <row r="234" spans="1:15" ht="15" customHeight="1">
      <c r="A234" s="95"/>
      <c r="B234" s="121"/>
      <c r="C234" s="121"/>
      <c r="D234" s="121"/>
      <c r="E234" s="121"/>
      <c r="F234" s="121"/>
      <c r="G234" s="121"/>
      <c r="H234" s="121"/>
      <c r="I234" s="121"/>
      <c r="J234" s="121"/>
      <c r="K234" s="121"/>
      <c r="L234" s="95"/>
      <c r="M234" s="95"/>
      <c r="N234" s="95"/>
      <c r="O234" s="95"/>
    </row>
    <row r="235" spans="1:15" ht="15" customHeight="1">
      <c r="A235" s="95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95"/>
      <c r="M235" s="95"/>
      <c r="N235" s="95"/>
      <c r="O235" s="95"/>
    </row>
    <row r="236" spans="1:15" ht="15" customHeight="1">
      <c r="A236" s="95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95"/>
      <c r="M236" s="95"/>
      <c r="N236" s="95"/>
      <c r="O236" s="95"/>
    </row>
    <row r="237" spans="1:15" ht="15" customHeight="1">
      <c r="A237" s="95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95"/>
      <c r="M237" s="95"/>
      <c r="N237" s="95"/>
      <c r="O237" s="95"/>
    </row>
    <row r="238" spans="1:15" ht="15" customHeight="1">
      <c r="A238" s="95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95"/>
      <c r="M238" s="95"/>
      <c r="N238" s="95"/>
      <c r="O238" s="95"/>
    </row>
    <row r="239" spans="1:15" ht="15" customHeight="1" thickBot="1">
      <c r="A239" s="95"/>
      <c r="B239" s="95"/>
      <c r="C239" s="95"/>
      <c r="D239" s="95"/>
      <c r="E239" s="95"/>
      <c r="F239" s="100" t="s">
        <v>259</v>
      </c>
      <c r="G239" s="100"/>
      <c r="H239" s="95"/>
      <c r="I239" s="95"/>
      <c r="J239" s="95"/>
      <c r="K239" s="128" t="s">
        <v>260</v>
      </c>
      <c r="L239" s="95"/>
      <c r="M239" s="95"/>
      <c r="N239" s="95"/>
      <c r="O239" s="95"/>
    </row>
    <row r="240" spans="1:15" ht="15" customHeight="1">
      <c r="A240" s="95"/>
      <c r="B240" s="94" t="s">
        <v>141</v>
      </c>
      <c r="C240" s="94"/>
      <c r="D240" s="94" t="s">
        <v>261</v>
      </c>
      <c r="E240" s="94" t="s">
        <v>262</v>
      </c>
      <c r="F240" s="94" t="s">
        <v>263</v>
      </c>
      <c r="G240" s="94" t="s">
        <v>279</v>
      </c>
      <c r="H240" s="94" t="s">
        <v>264</v>
      </c>
      <c r="I240" s="94" t="s">
        <v>54</v>
      </c>
      <c r="J240" s="94" t="s">
        <v>266</v>
      </c>
      <c r="K240" s="94"/>
      <c r="L240" s="95"/>
      <c r="M240" s="95"/>
      <c r="N240" s="95">
        <v>396</v>
      </c>
      <c r="O240" s="95">
        <v>386</v>
      </c>
    </row>
    <row r="241" spans="1:15" ht="15" customHeight="1">
      <c r="A241" s="95"/>
      <c r="B241" s="112">
        <v>2014</v>
      </c>
      <c r="C241" s="113"/>
      <c r="D241" s="153">
        <f t="array" ref="D241">IF(B26=B241,H26)</f>
        <v>223</v>
      </c>
      <c r="E241" s="153">
        <f t="array" ref="E241">IF(B60=B241,H60)</f>
        <v>223</v>
      </c>
      <c r="F241" s="153">
        <f t="array" ref="F241">IF(B115=B241,H115)</f>
        <v>239</v>
      </c>
      <c r="G241" s="153">
        <f t="array" ref="G241">IF(B162=B241,H162)</f>
        <v>253</v>
      </c>
      <c r="H241" s="153">
        <f t="array" ref="H241">IF(B212=B241,H212)</f>
        <v>240</v>
      </c>
      <c r="I241" s="153">
        <f t="shared" ref="I241:I262" si="35">IF(G241=0,AVERAGE(D241,E241,F241,H241),AVERAGE(D241:H241))</f>
        <v>235.6</v>
      </c>
      <c r="J241" s="164">
        <f t="shared" ref="J241:J262" si="36">ROUND(AVERAGE(D241,F241:G241),0)</f>
        <v>238</v>
      </c>
      <c r="K241" s="156"/>
      <c r="L241" s="95"/>
      <c r="M241" s="95"/>
      <c r="N241" s="95"/>
      <c r="O241" s="95"/>
    </row>
    <row r="242" spans="1:15" ht="15" customHeight="1">
      <c r="A242" s="95"/>
      <c r="B242" s="115">
        <v>2015</v>
      </c>
      <c r="C242" s="116"/>
      <c r="D242" s="154">
        <f t="array" ref="D242">IF(B27=B242,H27)</f>
        <v>230</v>
      </c>
      <c r="E242" s="154">
        <f t="array" ref="E242">IF(B61=B242,H61)</f>
        <v>231</v>
      </c>
      <c r="F242" s="154">
        <f t="array" ref="F242">IF(B116=B242,H116)</f>
        <v>245</v>
      </c>
      <c r="G242" s="154">
        <f t="array" ref="G242">IF(B163=B242,H163)</f>
        <v>263</v>
      </c>
      <c r="H242" s="154">
        <f t="array" ref="H242">IF(B213=B242,H213)</f>
        <v>247</v>
      </c>
      <c r="I242" s="154">
        <f t="shared" si="35"/>
        <v>243.2</v>
      </c>
      <c r="J242" s="165">
        <f t="shared" si="36"/>
        <v>246</v>
      </c>
      <c r="K242" s="155"/>
      <c r="L242" s="95"/>
      <c r="M242" s="95"/>
      <c r="N242" s="95"/>
      <c r="O242" s="95"/>
    </row>
    <row r="243" spans="1:15" ht="15" customHeight="1">
      <c r="A243" s="95"/>
      <c r="B243" s="112">
        <v>2016</v>
      </c>
      <c r="C243" s="113"/>
      <c r="D243" s="153">
        <f t="array" ref="D243">IF(B28=B243,H28)</f>
        <v>237</v>
      </c>
      <c r="E243" s="153">
        <f t="array" ref="E243">IF(B62=B243,H62)</f>
        <v>239</v>
      </c>
      <c r="F243" s="153">
        <f t="array" ref="F243">IF(B117=B243,H117)</f>
        <v>251</v>
      </c>
      <c r="G243" s="153">
        <f t="array" ref="G243">IF(B164=B243,H164)</f>
        <v>272</v>
      </c>
      <c r="H243" s="153">
        <f t="array" ref="H243">IF(B214=B243,H214)</f>
        <v>254</v>
      </c>
      <c r="I243" s="153">
        <f t="shared" si="35"/>
        <v>250.6</v>
      </c>
      <c r="J243" s="164">
        <f t="shared" si="36"/>
        <v>253</v>
      </c>
      <c r="K243" s="156"/>
      <c r="L243" s="95"/>
      <c r="M243" s="95"/>
      <c r="N243" s="95"/>
      <c r="O243" s="95"/>
    </row>
    <row r="244" spans="1:15" ht="15" customHeight="1">
      <c r="A244" s="95"/>
      <c r="B244" s="112">
        <v>2017</v>
      </c>
      <c r="C244" s="113"/>
      <c r="D244" s="153">
        <f t="array" ref="D244">IF(B29=B244,H29)</f>
        <v>243</v>
      </c>
      <c r="E244" s="153">
        <f t="array" ref="E244">IF(B63=B244,H63)</f>
        <v>248</v>
      </c>
      <c r="F244" s="153">
        <f t="array" ref="F244">IF(B118=B244,H118)</f>
        <v>257</v>
      </c>
      <c r="G244" s="153">
        <f t="array" ref="G244">IF(B165=B244,H165)</f>
        <v>281</v>
      </c>
      <c r="H244" s="153">
        <f t="array" ref="H244">IF(B215=B244,H215)</f>
        <v>261</v>
      </c>
      <c r="I244" s="153">
        <f t="shared" si="35"/>
        <v>258</v>
      </c>
      <c r="J244" s="164">
        <f t="shared" si="36"/>
        <v>260</v>
      </c>
      <c r="K244" s="156"/>
      <c r="L244" s="95"/>
      <c r="M244" s="95"/>
      <c r="N244" s="95"/>
      <c r="O244" s="95"/>
    </row>
    <row r="245" spans="1:15" ht="15" customHeight="1">
      <c r="A245" s="95"/>
      <c r="B245" s="112">
        <v>2018</v>
      </c>
      <c r="C245" s="113"/>
      <c r="D245" s="153">
        <f t="array" ref="D245">IF(B30=B245,H30)</f>
        <v>250</v>
      </c>
      <c r="E245" s="153">
        <f t="array" ref="E245">IF(B64=B245,H64)</f>
        <v>257</v>
      </c>
      <c r="F245" s="153">
        <f t="array" ref="F245">IF(B119=B245,H119)</f>
        <v>264</v>
      </c>
      <c r="G245" s="153">
        <f t="array" ref="G245">IF(B166=B245,H166)</f>
        <v>290</v>
      </c>
      <c r="H245" s="153">
        <f t="array" ref="H245">IF(B216=B245,H216)</f>
        <v>268</v>
      </c>
      <c r="I245" s="153">
        <f t="shared" si="35"/>
        <v>265.8</v>
      </c>
      <c r="J245" s="164">
        <f t="shared" si="36"/>
        <v>268</v>
      </c>
      <c r="K245" s="156"/>
      <c r="L245" s="95"/>
      <c r="M245" s="95"/>
      <c r="N245" s="95"/>
      <c r="O245" s="95"/>
    </row>
    <row r="246" spans="1:15" ht="15" customHeight="1">
      <c r="A246" s="95"/>
      <c r="B246" s="112">
        <v>2019</v>
      </c>
      <c r="C246" s="113"/>
      <c r="D246" s="153">
        <f t="array" ref="D246">IF(B31=B246,H31)</f>
        <v>257</v>
      </c>
      <c r="E246" s="153">
        <f t="array" ref="E246">IF(B65=B246,H65)</f>
        <v>266</v>
      </c>
      <c r="F246" s="153">
        <f t="array" ref="F246">IF(B120=B246,H120)</f>
        <v>270</v>
      </c>
      <c r="G246" s="153">
        <f t="array" ref="G246">IF(B167=B246,H167)</f>
        <v>299</v>
      </c>
      <c r="H246" s="153">
        <f t="array" ref="H246">IF(B217=B246,H217)</f>
        <v>275</v>
      </c>
      <c r="I246" s="153">
        <f t="shared" si="35"/>
        <v>273.39999999999998</v>
      </c>
      <c r="J246" s="164">
        <f t="shared" si="36"/>
        <v>275</v>
      </c>
      <c r="K246" s="156"/>
      <c r="L246" s="95"/>
      <c r="M246" s="95"/>
      <c r="N246" s="95"/>
      <c r="O246" s="95"/>
    </row>
    <row r="247" spans="1:15" ht="15" customHeight="1">
      <c r="A247" s="95"/>
      <c r="B247" s="115">
        <v>2020</v>
      </c>
      <c r="C247" s="116"/>
      <c r="D247" s="154">
        <f t="array" ref="D247">IF(B32=B247,H32)</f>
        <v>264</v>
      </c>
      <c r="E247" s="154">
        <f t="array" ref="E247">IF(B66=B247,H66)</f>
        <v>276</v>
      </c>
      <c r="F247" s="154">
        <f t="array" ref="F247">IF(B121=B247,H121)</f>
        <v>276</v>
      </c>
      <c r="G247" s="154">
        <f t="array" ref="G247">IF(B168=B247,H168)</f>
        <v>308</v>
      </c>
      <c r="H247" s="154">
        <f t="array" ref="H247">IF(B218=B247,H218)</f>
        <v>283</v>
      </c>
      <c r="I247" s="154">
        <f t="shared" si="35"/>
        <v>281.39999999999998</v>
      </c>
      <c r="J247" s="165">
        <f t="shared" si="36"/>
        <v>283</v>
      </c>
      <c r="K247" s="155"/>
      <c r="L247" s="95"/>
      <c r="M247" s="95"/>
      <c r="N247" s="95"/>
      <c r="O247" s="95"/>
    </row>
    <row r="248" spans="1:15" ht="15" customHeight="1">
      <c r="A248" s="95"/>
      <c r="B248" s="112">
        <v>2021</v>
      </c>
      <c r="C248" s="113"/>
      <c r="D248" s="153">
        <f t="array" ref="D248">IF(B33=B248,H33)</f>
        <v>271</v>
      </c>
      <c r="E248" s="153">
        <f t="array" ref="E248">IF(B67=B248,H67)</f>
        <v>286</v>
      </c>
      <c r="F248" s="153">
        <f t="array" ref="F248">IF(B122=B248,H122)</f>
        <v>283</v>
      </c>
      <c r="G248" s="153">
        <f t="array" ref="G248">IF(B169=B248,H169)</f>
        <v>317</v>
      </c>
      <c r="H248" s="153">
        <f t="array" ref="H248">IF(B219=B248,H219)</f>
        <v>290</v>
      </c>
      <c r="I248" s="153">
        <f t="shared" si="35"/>
        <v>289.39999999999998</v>
      </c>
      <c r="J248" s="164">
        <f t="shared" si="36"/>
        <v>290</v>
      </c>
      <c r="K248" s="156"/>
      <c r="L248" s="95"/>
      <c r="M248" s="95"/>
      <c r="N248" s="95"/>
      <c r="O248" s="95"/>
    </row>
    <row r="249" spans="1:15" ht="15" customHeight="1">
      <c r="A249" s="95"/>
      <c r="B249" s="112">
        <v>2022</v>
      </c>
      <c r="C249" s="113"/>
      <c r="D249" s="153">
        <f t="array" ref="D249">IF(B34=B249,H34)</f>
        <v>277</v>
      </c>
      <c r="E249" s="153">
        <f t="array" ref="E249">IF(B68=B249,H68)</f>
        <v>296</v>
      </c>
      <c r="F249" s="153">
        <f t="array" ref="F249">IF(B123=B249,H123)</f>
        <v>289</v>
      </c>
      <c r="G249" s="153">
        <f t="array" ref="G249">IF(B170=B249,H170)</f>
        <v>326</v>
      </c>
      <c r="H249" s="153">
        <f t="array" ref="H249">IF(B220=B249,H220)</f>
        <v>297</v>
      </c>
      <c r="I249" s="153">
        <f t="shared" si="35"/>
        <v>297</v>
      </c>
      <c r="J249" s="164">
        <f t="shared" si="36"/>
        <v>297</v>
      </c>
      <c r="K249" s="156"/>
      <c r="L249" s="95"/>
      <c r="M249" s="95"/>
      <c r="N249" s="95"/>
      <c r="O249" s="95"/>
    </row>
    <row r="250" spans="1:15" ht="15" customHeight="1">
      <c r="A250" s="95"/>
      <c r="B250" s="112">
        <v>2023</v>
      </c>
      <c r="C250" s="113"/>
      <c r="D250" s="153">
        <f t="array" ref="D250">IF(B35=B250,H35)</f>
        <v>284</v>
      </c>
      <c r="E250" s="153">
        <f t="array" ref="E250">IF(B69=B250,H69)</f>
        <v>307</v>
      </c>
      <c r="F250" s="153">
        <f t="array" ref="F250">IF(B124=B250,H124)</f>
        <v>295</v>
      </c>
      <c r="G250" s="153">
        <f t="array" ref="G250">IF(B171=B250,H171)</f>
        <v>334</v>
      </c>
      <c r="H250" s="153">
        <f t="array" ref="H250">IF(B221=B250,H221)</f>
        <v>304</v>
      </c>
      <c r="I250" s="153">
        <f t="shared" si="35"/>
        <v>304.8</v>
      </c>
      <c r="J250" s="164">
        <f t="shared" si="36"/>
        <v>304</v>
      </c>
      <c r="K250" s="156"/>
      <c r="L250" s="95"/>
      <c r="M250" s="95"/>
      <c r="N250" s="95"/>
      <c r="O250" s="95"/>
    </row>
    <row r="251" spans="1:15" ht="15" customHeight="1">
      <c r="A251" s="95"/>
      <c r="B251" s="112">
        <v>2024</v>
      </c>
      <c r="C251" s="113"/>
      <c r="D251" s="153">
        <f t="array" ref="D251">IF(B36=B251,H36)</f>
        <v>291</v>
      </c>
      <c r="E251" s="153">
        <f t="array" ref="E251">IF(B70=B251,H70)</f>
        <v>318</v>
      </c>
      <c r="F251" s="153">
        <f t="array" ref="F251">IF(B125=B251,H125)</f>
        <v>301</v>
      </c>
      <c r="G251" s="153">
        <f t="array" ref="G251">IF(B172=B251,H172)</f>
        <v>343</v>
      </c>
      <c r="H251" s="153">
        <f t="array" ref="H251">IF(B222=B251,H222)</f>
        <v>311</v>
      </c>
      <c r="I251" s="153">
        <f t="shared" si="35"/>
        <v>312.8</v>
      </c>
      <c r="J251" s="164">
        <f t="shared" si="36"/>
        <v>312</v>
      </c>
      <c r="K251" s="156"/>
      <c r="L251" s="95"/>
      <c r="M251" s="95"/>
      <c r="N251" s="95"/>
      <c r="O251" s="95"/>
    </row>
    <row r="252" spans="1:15" ht="15" customHeight="1">
      <c r="A252" s="95"/>
      <c r="B252" s="115">
        <v>2025</v>
      </c>
      <c r="C252" s="116"/>
      <c r="D252" s="154">
        <f t="array" ref="D252">IF(B37=B252,H37)</f>
        <v>298</v>
      </c>
      <c r="E252" s="154">
        <f t="array" ref="E252">IF(B71=B252,H71)</f>
        <v>330</v>
      </c>
      <c r="F252" s="154">
        <f t="array" ref="F252">IF(B126=B252,H126)</f>
        <v>308</v>
      </c>
      <c r="G252" s="154">
        <f t="array" ref="G252">IF(B173=B252,H173)</f>
        <v>352</v>
      </c>
      <c r="H252" s="154">
        <f t="array" ref="H252">IF(B223=B252,H223)</f>
        <v>318</v>
      </c>
      <c r="I252" s="154">
        <f t="shared" si="35"/>
        <v>321.2</v>
      </c>
      <c r="J252" s="165">
        <f t="shared" si="36"/>
        <v>319</v>
      </c>
      <c r="K252" s="155"/>
      <c r="L252" s="95"/>
      <c r="M252" s="95"/>
      <c r="N252" s="95"/>
      <c r="O252" s="95"/>
    </row>
    <row r="253" spans="1:15" ht="15" customHeight="1">
      <c r="A253" s="95"/>
      <c r="B253" s="112">
        <v>2026</v>
      </c>
      <c r="C253" s="113"/>
      <c r="D253" s="153">
        <f t="array" ref="D253">IF(B38=B253,H38)</f>
        <v>305</v>
      </c>
      <c r="E253" s="153">
        <f t="array" ref="E253">IF(B72=B253,H72)</f>
        <v>341</v>
      </c>
      <c r="F253" s="153">
        <f t="array" ref="F253">IF(B127=B253,H127)</f>
        <v>314</v>
      </c>
      <c r="G253" s="153">
        <f t="array" ref="G253">IF(B174=B253,H174)</f>
        <v>361</v>
      </c>
      <c r="H253" s="153">
        <f t="array" ref="H253">IF(B224=B253,H224)</f>
        <v>326</v>
      </c>
      <c r="I253" s="153">
        <f t="shared" si="35"/>
        <v>329.4</v>
      </c>
      <c r="J253" s="164">
        <f t="shared" si="36"/>
        <v>327</v>
      </c>
      <c r="K253" s="156"/>
      <c r="L253" s="95"/>
      <c r="M253" s="95"/>
      <c r="N253" s="95"/>
      <c r="O253" s="95"/>
    </row>
    <row r="254" spans="1:15" ht="15" customHeight="1">
      <c r="A254" s="95"/>
      <c r="B254" s="112">
        <v>2027</v>
      </c>
      <c r="C254" s="113"/>
      <c r="D254" s="153">
        <f t="array" ref="D254">IF(B39=B254,H39)</f>
        <v>311</v>
      </c>
      <c r="E254" s="153">
        <f t="array" ref="E254">IF(B73=B254,H73)</f>
        <v>354</v>
      </c>
      <c r="F254" s="153">
        <f t="array" ref="F254">IF(B128=B254,H128)</f>
        <v>320</v>
      </c>
      <c r="G254" s="153">
        <f t="array" ref="G254">IF(B175=B254,H175)</f>
        <v>369</v>
      </c>
      <c r="H254" s="153">
        <f t="array" ref="H254">IF(B225=B254,H225)</f>
        <v>333</v>
      </c>
      <c r="I254" s="153">
        <f t="shared" si="35"/>
        <v>337.4</v>
      </c>
      <c r="J254" s="164">
        <f t="shared" si="36"/>
        <v>333</v>
      </c>
      <c r="K254" s="156"/>
      <c r="L254" s="95"/>
      <c r="M254" s="95"/>
      <c r="N254" s="95"/>
      <c r="O254" s="95"/>
    </row>
    <row r="255" spans="1:15" ht="15" customHeight="1">
      <c r="A255" s="95"/>
      <c r="B255" s="112">
        <v>2028</v>
      </c>
      <c r="C255" s="113"/>
      <c r="D255" s="153">
        <f t="array" ref="D255">IF(B40=B255,H40)</f>
        <v>318</v>
      </c>
      <c r="E255" s="153">
        <f t="array" ref="E255">IF(B74=B255,H74)</f>
        <v>367</v>
      </c>
      <c r="F255" s="153">
        <f t="array" ref="F255">IF(B129=B255,H129)</f>
        <v>326</v>
      </c>
      <c r="G255" s="153">
        <f t="array" ref="G255">IF(B176=B255,H176)</f>
        <v>378</v>
      </c>
      <c r="H255" s="153">
        <f t="array" ref="H255">IF(B226=B255,H226)</f>
        <v>340</v>
      </c>
      <c r="I255" s="153">
        <f t="shared" si="35"/>
        <v>345.8</v>
      </c>
      <c r="J255" s="164">
        <f t="shared" si="36"/>
        <v>341</v>
      </c>
      <c r="K255" s="156"/>
      <c r="L255" s="95"/>
      <c r="M255" s="95"/>
      <c r="N255" s="95"/>
      <c r="O255" s="95"/>
    </row>
    <row r="256" spans="1:15" ht="15" customHeight="1">
      <c r="A256" s="95"/>
      <c r="B256" s="112">
        <v>2029</v>
      </c>
      <c r="C256" s="113"/>
      <c r="D256" s="153">
        <f t="array" ref="D256">IF(B41=B256,H41)</f>
        <v>325</v>
      </c>
      <c r="E256" s="153">
        <f t="array" ref="E256">IF(B75=B256,H75)</f>
        <v>380</v>
      </c>
      <c r="F256" s="153">
        <f t="array" ref="F256">IF(B130=B256,H130)</f>
        <v>333</v>
      </c>
      <c r="G256" s="153">
        <f t="array" ref="G256">IF(B177=B256,H177)</f>
        <v>387</v>
      </c>
      <c r="H256" s="153">
        <f t="array" ref="H256">IF(B227=B256,H227)</f>
        <v>347</v>
      </c>
      <c r="I256" s="153">
        <f t="shared" si="35"/>
        <v>354.4</v>
      </c>
      <c r="J256" s="164">
        <f t="shared" si="36"/>
        <v>348</v>
      </c>
      <c r="K256" s="156"/>
      <c r="L256" s="95"/>
      <c r="M256" s="95"/>
      <c r="N256" s="95"/>
      <c r="O256" s="95"/>
    </row>
    <row r="257" spans="1:15" ht="15" customHeight="1">
      <c r="A257" s="95"/>
      <c r="B257" s="115">
        <v>2030</v>
      </c>
      <c r="C257" s="116"/>
      <c r="D257" s="154">
        <f t="array" ref="D257">IF(B42=B257,H42)</f>
        <v>332</v>
      </c>
      <c r="E257" s="154">
        <f t="array" ref="E257">IF(B76=B257,H76)</f>
        <v>394</v>
      </c>
      <c r="F257" s="154">
        <f t="array" ref="F257">IF(B131=B257,H131)</f>
        <v>339</v>
      </c>
      <c r="G257" s="154">
        <f t="array" ref="G257">IF(B178=B257,H178)</f>
        <v>395</v>
      </c>
      <c r="H257" s="154">
        <f t="array" ref="H257">IF(B228=B257,H228)</f>
        <v>354</v>
      </c>
      <c r="I257" s="154">
        <f t="shared" si="35"/>
        <v>362.8</v>
      </c>
      <c r="J257" s="165">
        <f t="shared" si="36"/>
        <v>355</v>
      </c>
      <c r="K257" s="155"/>
      <c r="L257" s="95"/>
      <c r="M257" s="95"/>
      <c r="N257" s="95"/>
      <c r="O257" s="95"/>
    </row>
    <row r="258" spans="1:15" ht="15" customHeight="1">
      <c r="A258" s="95"/>
      <c r="B258" s="112">
        <v>2031</v>
      </c>
      <c r="C258" s="113"/>
      <c r="D258" s="153">
        <f t="array" ref="D258">IF(B43=B258,H43)</f>
        <v>339</v>
      </c>
      <c r="E258" s="153">
        <f t="array" ref="E258">IF(B77=B258,H77)</f>
        <v>408</v>
      </c>
      <c r="F258" s="153">
        <f t="array" ref="F258">IF(B132=B258,H132)</f>
        <v>345</v>
      </c>
      <c r="G258" s="153">
        <f t="array" ref="G258">IF(B179=B258,H179)</f>
        <v>404</v>
      </c>
      <c r="H258" s="153">
        <f t="array" ref="H258">IF(B229=B258,H229)</f>
        <v>361</v>
      </c>
      <c r="I258" s="153">
        <f t="shared" si="35"/>
        <v>371.4</v>
      </c>
      <c r="J258" s="164">
        <f t="shared" si="36"/>
        <v>363</v>
      </c>
      <c r="K258" s="156"/>
      <c r="L258" s="95"/>
      <c r="M258" s="95"/>
      <c r="N258" s="95"/>
      <c r="O258" s="95"/>
    </row>
    <row r="259" spans="1:15" ht="15" customHeight="1">
      <c r="A259" s="95"/>
      <c r="B259" s="112">
        <v>2032</v>
      </c>
      <c r="C259" s="113"/>
      <c r="D259" s="153">
        <f t="array" ref="D259">IF(B44=B259,H44)</f>
        <v>345</v>
      </c>
      <c r="E259" s="153">
        <f t="array" ref="E259">IF(B78=B259,H78)</f>
        <v>423</v>
      </c>
      <c r="F259" s="153">
        <f t="array" ref="F259">IF(B133=B259,H133)</f>
        <v>351</v>
      </c>
      <c r="G259" s="153">
        <f t="array" ref="G259">IF(B180=B259,H180)</f>
        <v>412</v>
      </c>
      <c r="H259" s="153">
        <f t="array" ref="H259">IF(B230=B259,H230)</f>
        <v>367</v>
      </c>
      <c r="I259" s="153">
        <f t="shared" si="35"/>
        <v>379.6</v>
      </c>
      <c r="J259" s="164">
        <f t="shared" si="36"/>
        <v>369</v>
      </c>
      <c r="K259" s="156"/>
      <c r="L259" s="95"/>
      <c r="M259" s="95"/>
      <c r="N259" s="95"/>
      <c r="O259" s="95"/>
    </row>
    <row r="260" spans="1:15" ht="15" customHeight="1">
      <c r="A260" s="95"/>
      <c r="B260" s="112">
        <v>2033</v>
      </c>
      <c r="C260" s="113"/>
      <c r="D260" s="153">
        <f t="array" ref="D260">IF(B45=B260,H45)</f>
        <v>352</v>
      </c>
      <c r="E260" s="153">
        <f t="array" ref="E260">IF(B79=B260,H79)</f>
        <v>438</v>
      </c>
      <c r="F260" s="153">
        <f t="array" ref="F260">IF(B134=B260,H134)</f>
        <v>358</v>
      </c>
      <c r="G260" s="153">
        <f t="array" ref="G260">IF(B181=B260,H181)</f>
        <v>421</v>
      </c>
      <c r="H260" s="153">
        <f t="array" ref="H260">IF(B231=B260,H231)</f>
        <v>374</v>
      </c>
      <c r="I260" s="153">
        <f t="shared" si="35"/>
        <v>388.6</v>
      </c>
      <c r="J260" s="164">
        <f t="shared" si="36"/>
        <v>377</v>
      </c>
      <c r="K260" s="156"/>
      <c r="L260" s="95"/>
      <c r="M260" s="95"/>
      <c r="N260" s="95"/>
      <c r="O260" s="95"/>
    </row>
    <row r="261" spans="1:15" ht="15" customHeight="1">
      <c r="A261" s="95"/>
      <c r="B261" s="112">
        <v>2034</v>
      </c>
      <c r="C261" s="113"/>
      <c r="D261" s="153">
        <f t="array" ref="D261">IF(B46=B261,H46)</f>
        <v>359</v>
      </c>
      <c r="E261" s="153">
        <f t="array" ref="E261">IF(B80=B261,H80)</f>
        <v>454</v>
      </c>
      <c r="F261" s="153">
        <f t="array" ref="F261">IF(B135=B261,H135)</f>
        <v>364</v>
      </c>
      <c r="G261" s="153">
        <f t="array" ref="G261">IF(B182=B261,H182)</f>
        <v>429</v>
      </c>
      <c r="H261" s="153">
        <f t="array" ref="H261">IF(B232=B261,H232)</f>
        <v>381</v>
      </c>
      <c r="I261" s="153">
        <f t="shared" si="35"/>
        <v>397.4</v>
      </c>
      <c r="J261" s="164">
        <f t="shared" si="36"/>
        <v>384</v>
      </c>
      <c r="K261" s="156"/>
      <c r="L261" s="95"/>
      <c r="M261" s="95"/>
      <c r="N261" s="95"/>
      <c r="O261" s="95"/>
    </row>
    <row r="262" spans="1:15" ht="15" customHeight="1" thickBot="1">
      <c r="A262" s="95"/>
      <c r="B262" s="115">
        <v>2035</v>
      </c>
      <c r="C262" s="116"/>
      <c r="D262" s="154">
        <f t="array" ref="D262">IF(B47=B262,H47)</f>
        <v>366</v>
      </c>
      <c r="E262" s="154">
        <f t="array" ref="E262">IF(B81=B262,H81)</f>
        <v>470</v>
      </c>
      <c r="F262" s="154">
        <f t="array" ref="F262">IF(B136=B262,H136)</f>
        <v>370</v>
      </c>
      <c r="G262" s="154">
        <f t="array" ref="G262">IF(B183=B262,H183)</f>
        <v>438</v>
      </c>
      <c r="H262" s="154">
        <f t="array" ref="H262">IF(B233=B262,H233)</f>
        <v>388</v>
      </c>
      <c r="I262" s="154">
        <f t="shared" si="35"/>
        <v>406.4</v>
      </c>
      <c r="J262" s="165">
        <f t="shared" si="36"/>
        <v>391</v>
      </c>
      <c r="K262" s="155"/>
      <c r="L262" s="95"/>
      <c r="M262" s="95"/>
      <c r="N262" s="95"/>
      <c r="O262" s="95"/>
    </row>
    <row r="263" spans="1:15">
      <c r="B263" s="121"/>
      <c r="C263" s="121"/>
      <c r="D263" s="121"/>
      <c r="E263" s="121"/>
      <c r="F263" s="121"/>
      <c r="G263" s="121"/>
      <c r="H263" s="121"/>
      <c r="I263" s="121"/>
      <c r="J263" s="121"/>
      <c r="K263" s="121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88" customWidth="1"/>
    <col min="2" max="3" width="6.109375" style="88" customWidth="1"/>
    <col min="4" max="4" width="7.33203125" style="88" customWidth="1"/>
    <col min="5" max="5" width="7.109375" style="88" customWidth="1"/>
    <col min="6" max="6" width="6.5546875" style="88" customWidth="1"/>
    <col min="7" max="7" width="6.77734375" style="88" customWidth="1"/>
    <col min="8" max="8" width="7.109375" style="88" customWidth="1"/>
    <col min="9" max="9" width="6.6640625" style="88" customWidth="1"/>
    <col min="10" max="10" width="8.5546875" style="88" customWidth="1"/>
    <col min="11" max="11" width="9.21875" style="88" customWidth="1"/>
    <col min="12" max="12" width="1" style="88" customWidth="1"/>
    <col min="13" max="15" width="8.88671875" style="85"/>
  </cols>
  <sheetData>
    <row r="1" spans="1:15" ht="15" customHeight="1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5" ht="15" customHeight="1">
      <c r="A2" s="86" t="s">
        <v>973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4"/>
    </row>
    <row r="3" spans="1:15" ht="15" customHeight="1">
      <c r="A3" s="87"/>
      <c r="B3" s="83"/>
      <c r="C3" s="83"/>
      <c r="D3" s="83"/>
      <c r="E3" s="83"/>
      <c r="F3" s="83"/>
      <c r="G3" s="83"/>
      <c r="H3" s="83"/>
      <c r="I3" s="83"/>
      <c r="J3" s="83"/>
      <c r="K3" s="83"/>
      <c r="L3" s="84"/>
    </row>
    <row r="4" spans="1:15" ht="15" customHeight="1">
      <c r="B4" s="89" t="s">
        <v>138</v>
      </c>
      <c r="C4" s="89">
        <v>2014</v>
      </c>
    </row>
    <row r="5" spans="1:15" ht="15" customHeight="1" thickBot="1">
      <c r="A5" s="90"/>
      <c r="B5" s="88" t="s">
        <v>139</v>
      </c>
      <c r="C5" s="91"/>
      <c r="D5" s="196" t="s">
        <v>1775</v>
      </c>
      <c r="F5" s="92" t="s">
        <v>140</v>
      </c>
      <c r="G5" s="92"/>
      <c r="I5" s="91"/>
      <c r="J5" s="91"/>
      <c r="K5" s="91"/>
      <c r="L5" s="91"/>
    </row>
    <row r="6" spans="1:15" ht="15" customHeight="1">
      <c r="A6" s="93"/>
      <c r="B6" s="94" t="s">
        <v>141</v>
      </c>
      <c r="C6" s="94"/>
      <c r="D6" s="94" t="s">
        <v>276</v>
      </c>
      <c r="E6" s="94"/>
      <c r="F6" s="94" t="s">
        <v>142</v>
      </c>
      <c r="G6" s="94"/>
      <c r="H6" s="94" t="s">
        <v>143</v>
      </c>
      <c r="I6" s="94"/>
      <c r="J6" s="94" t="s">
        <v>144</v>
      </c>
      <c r="K6" s="94"/>
      <c r="L6" s="95"/>
      <c r="M6" s="95"/>
      <c r="N6" s="95"/>
      <c r="O6" s="95"/>
    </row>
    <row r="7" spans="1:15" ht="15" customHeight="1">
      <c r="A7" s="95"/>
      <c r="B7" s="204">
        <v>2010</v>
      </c>
      <c r="C7" s="96"/>
      <c r="D7" s="97">
        <f>+'금왕읍(10년) (사)'!D12</f>
        <v>233</v>
      </c>
      <c r="E7" s="97"/>
      <c r="F7" s="98">
        <v>0</v>
      </c>
      <c r="G7" s="98"/>
      <c r="H7" s="99">
        <v>0</v>
      </c>
      <c r="I7" s="100"/>
      <c r="J7" s="101" t="s">
        <v>145</v>
      </c>
      <c r="K7" s="101">
        <v>600</v>
      </c>
      <c r="L7" s="95"/>
      <c r="M7" s="95"/>
      <c r="N7" s="95"/>
      <c r="O7" s="95"/>
    </row>
    <row r="8" spans="1:15" ht="15" customHeight="1">
      <c r="A8" s="95"/>
      <c r="B8" s="204">
        <f>+B7+1</f>
        <v>2011</v>
      </c>
      <c r="C8" s="96"/>
      <c r="D8" s="97">
        <f>+'금왕읍(10년) (사)'!D13</f>
        <v>230</v>
      </c>
      <c r="E8" s="97"/>
      <c r="F8" s="98">
        <f>D8-D7</f>
        <v>-3</v>
      </c>
      <c r="G8" s="98"/>
      <c r="H8" s="99">
        <f>ROUND(F8/D7*100,2)</f>
        <v>-1.29</v>
      </c>
      <c r="I8" s="100"/>
      <c r="J8" s="102">
        <v>0</v>
      </c>
      <c r="K8" s="102"/>
      <c r="L8" s="95"/>
      <c r="M8" s="95"/>
      <c r="N8" s="95"/>
      <c r="O8" s="95"/>
    </row>
    <row r="9" spans="1:15" ht="15" customHeight="1">
      <c r="A9" s="95"/>
      <c r="B9" s="204">
        <f>+B8+1</f>
        <v>2012</v>
      </c>
      <c r="C9" s="96"/>
      <c r="D9" s="97">
        <f>+'금왕읍(10년) (사)'!D14</f>
        <v>214</v>
      </c>
      <c r="E9" s="97"/>
      <c r="F9" s="98">
        <f>D9-D8</f>
        <v>-16</v>
      </c>
      <c r="G9" s="98"/>
      <c r="H9" s="99">
        <f>ROUND(F9/D8*100,2)</f>
        <v>-6.96</v>
      </c>
      <c r="I9" s="100"/>
      <c r="J9" s="102">
        <v>0</v>
      </c>
      <c r="K9" s="102"/>
      <c r="L9" s="95"/>
      <c r="M9" s="95"/>
      <c r="N9" s="95"/>
      <c r="O9" s="95"/>
    </row>
    <row r="10" spans="1:15" ht="15" customHeight="1">
      <c r="A10" s="95"/>
      <c r="B10" s="204">
        <f>+B9+1</f>
        <v>2013</v>
      </c>
      <c r="C10" s="96"/>
      <c r="D10" s="97">
        <f>+'금왕읍(10년) (사)'!D15</f>
        <v>226</v>
      </c>
      <c r="E10" s="97"/>
      <c r="F10" s="98">
        <f>D10-D9</f>
        <v>12</v>
      </c>
      <c r="G10" s="98"/>
      <c r="H10" s="99">
        <f>ROUND(F10/D9*100,2)</f>
        <v>5.61</v>
      </c>
      <c r="I10" s="100"/>
      <c r="J10" s="102">
        <v>0</v>
      </c>
      <c r="K10" s="102"/>
      <c r="L10" s="95"/>
      <c r="M10" s="95"/>
      <c r="N10" s="95"/>
      <c r="O10" s="95"/>
    </row>
    <row r="11" spans="1:15" ht="15" customHeight="1">
      <c r="A11" s="95"/>
      <c r="B11" s="204">
        <f>+B10+1</f>
        <v>2014</v>
      </c>
      <c r="C11" s="96"/>
      <c r="D11" s="97">
        <f>+'금왕읍(10년) (사)'!D16</f>
        <v>223</v>
      </c>
      <c r="E11" s="97"/>
      <c r="F11" s="98">
        <f>D11-D10</f>
        <v>-3</v>
      </c>
      <c r="G11" s="98"/>
      <c r="H11" s="99">
        <f>ROUND(F11/D10*100,2)</f>
        <v>-1.33</v>
      </c>
      <c r="I11" s="100"/>
      <c r="J11" s="102">
        <v>0</v>
      </c>
      <c r="K11" s="102"/>
      <c r="L11" s="95"/>
      <c r="M11" s="95"/>
      <c r="N11" s="95"/>
      <c r="O11" s="95"/>
    </row>
    <row r="12" spans="1:15" ht="15" customHeight="1" thickBot="1">
      <c r="A12" s="95"/>
      <c r="B12" s="103" t="s">
        <v>146</v>
      </c>
      <c r="C12" s="104"/>
      <c r="D12" s="105">
        <f>SUM(D7:D11)</f>
        <v>1126</v>
      </c>
      <c r="E12" s="106"/>
      <c r="F12" s="107"/>
      <c r="G12" s="107"/>
      <c r="H12" s="108">
        <f>SUM(H7:H11)</f>
        <v>-3.9699999999999998</v>
      </c>
      <c r="I12" s="108"/>
      <c r="J12" s="109">
        <f>ROUND(AVERAGE(H7:H11),1)</f>
        <v>-0.8</v>
      </c>
      <c r="K12" s="109"/>
      <c r="L12" s="95"/>
      <c r="M12" s="95"/>
      <c r="N12" s="95"/>
      <c r="O12" s="95"/>
    </row>
    <row r="13" spans="1:15" ht="1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</row>
    <row r="14" spans="1:15" ht="15" customHeight="1">
      <c r="A14" s="95"/>
      <c r="B14" s="110" t="s">
        <v>147</v>
      </c>
      <c r="C14" s="111"/>
      <c r="D14" s="111"/>
      <c r="E14" s="111"/>
      <c r="F14" s="111"/>
      <c r="G14" s="95"/>
      <c r="H14" s="95"/>
      <c r="I14" s="95"/>
      <c r="J14" s="95"/>
      <c r="K14" s="95"/>
      <c r="L14" s="95"/>
      <c r="M14" s="95"/>
      <c r="N14" s="95"/>
      <c r="O14" s="95"/>
    </row>
    <row r="15" spans="1:15" ht="15" customHeight="1">
      <c r="A15" s="95"/>
      <c r="B15" s="95"/>
      <c r="C15" s="111" t="s">
        <v>148</v>
      </c>
      <c r="D15" s="111" t="s">
        <v>149</v>
      </c>
      <c r="E15" s="111"/>
      <c r="F15" s="111"/>
      <c r="G15" s="95"/>
      <c r="H15" s="95"/>
      <c r="I15" s="95"/>
      <c r="J15" s="95"/>
      <c r="K15" s="95"/>
      <c r="L15" s="95"/>
      <c r="M15" s="95"/>
      <c r="N15" s="95"/>
      <c r="O15" s="95"/>
    </row>
    <row r="16" spans="1:15" ht="15" customHeight="1">
      <c r="A16" s="95"/>
      <c r="B16" s="93"/>
      <c r="C16" s="93" t="s">
        <v>150</v>
      </c>
      <c r="D16" s="111" t="s">
        <v>151</v>
      </c>
      <c r="E16" s="93"/>
      <c r="F16" s="93"/>
      <c r="G16" s="95"/>
      <c r="H16" s="95"/>
      <c r="I16" s="95"/>
      <c r="J16" s="95"/>
      <c r="K16" s="95"/>
      <c r="L16" s="95"/>
      <c r="M16" s="95"/>
      <c r="N16" s="95"/>
      <c r="O16" s="95"/>
    </row>
    <row r="17" spans="1:15" ht="15" customHeight="1">
      <c r="A17" s="95"/>
      <c r="B17" s="111"/>
      <c r="C17" s="111"/>
      <c r="D17" s="111" t="s">
        <v>152</v>
      </c>
      <c r="E17" s="111"/>
      <c r="F17" s="111"/>
      <c r="G17" s="95"/>
      <c r="H17" s="95"/>
      <c r="I17" s="95"/>
      <c r="J17" s="95"/>
      <c r="K17" s="95"/>
      <c r="L17" s="95"/>
      <c r="M17" s="95"/>
      <c r="N17" s="95"/>
      <c r="O17" s="95"/>
    </row>
    <row r="18" spans="1:15" ht="15" customHeight="1">
      <c r="A18" s="95"/>
      <c r="B18" s="111"/>
      <c r="C18" s="111"/>
      <c r="D18" s="111" t="s">
        <v>153</v>
      </c>
      <c r="E18" s="111"/>
      <c r="F18" s="111"/>
      <c r="G18" s="95"/>
      <c r="H18" s="95"/>
      <c r="I18" s="95"/>
      <c r="J18" s="95"/>
      <c r="K18" s="95"/>
      <c r="L18" s="95"/>
      <c r="M18" s="95"/>
      <c r="N18" s="95"/>
      <c r="O18" s="95"/>
    </row>
    <row r="19" spans="1:15" ht="15" customHeight="1" thickBot="1">
      <c r="A19" s="95"/>
      <c r="B19" s="95"/>
      <c r="C19" s="95"/>
      <c r="D19" s="95"/>
      <c r="E19" s="95"/>
      <c r="F19" s="100" t="s">
        <v>154</v>
      </c>
      <c r="G19" s="100"/>
      <c r="H19" s="95"/>
      <c r="I19" s="95"/>
      <c r="J19" s="95"/>
      <c r="K19" s="95"/>
      <c r="L19" s="95"/>
      <c r="M19" s="95"/>
      <c r="N19" s="95"/>
      <c r="O19" s="95"/>
    </row>
    <row r="20" spans="1:15" ht="15" customHeight="1">
      <c r="A20" s="95"/>
      <c r="B20" s="94" t="s">
        <v>155</v>
      </c>
      <c r="C20" s="94"/>
      <c r="D20" s="94" t="s">
        <v>156</v>
      </c>
      <c r="E20" s="94"/>
      <c r="F20" s="94" t="s">
        <v>157</v>
      </c>
      <c r="G20" s="94"/>
      <c r="H20" s="94" t="s">
        <v>158</v>
      </c>
      <c r="I20" s="94"/>
      <c r="J20" s="94" t="s">
        <v>53</v>
      </c>
      <c r="K20" s="94"/>
      <c r="L20" s="95"/>
      <c r="M20" s="95"/>
      <c r="N20" s="95"/>
      <c r="O20" s="95"/>
    </row>
    <row r="21" spans="1:15" ht="15" customHeight="1">
      <c r="A21" s="95"/>
      <c r="B21" s="112">
        <v>2014</v>
      </c>
      <c r="C21" s="113"/>
      <c r="D21" s="113">
        <f t="shared" ref="D21:D42" si="0">ROUND(E$43+H$43*(B21-$C$4),0)</f>
        <v>223</v>
      </c>
      <c r="E21" s="113"/>
      <c r="F21" s="113">
        <v>0</v>
      </c>
      <c r="G21" s="113"/>
      <c r="H21" s="113">
        <f t="shared" ref="H21:H42" si="1">ROUND(D21*(1+F21),0)</f>
        <v>223</v>
      </c>
      <c r="I21" s="113"/>
      <c r="J21" s="114">
        <v>0</v>
      </c>
      <c r="K21" s="114"/>
      <c r="L21" s="95"/>
      <c r="M21" s="95"/>
      <c r="N21" s="95"/>
      <c r="O21" s="95"/>
    </row>
    <row r="22" spans="1:15" ht="15" customHeight="1">
      <c r="A22" s="95"/>
      <c r="B22" s="115">
        <v>2015</v>
      </c>
      <c r="C22" s="116"/>
      <c r="D22" s="116">
        <f t="shared" si="0"/>
        <v>221</v>
      </c>
      <c r="E22" s="116"/>
      <c r="F22" s="116">
        <v>0</v>
      </c>
      <c r="G22" s="116"/>
      <c r="H22" s="116">
        <f t="shared" si="1"/>
        <v>221</v>
      </c>
      <c r="I22" s="116"/>
      <c r="J22" s="117">
        <v>0</v>
      </c>
      <c r="K22" s="117"/>
      <c r="L22" s="95"/>
      <c r="M22" s="95"/>
      <c r="N22" s="95"/>
      <c r="O22" s="95"/>
    </row>
    <row r="23" spans="1:15" ht="15" customHeight="1">
      <c r="A23" s="95"/>
      <c r="B23" s="112">
        <v>2016</v>
      </c>
      <c r="C23" s="113"/>
      <c r="D23" s="113">
        <f t="shared" si="0"/>
        <v>218</v>
      </c>
      <c r="E23" s="113"/>
      <c r="F23" s="113">
        <v>0</v>
      </c>
      <c r="G23" s="113"/>
      <c r="H23" s="113">
        <f t="shared" si="1"/>
        <v>218</v>
      </c>
      <c r="I23" s="113"/>
      <c r="J23" s="114">
        <v>0</v>
      </c>
      <c r="K23" s="114"/>
      <c r="L23" s="95"/>
      <c r="M23" s="95"/>
      <c r="N23" s="95"/>
      <c r="O23" s="95"/>
    </row>
    <row r="24" spans="1:15" ht="15" customHeight="1">
      <c r="A24" s="95"/>
      <c r="B24" s="112">
        <v>2017</v>
      </c>
      <c r="C24" s="113"/>
      <c r="D24" s="113">
        <f t="shared" si="0"/>
        <v>216</v>
      </c>
      <c r="E24" s="113"/>
      <c r="F24" s="113">
        <v>0</v>
      </c>
      <c r="G24" s="113"/>
      <c r="H24" s="113">
        <f t="shared" si="1"/>
        <v>216</v>
      </c>
      <c r="I24" s="113"/>
      <c r="J24" s="114">
        <v>0</v>
      </c>
      <c r="K24" s="114"/>
      <c r="L24" s="95"/>
      <c r="M24" s="95"/>
      <c r="N24" s="95"/>
      <c r="O24" s="95"/>
    </row>
    <row r="25" spans="1:15" ht="15" customHeight="1">
      <c r="A25" s="95"/>
      <c r="B25" s="112">
        <v>2018</v>
      </c>
      <c r="C25" s="113"/>
      <c r="D25" s="113">
        <f t="shared" si="0"/>
        <v>213</v>
      </c>
      <c r="E25" s="113"/>
      <c r="F25" s="113">
        <v>0</v>
      </c>
      <c r="G25" s="113"/>
      <c r="H25" s="113">
        <f t="shared" si="1"/>
        <v>213</v>
      </c>
      <c r="I25" s="113"/>
      <c r="J25" s="114">
        <v>0</v>
      </c>
      <c r="K25" s="114"/>
      <c r="L25" s="95"/>
      <c r="M25" s="95"/>
      <c r="N25" s="95"/>
      <c r="O25" s="95"/>
    </row>
    <row r="26" spans="1:15" ht="15" customHeight="1">
      <c r="A26" s="95"/>
      <c r="B26" s="112">
        <v>2019</v>
      </c>
      <c r="C26" s="113"/>
      <c r="D26" s="113">
        <f t="shared" si="0"/>
        <v>211</v>
      </c>
      <c r="E26" s="113"/>
      <c r="F26" s="113">
        <v>0</v>
      </c>
      <c r="G26" s="113"/>
      <c r="H26" s="113">
        <f t="shared" si="1"/>
        <v>211</v>
      </c>
      <c r="I26" s="113"/>
      <c r="J26" s="114">
        <v>0</v>
      </c>
      <c r="K26" s="114"/>
      <c r="L26" s="95"/>
      <c r="M26" s="95"/>
      <c r="N26" s="95"/>
      <c r="O26" s="95"/>
    </row>
    <row r="27" spans="1:15" ht="15" customHeight="1">
      <c r="A27" s="95"/>
      <c r="B27" s="115">
        <v>2020</v>
      </c>
      <c r="C27" s="116"/>
      <c r="D27" s="116">
        <f t="shared" si="0"/>
        <v>208</v>
      </c>
      <c r="E27" s="116"/>
      <c r="F27" s="116">
        <v>0</v>
      </c>
      <c r="G27" s="116"/>
      <c r="H27" s="116">
        <f t="shared" si="1"/>
        <v>208</v>
      </c>
      <c r="I27" s="116"/>
      <c r="J27" s="117">
        <v>0</v>
      </c>
      <c r="K27" s="117"/>
      <c r="L27" s="95"/>
      <c r="M27" s="95"/>
      <c r="N27" s="95"/>
      <c r="O27" s="95"/>
    </row>
    <row r="28" spans="1:15" ht="15" customHeight="1">
      <c r="A28" s="95"/>
      <c r="B28" s="112">
        <v>2021</v>
      </c>
      <c r="C28" s="113"/>
      <c r="D28" s="113">
        <f t="shared" si="0"/>
        <v>206</v>
      </c>
      <c r="E28" s="113"/>
      <c r="F28" s="113">
        <v>0</v>
      </c>
      <c r="G28" s="113"/>
      <c r="H28" s="113">
        <f t="shared" si="1"/>
        <v>206</v>
      </c>
      <c r="I28" s="113"/>
      <c r="J28" s="114">
        <v>0</v>
      </c>
      <c r="K28" s="114"/>
      <c r="L28" s="95"/>
      <c r="M28" s="95"/>
      <c r="N28" s="95"/>
      <c r="O28" s="95"/>
    </row>
    <row r="29" spans="1:15" ht="15" customHeight="1">
      <c r="A29" s="95"/>
      <c r="B29" s="112">
        <v>2022</v>
      </c>
      <c r="C29" s="113"/>
      <c r="D29" s="113">
        <f t="shared" si="0"/>
        <v>203</v>
      </c>
      <c r="E29" s="113"/>
      <c r="F29" s="113">
        <v>0</v>
      </c>
      <c r="G29" s="113"/>
      <c r="H29" s="113">
        <f t="shared" si="1"/>
        <v>203</v>
      </c>
      <c r="I29" s="113"/>
      <c r="J29" s="114">
        <v>0</v>
      </c>
      <c r="K29" s="114"/>
      <c r="L29" s="95"/>
      <c r="M29" s="95"/>
      <c r="N29" s="95"/>
      <c r="O29" s="95"/>
    </row>
    <row r="30" spans="1:15" ht="15" customHeight="1">
      <c r="A30" s="95"/>
      <c r="B30" s="112">
        <v>2023</v>
      </c>
      <c r="C30" s="113"/>
      <c r="D30" s="113">
        <f t="shared" si="0"/>
        <v>201</v>
      </c>
      <c r="E30" s="113"/>
      <c r="F30" s="113">
        <v>0</v>
      </c>
      <c r="G30" s="113"/>
      <c r="H30" s="113">
        <f t="shared" si="1"/>
        <v>201</v>
      </c>
      <c r="I30" s="113"/>
      <c r="J30" s="114">
        <v>0</v>
      </c>
      <c r="K30" s="114"/>
      <c r="L30" s="95"/>
      <c r="M30" s="95"/>
      <c r="N30" s="95"/>
      <c r="O30" s="95"/>
    </row>
    <row r="31" spans="1:15" ht="15" customHeight="1">
      <c r="A31" s="95"/>
      <c r="B31" s="112">
        <v>2024</v>
      </c>
      <c r="C31" s="113"/>
      <c r="D31" s="113">
        <f t="shared" si="0"/>
        <v>198</v>
      </c>
      <c r="E31" s="113"/>
      <c r="F31" s="113">
        <v>0</v>
      </c>
      <c r="G31" s="113"/>
      <c r="H31" s="113">
        <f t="shared" si="1"/>
        <v>198</v>
      </c>
      <c r="I31" s="113"/>
      <c r="J31" s="114">
        <v>0</v>
      </c>
      <c r="K31" s="114"/>
      <c r="L31" s="95"/>
      <c r="M31" s="95"/>
      <c r="N31" s="95"/>
      <c r="O31" s="95"/>
    </row>
    <row r="32" spans="1:15" ht="15" customHeight="1">
      <c r="A32" s="95"/>
      <c r="B32" s="115">
        <v>2025</v>
      </c>
      <c r="C32" s="116"/>
      <c r="D32" s="116">
        <f t="shared" si="0"/>
        <v>196</v>
      </c>
      <c r="E32" s="116"/>
      <c r="F32" s="116">
        <v>0</v>
      </c>
      <c r="G32" s="116"/>
      <c r="H32" s="116">
        <f t="shared" si="1"/>
        <v>196</v>
      </c>
      <c r="I32" s="116"/>
      <c r="J32" s="117">
        <v>0</v>
      </c>
      <c r="K32" s="117"/>
      <c r="L32" s="95"/>
      <c r="M32" s="95"/>
      <c r="N32" s="95"/>
      <c r="O32" s="95"/>
    </row>
    <row r="33" spans="1:15" ht="15" customHeight="1">
      <c r="A33" s="95"/>
      <c r="B33" s="112">
        <v>2026</v>
      </c>
      <c r="C33" s="113"/>
      <c r="D33" s="113">
        <f t="shared" si="0"/>
        <v>193</v>
      </c>
      <c r="E33" s="113"/>
      <c r="F33" s="113">
        <v>0</v>
      </c>
      <c r="G33" s="113"/>
      <c r="H33" s="113">
        <f t="shared" si="1"/>
        <v>193</v>
      </c>
      <c r="I33" s="113"/>
      <c r="J33" s="114">
        <v>0</v>
      </c>
      <c r="K33" s="114"/>
      <c r="L33" s="95"/>
      <c r="M33" s="95"/>
      <c r="N33" s="95"/>
      <c r="O33" s="95"/>
    </row>
    <row r="34" spans="1:15" ht="15" customHeight="1">
      <c r="A34" s="95"/>
      <c r="B34" s="112">
        <v>2027</v>
      </c>
      <c r="C34" s="113"/>
      <c r="D34" s="113">
        <f t="shared" si="0"/>
        <v>191</v>
      </c>
      <c r="E34" s="113"/>
      <c r="F34" s="113">
        <v>0</v>
      </c>
      <c r="G34" s="113"/>
      <c r="H34" s="113">
        <f t="shared" si="1"/>
        <v>191</v>
      </c>
      <c r="I34" s="113"/>
      <c r="J34" s="114">
        <v>0</v>
      </c>
      <c r="K34" s="114"/>
      <c r="L34" s="95"/>
      <c r="M34" s="95"/>
      <c r="N34" s="95"/>
      <c r="O34" s="95"/>
    </row>
    <row r="35" spans="1:15" ht="15" customHeight="1">
      <c r="A35" s="95"/>
      <c r="B35" s="112">
        <v>2028</v>
      </c>
      <c r="C35" s="113"/>
      <c r="D35" s="113">
        <f t="shared" si="0"/>
        <v>188</v>
      </c>
      <c r="E35" s="113"/>
      <c r="F35" s="113">
        <v>0</v>
      </c>
      <c r="G35" s="113"/>
      <c r="H35" s="113">
        <f t="shared" si="1"/>
        <v>188</v>
      </c>
      <c r="I35" s="113"/>
      <c r="J35" s="114">
        <v>0</v>
      </c>
      <c r="K35" s="114"/>
      <c r="L35" s="95"/>
      <c r="M35" s="95"/>
      <c r="N35" s="95"/>
      <c r="O35" s="95"/>
    </row>
    <row r="36" spans="1:15" ht="15" customHeight="1">
      <c r="A36" s="95"/>
      <c r="B36" s="112">
        <v>2029</v>
      </c>
      <c r="C36" s="113"/>
      <c r="D36" s="113">
        <f t="shared" si="0"/>
        <v>186</v>
      </c>
      <c r="E36" s="113"/>
      <c r="F36" s="113">
        <v>0</v>
      </c>
      <c r="G36" s="113"/>
      <c r="H36" s="113">
        <f t="shared" si="1"/>
        <v>186</v>
      </c>
      <c r="I36" s="113"/>
      <c r="J36" s="114">
        <v>0</v>
      </c>
      <c r="K36" s="114"/>
      <c r="L36" s="95"/>
      <c r="M36" s="95"/>
      <c r="N36" s="95"/>
      <c r="O36" s="95"/>
    </row>
    <row r="37" spans="1:15" ht="15" customHeight="1">
      <c r="A37" s="95"/>
      <c r="B37" s="115">
        <v>2030</v>
      </c>
      <c r="C37" s="116"/>
      <c r="D37" s="116">
        <f t="shared" si="0"/>
        <v>183</v>
      </c>
      <c r="E37" s="116"/>
      <c r="F37" s="116">
        <v>0</v>
      </c>
      <c r="G37" s="116"/>
      <c r="H37" s="116">
        <f t="shared" si="1"/>
        <v>183</v>
      </c>
      <c r="I37" s="116"/>
      <c r="J37" s="117">
        <v>0</v>
      </c>
      <c r="K37" s="117"/>
      <c r="L37" s="95"/>
      <c r="M37" s="95"/>
      <c r="N37" s="95"/>
      <c r="O37" s="95"/>
    </row>
    <row r="38" spans="1:15" ht="15" customHeight="1">
      <c r="A38" s="95"/>
      <c r="B38" s="112">
        <v>2031</v>
      </c>
      <c r="C38" s="113"/>
      <c r="D38" s="113">
        <f t="shared" si="0"/>
        <v>181</v>
      </c>
      <c r="E38" s="113"/>
      <c r="F38" s="113">
        <v>0</v>
      </c>
      <c r="G38" s="113"/>
      <c r="H38" s="113">
        <f t="shared" si="1"/>
        <v>181</v>
      </c>
      <c r="I38" s="113"/>
      <c r="J38" s="114">
        <v>0</v>
      </c>
      <c r="K38" s="114"/>
      <c r="L38" s="95"/>
      <c r="M38" s="95"/>
      <c r="N38" s="95"/>
      <c r="O38" s="95"/>
    </row>
    <row r="39" spans="1:15" ht="15" customHeight="1">
      <c r="A39" s="95"/>
      <c r="B39" s="112">
        <v>2032</v>
      </c>
      <c r="C39" s="113"/>
      <c r="D39" s="113">
        <f t="shared" si="0"/>
        <v>178</v>
      </c>
      <c r="E39" s="113"/>
      <c r="F39" s="113">
        <v>0</v>
      </c>
      <c r="G39" s="113"/>
      <c r="H39" s="113">
        <f t="shared" si="1"/>
        <v>178</v>
      </c>
      <c r="I39" s="113"/>
      <c r="J39" s="114">
        <v>0</v>
      </c>
      <c r="K39" s="114"/>
      <c r="L39" s="95"/>
      <c r="M39" s="95"/>
      <c r="N39" s="95"/>
      <c r="O39" s="95"/>
    </row>
    <row r="40" spans="1:15" ht="15" customHeight="1">
      <c r="A40" s="95"/>
      <c r="B40" s="112">
        <v>2033</v>
      </c>
      <c r="C40" s="113"/>
      <c r="D40" s="113">
        <f t="shared" si="0"/>
        <v>176</v>
      </c>
      <c r="E40" s="113"/>
      <c r="F40" s="113">
        <v>0</v>
      </c>
      <c r="G40" s="113"/>
      <c r="H40" s="113">
        <f t="shared" si="1"/>
        <v>176</v>
      </c>
      <c r="I40" s="113"/>
      <c r="J40" s="114">
        <v>0</v>
      </c>
      <c r="K40" s="114"/>
      <c r="L40" s="95"/>
      <c r="M40" s="95"/>
      <c r="N40" s="95"/>
      <c r="O40" s="95"/>
    </row>
    <row r="41" spans="1:15" ht="15" customHeight="1">
      <c r="A41" s="95"/>
      <c r="B41" s="112">
        <v>2034</v>
      </c>
      <c r="C41" s="113"/>
      <c r="D41" s="113">
        <f t="shared" si="0"/>
        <v>173</v>
      </c>
      <c r="E41" s="113"/>
      <c r="F41" s="113">
        <v>0</v>
      </c>
      <c r="G41" s="113"/>
      <c r="H41" s="113">
        <f t="shared" si="1"/>
        <v>173</v>
      </c>
      <c r="I41" s="113"/>
      <c r="J41" s="114">
        <v>0</v>
      </c>
      <c r="K41" s="114"/>
      <c r="L41" s="95"/>
      <c r="M41" s="95"/>
      <c r="N41" s="95"/>
      <c r="O41" s="95"/>
    </row>
    <row r="42" spans="1:15" ht="15" customHeight="1" thickBot="1">
      <c r="A42" s="95"/>
      <c r="B42" s="115">
        <v>2035</v>
      </c>
      <c r="C42" s="116"/>
      <c r="D42" s="116">
        <f t="shared" si="0"/>
        <v>171</v>
      </c>
      <c r="E42" s="116"/>
      <c r="F42" s="116">
        <v>0</v>
      </c>
      <c r="G42" s="116"/>
      <c r="H42" s="116">
        <f t="shared" si="1"/>
        <v>171</v>
      </c>
      <c r="I42" s="116"/>
      <c r="J42" s="117">
        <v>0</v>
      </c>
      <c r="K42" s="117"/>
      <c r="L42" s="95"/>
      <c r="M42" s="95"/>
      <c r="N42" s="95"/>
      <c r="O42" s="95"/>
    </row>
    <row r="43" spans="1:15" ht="15" customHeight="1">
      <c r="A43" s="95"/>
      <c r="B43" s="118" t="s">
        <v>160</v>
      </c>
      <c r="C43" s="118"/>
      <c r="D43" s="119" t="s">
        <v>161</v>
      </c>
      <c r="E43" s="120">
        <f>D$11</f>
        <v>223</v>
      </c>
      <c r="F43" s="121"/>
      <c r="G43" s="119" t="s">
        <v>162</v>
      </c>
      <c r="H43" s="119">
        <f>ROUND((D$11-D$7)/(COUNT(D$7:D$11)-1),1)</f>
        <v>-2.5</v>
      </c>
      <c r="I43" s="119"/>
      <c r="J43" s="119" t="s">
        <v>163</v>
      </c>
      <c r="K43" s="122" t="s">
        <v>164</v>
      </c>
      <c r="L43" s="95"/>
      <c r="M43" s="95"/>
      <c r="N43" s="95"/>
      <c r="O43" s="95"/>
    </row>
    <row r="44" spans="1:15" ht="15" customHeight="1">
      <c r="A44" s="95"/>
      <c r="B44" s="123"/>
      <c r="C44" s="123"/>
      <c r="D44" s="124"/>
      <c r="E44" s="125"/>
      <c r="F44" s="126"/>
      <c r="G44" s="124"/>
      <c r="H44" s="124"/>
      <c r="I44" s="124"/>
      <c r="J44" s="124"/>
      <c r="K44" s="127"/>
      <c r="L44" s="95"/>
      <c r="M44" s="95"/>
      <c r="N44" s="95"/>
      <c r="O44" s="95"/>
    </row>
    <row r="45" spans="1:15" ht="1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</row>
    <row r="46" spans="1:15" ht="1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</row>
    <row r="47" spans="1:15" ht="15" customHeight="1">
      <c r="A47" s="95"/>
      <c r="B47" s="110" t="s">
        <v>165</v>
      </c>
      <c r="C47" s="111"/>
      <c r="D47" s="111"/>
      <c r="E47" s="111"/>
      <c r="F47" s="111"/>
      <c r="G47" s="111"/>
      <c r="H47" s="95"/>
      <c r="I47" s="95"/>
      <c r="J47" s="95"/>
      <c r="K47" s="95"/>
      <c r="L47" s="95"/>
      <c r="M47" s="95"/>
      <c r="N47" s="95"/>
      <c r="O47" s="95"/>
    </row>
    <row r="48" spans="1:15" ht="15" customHeight="1">
      <c r="A48" s="95"/>
      <c r="B48" s="95"/>
      <c r="C48" s="111" t="s">
        <v>166</v>
      </c>
      <c r="D48" s="111" t="s">
        <v>167</v>
      </c>
      <c r="E48" s="111"/>
      <c r="F48" s="111"/>
      <c r="G48" s="111"/>
      <c r="H48" s="95"/>
      <c r="I48" s="95"/>
      <c r="J48" s="95"/>
      <c r="K48" s="95"/>
      <c r="L48" s="95"/>
      <c r="M48" s="95"/>
      <c r="N48" s="95"/>
      <c r="O48" s="95"/>
    </row>
    <row r="49" spans="1:15" ht="15" customHeight="1">
      <c r="A49" s="95"/>
      <c r="B49" s="93"/>
      <c r="C49" s="93" t="s">
        <v>150</v>
      </c>
      <c r="D49" s="111" t="s">
        <v>151</v>
      </c>
      <c r="E49" s="93"/>
      <c r="F49" s="93"/>
      <c r="G49" s="93"/>
      <c r="H49" s="95"/>
      <c r="I49" s="95"/>
      <c r="J49" s="95"/>
      <c r="K49" s="95"/>
      <c r="L49" s="95"/>
      <c r="M49" s="95"/>
      <c r="N49" s="95"/>
      <c r="O49" s="95"/>
    </row>
    <row r="50" spans="1:15" ht="15" customHeight="1">
      <c r="A50" s="95"/>
      <c r="B50" s="111"/>
      <c r="C50" s="111"/>
      <c r="D50" s="111" t="s">
        <v>170</v>
      </c>
      <c r="E50" s="111"/>
      <c r="F50" s="111"/>
      <c r="G50" s="111"/>
      <c r="H50" s="95"/>
      <c r="I50" s="95"/>
      <c r="J50" s="95"/>
      <c r="K50" s="95"/>
      <c r="L50" s="95"/>
      <c r="M50" s="95"/>
      <c r="N50" s="95"/>
      <c r="O50" s="95"/>
    </row>
    <row r="51" spans="1:15" ht="15" customHeight="1">
      <c r="A51" s="95"/>
      <c r="B51" s="111"/>
      <c r="C51" s="111"/>
      <c r="D51" s="111" t="s">
        <v>171</v>
      </c>
      <c r="E51" s="111"/>
      <c r="F51" s="111"/>
      <c r="G51" s="111"/>
      <c r="H51" s="95"/>
      <c r="I51" s="95"/>
      <c r="J51" s="95"/>
      <c r="K51" s="95"/>
      <c r="L51" s="95"/>
      <c r="M51" s="95"/>
      <c r="N51" s="95"/>
      <c r="O51" s="95"/>
    </row>
    <row r="52" spans="1:15" ht="1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</row>
    <row r="53" spans="1:15" ht="15" customHeight="1" thickBot="1">
      <c r="A53" s="95"/>
      <c r="B53" s="95"/>
      <c r="C53" s="95"/>
      <c r="D53" s="95"/>
      <c r="E53" s="95"/>
      <c r="F53" s="100" t="s">
        <v>172</v>
      </c>
      <c r="G53" s="100"/>
      <c r="H53" s="95"/>
      <c r="I53" s="95"/>
      <c r="J53" s="95"/>
      <c r="K53" s="95"/>
      <c r="L53" s="95"/>
      <c r="M53" s="95"/>
      <c r="N53" s="95"/>
      <c r="O53" s="95"/>
    </row>
    <row r="54" spans="1:15" ht="15" customHeight="1">
      <c r="A54" s="95"/>
      <c r="B54" s="94" t="s">
        <v>141</v>
      </c>
      <c r="C54" s="94"/>
      <c r="D54" s="94" t="s">
        <v>174</v>
      </c>
      <c r="E54" s="94"/>
      <c r="F54" s="94" t="s">
        <v>157</v>
      </c>
      <c r="G54" s="94"/>
      <c r="H54" s="94" t="s">
        <v>176</v>
      </c>
      <c r="I54" s="94"/>
      <c r="J54" s="94" t="s">
        <v>144</v>
      </c>
      <c r="K54" s="94"/>
      <c r="L54" s="95"/>
      <c r="M54" s="95"/>
      <c r="N54" s="95"/>
      <c r="O54" s="95"/>
    </row>
    <row r="55" spans="1:15" ht="15" customHeight="1">
      <c r="A55" s="95"/>
      <c r="B55" s="112">
        <v>2014</v>
      </c>
      <c r="C55" s="113"/>
      <c r="D55" s="113">
        <f t="shared" ref="D55:D76" si="2">ROUND(E$77*H$77^(B55-$C$4),0)</f>
        <v>223</v>
      </c>
      <c r="E55" s="113"/>
      <c r="F55" s="113">
        <v>0</v>
      </c>
      <c r="G55" s="113"/>
      <c r="H55" s="113">
        <f t="shared" ref="H55:H76" si="3">ROUND(D55*(1+F55),0)</f>
        <v>223</v>
      </c>
      <c r="I55" s="113"/>
      <c r="J55" s="114">
        <v>0</v>
      </c>
      <c r="K55" s="114"/>
      <c r="L55" s="95"/>
      <c r="M55" s="95"/>
      <c r="N55" s="95"/>
      <c r="O55" s="95"/>
    </row>
    <row r="56" spans="1:15" ht="15" customHeight="1">
      <c r="A56" s="95"/>
      <c r="B56" s="115">
        <v>2015</v>
      </c>
      <c r="C56" s="116"/>
      <c r="D56" s="116">
        <f t="shared" si="2"/>
        <v>221</v>
      </c>
      <c r="E56" s="116"/>
      <c r="F56" s="116">
        <v>0</v>
      </c>
      <c r="G56" s="116"/>
      <c r="H56" s="116">
        <f t="shared" si="3"/>
        <v>221</v>
      </c>
      <c r="I56" s="116"/>
      <c r="J56" s="117">
        <v>0</v>
      </c>
      <c r="K56" s="117"/>
      <c r="L56" s="95"/>
      <c r="M56" s="95"/>
      <c r="N56" s="95"/>
      <c r="O56" s="95"/>
    </row>
    <row r="57" spans="1:15" ht="15" customHeight="1">
      <c r="A57" s="95"/>
      <c r="B57" s="112">
        <v>2016</v>
      </c>
      <c r="C57" s="113"/>
      <c r="D57" s="113">
        <f t="shared" si="2"/>
        <v>218</v>
      </c>
      <c r="E57" s="113"/>
      <c r="F57" s="113">
        <v>0</v>
      </c>
      <c r="G57" s="113"/>
      <c r="H57" s="113">
        <f t="shared" si="3"/>
        <v>218</v>
      </c>
      <c r="I57" s="113"/>
      <c r="J57" s="114">
        <v>0</v>
      </c>
      <c r="K57" s="114"/>
      <c r="L57" s="95"/>
      <c r="M57" s="95"/>
      <c r="N57" s="95"/>
      <c r="O57" s="95"/>
    </row>
    <row r="58" spans="1:15" ht="15" customHeight="1">
      <c r="A58" s="95"/>
      <c r="B58" s="112">
        <v>2017</v>
      </c>
      <c r="C58" s="113"/>
      <c r="D58" s="113">
        <f t="shared" si="2"/>
        <v>216</v>
      </c>
      <c r="E58" s="113"/>
      <c r="F58" s="113">
        <v>0</v>
      </c>
      <c r="G58" s="113"/>
      <c r="H58" s="113">
        <f t="shared" si="3"/>
        <v>216</v>
      </c>
      <c r="I58" s="113"/>
      <c r="J58" s="114">
        <v>0</v>
      </c>
      <c r="K58" s="114"/>
      <c r="L58" s="95"/>
      <c r="M58" s="95"/>
      <c r="N58" s="95"/>
      <c r="O58" s="95"/>
    </row>
    <row r="59" spans="1:15" ht="15" customHeight="1">
      <c r="A59" s="95"/>
      <c r="B59" s="112">
        <v>2018</v>
      </c>
      <c r="C59" s="113"/>
      <c r="D59" s="113">
        <f t="shared" si="2"/>
        <v>213</v>
      </c>
      <c r="E59" s="113"/>
      <c r="F59" s="113">
        <v>0</v>
      </c>
      <c r="G59" s="113"/>
      <c r="H59" s="113">
        <f t="shared" si="3"/>
        <v>213</v>
      </c>
      <c r="I59" s="113"/>
      <c r="J59" s="114">
        <v>0</v>
      </c>
      <c r="K59" s="114"/>
      <c r="L59" s="95"/>
      <c r="M59" s="95"/>
      <c r="N59" s="95"/>
      <c r="O59" s="95"/>
    </row>
    <row r="60" spans="1:15" ht="15" customHeight="1">
      <c r="A60" s="95"/>
      <c r="B60" s="112">
        <v>2019</v>
      </c>
      <c r="C60" s="113"/>
      <c r="D60" s="113">
        <f t="shared" si="2"/>
        <v>211</v>
      </c>
      <c r="E60" s="113"/>
      <c r="F60" s="113">
        <v>0</v>
      </c>
      <c r="G60" s="113"/>
      <c r="H60" s="113">
        <f t="shared" si="3"/>
        <v>211</v>
      </c>
      <c r="I60" s="113"/>
      <c r="J60" s="114">
        <v>0</v>
      </c>
      <c r="K60" s="114"/>
      <c r="L60" s="95"/>
      <c r="M60" s="95"/>
      <c r="N60" s="95"/>
      <c r="O60" s="95"/>
    </row>
    <row r="61" spans="1:15" ht="15" customHeight="1">
      <c r="A61" s="95"/>
      <c r="B61" s="115">
        <v>2020</v>
      </c>
      <c r="C61" s="116"/>
      <c r="D61" s="116">
        <f t="shared" si="2"/>
        <v>209</v>
      </c>
      <c r="E61" s="116"/>
      <c r="F61" s="116">
        <v>0</v>
      </c>
      <c r="G61" s="116"/>
      <c r="H61" s="116">
        <f t="shared" si="3"/>
        <v>209</v>
      </c>
      <c r="I61" s="116"/>
      <c r="J61" s="117">
        <v>0</v>
      </c>
      <c r="K61" s="117"/>
      <c r="L61" s="95"/>
      <c r="M61" s="95"/>
      <c r="N61" s="95"/>
      <c r="O61" s="95"/>
    </row>
    <row r="62" spans="1:15" ht="15" customHeight="1">
      <c r="A62" s="95"/>
      <c r="B62" s="112">
        <v>2021</v>
      </c>
      <c r="C62" s="113"/>
      <c r="D62" s="113">
        <f t="shared" si="2"/>
        <v>207</v>
      </c>
      <c r="E62" s="113"/>
      <c r="F62" s="113">
        <v>0</v>
      </c>
      <c r="G62" s="113"/>
      <c r="H62" s="113">
        <f t="shared" si="3"/>
        <v>207</v>
      </c>
      <c r="I62" s="113"/>
      <c r="J62" s="114">
        <v>0</v>
      </c>
      <c r="K62" s="114"/>
      <c r="L62" s="95"/>
      <c r="M62" s="95"/>
      <c r="N62" s="95"/>
      <c r="O62" s="95"/>
    </row>
    <row r="63" spans="1:15" ht="15" customHeight="1">
      <c r="A63" s="95"/>
      <c r="B63" s="112">
        <v>2022</v>
      </c>
      <c r="C63" s="113"/>
      <c r="D63" s="113">
        <f t="shared" si="2"/>
        <v>204</v>
      </c>
      <c r="E63" s="113"/>
      <c r="F63" s="113">
        <v>0</v>
      </c>
      <c r="G63" s="113"/>
      <c r="H63" s="113">
        <f t="shared" si="3"/>
        <v>204</v>
      </c>
      <c r="I63" s="113"/>
      <c r="J63" s="114">
        <v>0</v>
      </c>
      <c r="K63" s="114"/>
      <c r="L63" s="95"/>
      <c r="M63" s="95"/>
      <c r="N63" s="95"/>
      <c r="O63" s="95"/>
    </row>
    <row r="64" spans="1:15" ht="15" customHeight="1">
      <c r="A64" s="95"/>
      <c r="B64" s="112">
        <v>2023</v>
      </c>
      <c r="C64" s="113"/>
      <c r="D64" s="113">
        <f t="shared" si="2"/>
        <v>202</v>
      </c>
      <c r="E64" s="113"/>
      <c r="F64" s="113">
        <v>0</v>
      </c>
      <c r="G64" s="113"/>
      <c r="H64" s="113">
        <f t="shared" si="3"/>
        <v>202</v>
      </c>
      <c r="I64" s="113"/>
      <c r="J64" s="114">
        <v>0</v>
      </c>
      <c r="K64" s="114"/>
      <c r="L64" s="95"/>
      <c r="M64" s="95"/>
      <c r="N64" s="95"/>
      <c r="O64" s="95"/>
    </row>
    <row r="65" spans="1:15" ht="15" customHeight="1">
      <c r="A65" s="95"/>
      <c r="B65" s="112">
        <v>2024</v>
      </c>
      <c r="C65" s="113"/>
      <c r="D65" s="113">
        <f t="shared" si="2"/>
        <v>200</v>
      </c>
      <c r="E65" s="113"/>
      <c r="F65" s="113">
        <v>0</v>
      </c>
      <c r="G65" s="113"/>
      <c r="H65" s="113">
        <f t="shared" si="3"/>
        <v>200</v>
      </c>
      <c r="I65" s="113"/>
      <c r="J65" s="114">
        <v>0</v>
      </c>
      <c r="K65" s="114"/>
      <c r="L65" s="95"/>
      <c r="M65" s="95"/>
      <c r="N65" s="95"/>
      <c r="O65" s="95"/>
    </row>
    <row r="66" spans="1:15" ht="15" customHeight="1">
      <c r="A66" s="95"/>
      <c r="B66" s="115">
        <v>2025</v>
      </c>
      <c r="C66" s="116"/>
      <c r="D66" s="116">
        <f t="shared" si="2"/>
        <v>198</v>
      </c>
      <c r="E66" s="116"/>
      <c r="F66" s="116">
        <v>0</v>
      </c>
      <c r="G66" s="116"/>
      <c r="H66" s="116">
        <f t="shared" si="3"/>
        <v>198</v>
      </c>
      <c r="I66" s="116"/>
      <c r="J66" s="117">
        <v>0</v>
      </c>
      <c r="K66" s="117"/>
      <c r="L66" s="95"/>
      <c r="M66" s="95"/>
      <c r="N66" s="95"/>
      <c r="O66" s="95"/>
    </row>
    <row r="67" spans="1:15" ht="15" customHeight="1">
      <c r="A67" s="95"/>
      <c r="B67" s="112">
        <v>2026</v>
      </c>
      <c r="C67" s="113"/>
      <c r="D67" s="113">
        <f t="shared" si="2"/>
        <v>196</v>
      </c>
      <c r="E67" s="113"/>
      <c r="F67" s="113">
        <v>0</v>
      </c>
      <c r="G67" s="113"/>
      <c r="H67" s="113">
        <f t="shared" si="3"/>
        <v>196</v>
      </c>
      <c r="I67" s="113"/>
      <c r="J67" s="114">
        <v>0</v>
      </c>
      <c r="K67" s="114"/>
      <c r="L67" s="95"/>
      <c r="M67" s="95"/>
      <c r="N67" s="95"/>
      <c r="O67" s="95"/>
    </row>
    <row r="68" spans="1:15" ht="15" customHeight="1">
      <c r="A68" s="95"/>
      <c r="B68" s="112">
        <v>2027</v>
      </c>
      <c r="C68" s="113"/>
      <c r="D68" s="113">
        <f t="shared" si="2"/>
        <v>193</v>
      </c>
      <c r="E68" s="113"/>
      <c r="F68" s="113">
        <v>0</v>
      </c>
      <c r="G68" s="113"/>
      <c r="H68" s="113">
        <f t="shared" si="3"/>
        <v>193</v>
      </c>
      <c r="I68" s="113"/>
      <c r="J68" s="114">
        <v>0</v>
      </c>
      <c r="K68" s="114"/>
      <c r="L68" s="95"/>
      <c r="M68" s="95"/>
      <c r="N68" s="95"/>
      <c r="O68" s="95"/>
    </row>
    <row r="69" spans="1:15" ht="15" customHeight="1">
      <c r="A69" s="95"/>
      <c r="B69" s="112">
        <v>2028</v>
      </c>
      <c r="C69" s="113"/>
      <c r="D69" s="113">
        <f t="shared" si="2"/>
        <v>191</v>
      </c>
      <c r="E69" s="113"/>
      <c r="F69" s="113">
        <v>0</v>
      </c>
      <c r="G69" s="113"/>
      <c r="H69" s="113">
        <f t="shared" si="3"/>
        <v>191</v>
      </c>
      <c r="I69" s="113"/>
      <c r="J69" s="114">
        <v>0</v>
      </c>
      <c r="K69" s="114"/>
      <c r="L69" s="95"/>
      <c r="M69" s="95"/>
      <c r="N69" s="95"/>
      <c r="O69" s="95"/>
    </row>
    <row r="70" spans="1:15" ht="15" customHeight="1">
      <c r="A70" s="95"/>
      <c r="B70" s="112">
        <v>2029</v>
      </c>
      <c r="C70" s="113"/>
      <c r="D70" s="113">
        <f t="shared" si="2"/>
        <v>189</v>
      </c>
      <c r="E70" s="113"/>
      <c r="F70" s="113">
        <v>0</v>
      </c>
      <c r="G70" s="113"/>
      <c r="H70" s="113">
        <f t="shared" si="3"/>
        <v>189</v>
      </c>
      <c r="I70" s="113"/>
      <c r="J70" s="114">
        <v>0</v>
      </c>
      <c r="K70" s="114"/>
      <c r="L70" s="95"/>
      <c r="M70" s="95"/>
      <c r="N70" s="95"/>
      <c r="O70" s="95"/>
    </row>
    <row r="71" spans="1:15" ht="15" customHeight="1">
      <c r="A71" s="95"/>
      <c r="B71" s="115">
        <v>2030</v>
      </c>
      <c r="C71" s="116"/>
      <c r="D71" s="116">
        <f t="shared" si="2"/>
        <v>187</v>
      </c>
      <c r="E71" s="116"/>
      <c r="F71" s="116">
        <v>0</v>
      </c>
      <c r="G71" s="116"/>
      <c r="H71" s="116">
        <f t="shared" si="3"/>
        <v>187</v>
      </c>
      <c r="I71" s="116"/>
      <c r="J71" s="117">
        <v>0</v>
      </c>
      <c r="K71" s="117"/>
      <c r="L71" s="95"/>
      <c r="M71" s="95"/>
      <c r="N71" s="95"/>
      <c r="O71" s="95"/>
    </row>
    <row r="72" spans="1:15" ht="15" customHeight="1">
      <c r="A72" s="95"/>
      <c r="B72" s="112">
        <v>2031</v>
      </c>
      <c r="C72" s="113"/>
      <c r="D72" s="113">
        <f t="shared" si="2"/>
        <v>185</v>
      </c>
      <c r="E72" s="113"/>
      <c r="F72" s="113">
        <v>0</v>
      </c>
      <c r="G72" s="113"/>
      <c r="H72" s="113">
        <f t="shared" si="3"/>
        <v>185</v>
      </c>
      <c r="I72" s="113"/>
      <c r="J72" s="114">
        <v>0</v>
      </c>
      <c r="K72" s="114"/>
      <c r="L72" s="95"/>
      <c r="M72" s="95"/>
      <c r="N72" s="95"/>
      <c r="O72" s="95"/>
    </row>
    <row r="73" spans="1:15" ht="15" customHeight="1">
      <c r="A73" s="95"/>
      <c r="B73" s="112">
        <v>2032</v>
      </c>
      <c r="C73" s="113"/>
      <c r="D73" s="113">
        <f t="shared" si="2"/>
        <v>183</v>
      </c>
      <c r="E73" s="113"/>
      <c r="F73" s="113">
        <v>0</v>
      </c>
      <c r="G73" s="113"/>
      <c r="H73" s="113">
        <f t="shared" si="3"/>
        <v>183</v>
      </c>
      <c r="I73" s="113"/>
      <c r="J73" s="114">
        <v>0</v>
      </c>
      <c r="K73" s="114"/>
      <c r="L73" s="95"/>
      <c r="M73" s="95"/>
      <c r="N73" s="95"/>
      <c r="O73" s="95"/>
    </row>
    <row r="74" spans="1:15" ht="15" customHeight="1">
      <c r="A74" s="95"/>
      <c r="B74" s="112">
        <v>2033</v>
      </c>
      <c r="C74" s="113"/>
      <c r="D74" s="113">
        <f t="shared" si="2"/>
        <v>181</v>
      </c>
      <c r="E74" s="113"/>
      <c r="F74" s="113">
        <v>0</v>
      </c>
      <c r="G74" s="113"/>
      <c r="H74" s="113">
        <f t="shared" si="3"/>
        <v>181</v>
      </c>
      <c r="I74" s="113"/>
      <c r="J74" s="114">
        <v>0</v>
      </c>
      <c r="K74" s="114"/>
      <c r="L74" s="95"/>
      <c r="M74" s="95"/>
      <c r="N74" s="95"/>
      <c r="O74" s="95"/>
    </row>
    <row r="75" spans="1:15" ht="15" customHeight="1">
      <c r="A75" s="95"/>
      <c r="B75" s="112">
        <v>2034</v>
      </c>
      <c r="C75" s="113"/>
      <c r="D75" s="113">
        <f t="shared" si="2"/>
        <v>179</v>
      </c>
      <c r="E75" s="113"/>
      <c r="F75" s="113">
        <v>0</v>
      </c>
      <c r="G75" s="113"/>
      <c r="H75" s="113">
        <f t="shared" si="3"/>
        <v>179</v>
      </c>
      <c r="I75" s="113"/>
      <c r="J75" s="114">
        <v>0</v>
      </c>
      <c r="K75" s="114"/>
      <c r="L75" s="95"/>
      <c r="M75" s="95"/>
      <c r="N75" s="95"/>
      <c r="O75" s="95"/>
    </row>
    <row r="76" spans="1:15" ht="15" customHeight="1" thickBot="1">
      <c r="A76" s="95"/>
      <c r="B76" s="115">
        <v>2035</v>
      </c>
      <c r="C76" s="116"/>
      <c r="D76" s="116">
        <f t="shared" si="2"/>
        <v>177</v>
      </c>
      <c r="E76" s="116"/>
      <c r="F76" s="116">
        <v>0</v>
      </c>
      <c r="G76" s="116"/>
      <c r="H76" s="116">
        <f t="shared" si="3"/>
        <v>177</v>
      </c>
      <c r="I76" s="116"/>
      <c r="J76" s="117">
        <v>0</v>
      </c>
      <c r="K76" s="117"/>
      <c r="L76" s="95"/>
      <c r="M76" s="95"/>
      <c r="N76" s="95"/>
      <c r="O76" s="95"/>
    </row>
    <row r="77" spans="1:15" ht="15" customHeight="1">
      <c r="A77" s="95"/>
      <c r="B77" s="118" t="s">
        <v>177</v>
      </c>
      <c r="C77" s="118"/>
      <c r="D77" s="119" t="s">
        <v>161</v>
      </c>
      <c r="E77" s="120">
        <f>D$11</f>
        <v>223</v>
      </c>
      <c r="F77" s="121"/>
      <c r="G77" s="119" t="s">
        <v>179</v>
      </c>
      <c r="H77" s="119">
        <f>ROUND((E$77/D$7)^(1/(COUNT(D$7:D$11)-1)),6)</f>
        <v>0.989093</v>
      </c>
      <c r="I77" s="119"/>
      <c r="J77" s="119" t="s">
        <v>163</v>
      </c>
      <c r="K77" s="122" t="s">
        <v>164</v>
      </c>
      <c r="L77" s="95"/>
      <c r="M77" s="95"/>
      <c r="N77" s="95"/>
      <c r="O77" s="95"/>
    </row>
    <row r="78" spans="1:15" ht="1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1:15" ht="1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1:15" ht="1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</row>
    <row r="81" spans="1:15" ht="1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</row>
    <row r="82" spans="1:15" ht="1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</row>
    <row r="83" spans="1:15" ht="1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</row>
    <row r="84" spans="1:15" ht="1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</row>
    <row r="85" spans="1:15" ht="1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</row>
    <row r="86" spans="1:15" ht="1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</row>
    <row r="87" spans="1:15" ht="15" customHeight="1">
      <c r="A87" s="95"/>
      <c r="B87" s="110" t="s">
        <v>182</v>
      </c>
      <c r="C87" s="111"/>
      <c r="D87" s="111"/>
      <c r="E87" s="111"/>
      <c r="F87" s="95"/>
      <c r="G87" s="95"/>
      <c r="H87" s="95"/>
      <c r="I87" s="95"/>
      <c r="J87" s="95"/>
      <c r="K87" s="95"/>
      <c r="L87" s="95"/>
      <c r="M87" s="95"/>
      <c r="N87" s="95"/>
      <c r="O87" s="95"/>
    </row>
    <row r="88" spans="1:15" ht="15" customHeight="1">
      <c r="A88" s="95"/>
      <c r="B88" s="95"/>
      <c r="C88" s="111" t="s">
        <v>148</v>
      </c>
      <c r="D88" s="111" t="s">
        <v>184</v>
      </c>
      <c r="E88" s="111"/>
      <c r="F88" s="95"/>
      <c r="G88" s="95"/>
      <c r="H88" s="95"/>
      <c r="I88" s="95"/>
      <c r="J88" s="95"/>
      <c r="K88" s="95"/>
      <c r="L88" s="95"/>
      <c r="M88" s="95"/>
      <c r="N88" s="95"/>
      <c r="O88" s="95"/>
    </row>
    <row r="89" spans="1:15" ht="15" customHeight="1">
      <c r="A89" s="95"/>
      <c r="B89" s="111"/>
      <c r="C89" s="128" t="s">
        <v>185</v>
      </c>
      <c r="D89" s="111" t="s">
        <v>186</v>
      </c>
      <c r="E89" s="93"/>
      <c r="F89" s="95"/>
      <c r="G89" s="95"/>
      <c r="H89" s="95"/>
      <c r="I89" s="95"/>
      <c r="J89" s="95"/>
      <c r="K89" s="95"/>
      <c r="L89" s="95"/>
      <c r="M89" s="95"/>
      <c r="N89" s="95"/>
      <c r="O89" s="95"/>
    </row>
    <row r="90" spans="1:15" ht="15" customHeight="1">
      <c r="A90" s="95"/>
      <c r="B90" s="111"/>
      <c r="C90" s="111"/>
      <c r="D90" s="111" t="s">
        <v>187</v>
      </c>
      <c r="E90" s="111"/>
      <c r="F90" s="95"/>
      <c r="G90" s="95"/>
      <c r="H90" s="95"/>
      <c r="I90" s="95"/>
      <c r="J90" s="95"/>
      <c r="K90" s="95"/>
      <c r="L90" s="95"/>
      <c r="M90" s="95"/>
      <c r="N90" s="95"/>
      <c r="O90" s="95"/>
    </row>
    <row r="91" spans="1:15" ht="15" customHeight="1">
      <c r="A91" s="95"/>
      <c r="B91" s="93"/>
      <c r="C91" s="111"/>
      <c r="D91" s="111" t="s">
        <v>188</v>
      </c>
      <c r="E91" s="111"/>
      <c r="F91" s="95"/>
      <c r="G91" s="95"/>
      <c r="H91" s="95"/>
      <c r="I91" s="95"/>
      <c r="J91" s="95"/>
      <c r="K91" s="95"/>
      <c r="L91" s="95"/>
      <c r="M91" s="95"/>
      <c r="N91" s="95"/>
      <c r="O91" s="95"/>
    </row>
    <row r="92" spans="1:15" ht="15" customHeight="1" thickBot="1">
      <c r="A92" s="95"/>
      <c r="B92" s="95"/>
      <c r="C92" s="95"/>
      <c r="D92" s="95"/>
      <c r="E92" s="95"/>
      <c r="F92" s="100" t="s">
        <v>189</v>
      </c>
      <c r="G92" s="100"/>
      <c r="H92" s="95"/>
      <c r="I92" s="95"/>
      <c r="J92" s="95"/>
      <c r="K92" s="95"/>
      <c r="L92" s="95"/>
      <c r="M92" s="95"/>
      <c r="N92" s="95"/>
      <c r="O92" s="95"/>
    </row>
    <row r="93" spans="1:15" ht="15" customHeight="1">
      <c r="A93" s="95"/>
      <c r="B93" s="94" t="s">
        <v>190</v>
      </c>
      <c r="C93" s="94"/>
      <c r="D93" s="94" t="s">
        <v>191</v>
      </c>
      <c r="E93" s="94" t="s">
        <v>192</v>
      </c>
      <c r="F93" s="94" t="s">
        <v>193</v>
      </c>
      <c r="G93" s="94"/>
      <c r="H93" s="94" t="s">
        <v>194</v>
      </c>
      <c r="I93" s="94"/>
      <c r="J93" s="94" t="s">
        <v>53</v>
      </c>
      <c r="K93" s="94"/>
      <c r="L93" s="95"/>
      <c r="M93" s="95"/>
      <c r="N93" s="95"/>
      <c r="O93" s="95"/>
    </row>
    <row r="94" spans="1:15" ht="15" customHeight="1">
      <c r="A94" s="95"/>
      <c r="B94" s="96">
        <f>B7</f>
        <v>2010</v>
      </c>
      <c r="C94" s="96"/>
      <c r="D94" s="100">
        <f>VLOOKUP(B94,B$7:E$11,3,FALSE)</f>
        <v>233</v>
      </c>
      <c r="E94" s="96">
        <f>((COUNT(B$94:B$98)-1)/2)+(B94-$C$4)</f>
        <v>-2</v>
      </c>
      <c r="F94" s="100">
        <f>E94^2</f>
        <v>4</v>
      </c>
      <c r="G94" s="98"/>
      <c r="H94" s="130">
        <f>ROUND(D94*E94,2)</f>
        <v>-466</v>
      </c>
      <c r="I94" s="131"/>
      <c r="J94" s="102">
        <v>0</v>
      </c>
      <c r="K94" s="102"/>
      <c r="L94" s="95"/>
      <c r="M94" s="95"/>
      <c r="N94" s="95"/>
      <c r="O94" s="95"/>
    </row>
    <row r="95" spans="1:15" ht="15" customHeight="1">
      <c r="A95" s="95"/>
      <c r="B95" s="96">
        <f>B8</f>
        <v>2011</v>
      </c>
      <c r="C95" s="96"/>
      <c r="D95" s="100">
        <f>VLOOKUP(B95,B$7:E$11,3,FALSE)</f>
        <v>230</v>
      </c>
      <c r="E95" s="96">
        <f>((COUNT(B$94:B$98)-1)/2)+(B95-$C$4)</f>
        <v>-1</v>
      </c>
      <c r="F95" s="100">
        <f>E95^2</f>
        <v>1</v>
      </c>
      <c r="G95" s="98"/>
      <c r="H95" s="130">
        <f>ROUND(D95*E95,2)</f>
        <v>-230</v>
      </c>
      <c r="I95" s="131"/>
      <c r="J95" s="102">
        <v>0</v>
      </c>
      <c r="K95" s="102"/>
      <c r="L95" s="95"/>
      <c r="M95" s="95"/>
      <c r="N95" s="95"/>
      <c r="O95" s="95"/>
    </row>
    <row r="96" spans="1:15" ht="15" customHeight="1">
      <c r="A96" s="95"/>
      <c r="B96" s="96">
        <f>B9</f>
        <v>2012</v>
      </c>
      <c r="C96" s="96"/>
      <c r="D96" s="100">
        <f>VLOOKUP(B96,B$7:E$11,3,FALSE)</f>
        <v>214</v>
      </c>
      <c r="E96" s="96">
        <f>((COUNT(B$94:B$98)-1)/2)+(B96-$C$4)</f>
        <v>0</v>
      </c>
      <c r="F96" s="100">
        <f>E96^2</f>
        <v>0</v>
      </c>
      <c r="G96" s="98"/>
      <c r="H96" s="130">
        <f>ROUND(D96*E96,2)</f>
        <v>0</v>
      </c>
      <c r="I96" s="131"/>
      <c r="J96" s="102">
        <v>0</v>
      </c>
      <c r="K96" s="102"/>
      <c r="L96" s="95"/>
      <c r="M96" s="95"/>
      <c r="N96" s="95"/>
      <c r="O96" s="95"/>
    </row>
    <row r="97" spans="1:15" ht="15" customHeight="1">
      <c r="A97" s="95"/>
      <c r="B97" s="96">
        <f>B10</f>
        <v>2013</v>
      </c>
      <c r="C97" s="96"/>
      <c r="D97" s="100">
        <f>VLOOKUP(B97,B$7:E$11,3,FALSE)</f>
        <v>226</v>
      </c>
      <c r="E97" s="96">
        <f>((COUNT(B$94:B$98)-1)/2)+(B97-$C$4)</f>
        <v>1</v>
      </c>
      <c r="F97" s="100">
        <f>E97^2</f>
        <v>1</v>
      </c>
      <c r="G97" s="98"/>
      <c r="H97" s="130">
        <f>ROUND(D97*E97,2)</f>
        <v>226</v>
      </c>
      <c r="I97" s="131"/>
      <c r="J97" s="102">
        <v>0</v>
      </c>
      <c r="K97" s="102"/>
      <c r="L97" s="95"/>
      <c r="M97" s="95"/>
      <c r="N97" s="95"/>
      <c r="O97" s="95"/>
    </row>
    <row r="98" spans="1:15" ht="15" customHeight="1">
      <c r="A98" s="95"/>
      <c r="B98" s="96">
        <f>B11</f>
        <v>2014</v>
      </c>
      <c r="C98" s="96"/>
      <c r="D98" s="100">
        <f>VLOOKUP(B98,B$7:E$11,3,FALSE)</f>
        <v>223</v>
      </c>
      <c r="E98" s="96">
        <f>((COUNT(B$94:B$98)-1)/2)+(B98-$C$4)</f>
        <v>2</v>
      </c>
      <c r="F98" s="100">
        <f>E98^2</f>
        <v>4</v>
      </c>
      <c r="G98" s="98"/>
      <c r="H98" s="130">
        <f>ROUND(D98*E98,2)</f>
        <v>446</v>
      </c>
      <c r="I98" s="131"/>
      <c r="J98" s="102">
        <v>0</v>
      </c>
      <c r="K98" s="102"/>
      <c r="L98" s="95"/>
      <c r="M98" s="95"/>
      <c r="N98" s="95"/>
      <c r="O98" s="95"/>
    </row>
    <row r="99" spans="1:15" ht="15" customHeight="1" thickBot="1">
      <c r="A99" s="95"/>
      <c r="B99" s="103" t="s">
        <v>146</v>
      </c>
      <c r="C99" s="104"/>
      <c r="D99" s="132">
        <f>SUM(D94:D98)</f>
        <v>1126</v>
      </c>
      <c r="E99" s="107"/>
      <c r="F99" s="133">
        <f>ROUND(SUM(F94:F98),0)</f>
        <v>10</v>
      </c>
      <c r="G99" s="104"/>
      <c r="H99" s="103">
        <f>SUM(H94:H98)</f>
        <v>-24</v>
      </c>
      <c r="I99" s="108"/>
      <c r="J99" s="135"/>
      <c r="K99" s="135"/>
      <c r="L99" s="95"/>
      <c r="M99" s="95"/>
      <c r="N99" s="95"/>
      <c r="O99" s="95"/>
    </row>
    <row r="100" spans="1:15" ht="15" customHeight="1">
      <c r="A100" s="95"/>
      <c r="B100" s="100" t="s">
        <v>197</v>
      </c>
      <c r="C100" s="100"/>
      <c r="D100" s="136" t="s">
        <v>198</v>
      </c>
      <c r="E100" s="95"/>
      <c r="F100" s="95"/>
      <c r="G100" s="93">
        <f>((COUNT(B$94:B$98))*H$99-D$99*E$99)/((COUNT(B$94:B$98))*F$99-E$99*E$99)</f>
        <v>-2.4</v>
      </c>
      <c r="H100" s="136" t="s">
        <v>199</v>
      </c>
      <c r="I100" s="93"/>
      <c r="J100" s="93"/>
      <c r="K100" s="93">
        <f>ROUND((F99*D99-H99*E99)/(COUNT(B$94:B$98)*F99-E99*E99),0)</f>
        <v>225</v>
      </c>
      <c r="L100" s="95"/>
      <c r="M100" s="95"/>
      <c r="N100" s="95"/>
      <c r="O100" s="95"/>
    </row>
    <row r="101" spans="1:15" ht="15" customHeight="1">
      <c r="A101" s="95"/>
      <c r="B101" s="123"/>
      <c r="C101" s="123"/>
      <c r="D101" s="137"/>
      <c r="E101" s="93"/>
      <c r="F101" s="126"/>
      <c r="G101" s="124"/>
      <c r="H101" s="95"/>
      <c r="I101" s="124"/>
      <c r="J101" s="124"/>
      <c r="K101" s="127"/>
      <c r="L101" s="95"/>
      <c r="M101" s="95"/>
      <c r="N101" s="95"/>
      <c r="O101" s="95"/>
    </row>
    <row r="102" spans="1:15" ht="15" customHeight="1">
      <c r="A102" s="95"/>
      <c r="B102" s="95"/>
      <c r="C102" s="95"/>
      <c r="D102" s="95"/>
      <c r="E102" s="111"/>
      <c r="F102" s="95"/>
      <c r="G102" s="95"/>
      <c r="H102" s="95"/>
      <c r="I102" s="95"/>
      <c r="J102" s="95"/>
      <c r="K102" s="95"/>
      <c r="L102" s="95"/>
      <c r="M102" s="95"/>
      <c r="N102" s="95"/>
      <c r="O102" s="95"/>
    </row>
    <row r="103" spans="1:15" ht="15" customHeight="1" thickBot="1">
      <c r="A103" s="95"/>
      <c r="B103" s="95"/>
      <c r="C103" s="95"/>
      <c r="D103" s="95"/>
      <c r="E103" s="95"/>
      <c r="F103" s="100" t="s">
        <v>200</v>
      </c>
      <c r="G103" s="100"/>
      <c r="H103" s="95"/>
      <c r="I103" s="95"/>
      <c r="J103" s="95"/>
      <c r="K103" s="95"/>
      <c r="L103" s="95"/>
      <c r="M103" s="95"/>
      <c r="N103" s="95"/>
      <c r="O103" s="95"/>
    </row>
    <row r="104" spans="1:15" ht="15" customHeight="1">
      <c r="A104" s="95"/>
      <c r="B104" s="94" t="s">
        <v>141</v>
      </c>
      <c r="C104" s="94"/>
      <c r="D104" s="94" t="s">
        <v>174</v>
      </c>
      <c r="E104" s="94"/>
      <c r="F104" s="94" t="s">
        <v>157</v>
      </c>
      <c r="G104" s="94"/>
      <c r="H104" s="94" t="s">
        <v>158</v>
      </c>
      <c r="I104" s="94"/>
      <c r="J104" s="94" t="s">
        <v>53</v>
      </c>
      <c r="K104" s="94"/>
      <c r="L104" s="95"/>
      <c r="M104" s="95"/>
      <c r="N104" s="95"/>
      <c r="O104" s="95"/>
    </row>
    <row r="105" spans="1:15" ht="15" customHeight="1">
      <c r="A105" s="95"/>
      <c r="B105" s="112">
        <v>2014</v>
      </c>
      <c r="C105" s="113"/>
      <c r="D105" s="113">
        <f t="shared" ref="D105:D126" si="4">ROUNDUP(G$100*(B105-B$98+E$98)+K$100,0)</f>
        <v>221</v>
      </c>
      <c r="E105" s="113"/>
      <c r="F105" s="113">
        <v>0</v>
      </c>
      <c r="G105" s="113"/>
      <c r="H105" s="113">
        <f t="shared" ref="H105:H126" si="5">ROUND(D105*(1+F105),0)</f>
        <v>221</v>
      </c>
      <c r="I105" s="113"/>
      <c r="J105" s="114">
        <v>0</v>
      </c>
      <c r="K105" s="114"/>
      <c r="L105" s="95"/>
      <c r="M105" s="95"/>
      <c r="N105" s="95"/>
      <c r="O105" s="95"/>
    </row>
    <row r="106" spans="1:15" ht="15" customHeight="1">
      <c r="A106" s="95"/>
      <c r="B106" s="115">
        <v>2015</v>
      </c>
      <c r="C106" s="116"/>
      <c r="D106" s="116">
        <f t="shared" si="4"/>
        <v>218</v>
      </c>
      <c r="E106" s="116"/>
      <c r="F106" s="116">
        <v>0</v>
      </c>
      <c r="G106" s="116"/>
      <c r="H106" s="116">
        <f t="shared" si="5"/>
        <v>218</v>
      </c>
      <c r="I106" s="116"/>
      <c r="J106" s="117">
        <v>0</v>
      </c>
      <c r="K106" s="117"/>
      <c r="L106" s="95"/>
      <c r="M106" s="95"/>
      <c r="N106" s="95"/>
      <c r="O106" s="95"/>
    </row>
    <row r="107" spans="1:15" ht="15" customHeight="1">
      <c r="A107" s="95"/>
      <c r="B107" s="112">
        <v>2016</v>
      </c>
      <c r="C107" s="113"/>
      <c r="D107" s="113">
        <f t="shared" si="4"/>
        <v>216</v>
      </c>
      <c r="E107" s="113"/>
      <c r="F107" s="113">
        <v>0</v>
      </c>
      <c r="G107" s="113"/>
      <c r="H107" s="113">
        <f t="shared" si="5"/>
        <v>216</v>
      </c>
      <c r="I107" s="113"/>
      <c r="J107" s="114">
        <v>0</v>
      </c>
      <c r="K107" s="114"/>
      <c r="L107" s="95"/>
      <c r="M107" s="95"/>
      <c r="N107" s="95"/>
      <c r="O107" s="95"/>
    </row>
    <row r="108" spans="1:15" ht="15" customHeight="1">
      <c r="A108" s="95"/>
      <c r="B108" s="112">
        <v>2017</v>
      </c>
      <c r="C108" s="113"/>
      <c r="D108" s="113">
        <f t="shared" si="4"/>
        <v>213</v>
      </c>
      <c r="E108" s="113"/>
      <c r="F108" s="113">
        <v>0</v>
      </c>
      <c r="G108" s="113"/>
      <c r="H108" s="113">
        <f t="shared" si="5"/>
        <v>213</v>
      </c>
      <c r="I108" s="113"/>
      <c r="J108" s="114">
        <v>0</v>
      </c>
      <c r="K108" s="114"/>
      <c r="L108" s="95"/>
      <c r="M108" s="95"/>
      <c r="N108" s="95"/>
      <c r="O108" s="95"/>
    </row>
    <row r="109" spans="1:15" ht="15" customHeight="1">
      <c r="A109" s="95"/>
      <c r="B109" s="112">
        <v>2018</v>
      </c>
      <c r="C109" s="113"/>
      <c r="D109" s="113">
        <f t="shared" si="4"/>
        <v>211</v>
      </c>
      <c r="E109" s="113"/>
      <c r="F109" s="113">
        <v>0</v>
      </c>
      <c r="G109" s="113"/>
      <c r="H109" s="113">
        <f t="shared" si="5"/>
        <v>211</v>
      </c>
      <c r="I109" s="113"/>
      <c r="J109" s="114">
        <v>0</v>
      </c>
      <c r="K109" s="114"/>
      <c r="L109" s="95"/>
      <c r="M109" s="95"/>
      <c r="N109" s="95"/>
      <c r="O109" s="95"/>
    </row>
    <row r="110" spans="1:15" ht="15" customHeight="1">
      <c r="A110" s="95"/>
      <c r="B110" s="112">
        <v>2019</v>
      </c>
      <c r="C110" s="113"/>
      <c r="D110" s="113">
        <f t="shared" si="4"/>
        <v>209</v>
      </c>
      <c r="E110" s="113"/>
      <c r="F110" s="113">
        <v>0</v>
      </c>
      <c r="G110" s="113"/>
      <c r="H110" s="113">
        <f t="shared" si="5"/>
        <v>209</v>
      </c>
      <c r="I110" s="113"/>
      <c r="J110" s="114">
        <v>0</v>
      </c>
      <c r="K110" s="114"/>
      <c r="L110" s="95"/>
      <c r="M110" s="95"/>
      <c r="N110" s="95"/>
      <c r="O110" s="95"/>
    </row>
    <row r="111" spans="1:15" ht="15" customHeight="1">
      <c r="A111" s="95"/>
      <c r="B111" s="115">
        <v>2020</v>
      </c>
      <c r="C111" s="116"/>
      <c r="D111" s="116">
        <f t="shared" si="4"/>
        <v>206</v>
      </c>
      <c r="E111" s="116"/>
      <c r="F111" s="116">
        <v>0</v>
      </c>
      <c r="G111" s="116"/>
      <c r="H111" s="116">
        <f t="shared" si="5"/>
        <v>206</v>
      </c>
      <c r="I111" s="116"/>
      <c r="J111" s="117">
        <v>0</v>
      </c>
      <c r="K111" s="117"/>
      <c r="L111" s="95"/>
      <c r="M111" s="95"/>
      <c r="N111" s="95"/>
      <c r="O111" s="95"/>
    </row>
    <row r="112" spans="1:15" ht="15" customHeight="1">
      <c r="A112" s="95"/>
      <c r="B112" s="112">
        <v>2021</v>
      </c>
      <c r="C112" s="113"/>
      <c r="D112" s="113">
        <f t="shared" si="4"/>
        <v>204</v>
      </c>
      <c r="E112" s="113"/>
      <c r="F112" s="113">
        <v>0</v>
      </c>
      <c r="G112" s="113"/>
      <c r="H112" s="113">
        <f t="shared" si="5"/>
        <v>204</v>
      </c>
      <c r="I112" s="113"/>
      <c r="J112" s="114">
        <v>0</v>
      </c>
      <c r="K112" s="114"/>
      <c r="L112" s="95"/>
      <c r="M112" s="95"/>
      <c r="N112" s="95"/>
      <c r="O112" s="95"/>
    </row>
    <row r="113" spans="1:15" ht="15" customHeight="1">
      <c r="A113" s="95"/>
      <c r="B113" s="112">
        <v>2022</v>
      </c>
      <c r="C113" s="113"/>
      <c r="D113" s="113">
        <f t="shared" si="4"/>
        <v>201</v>
      </c>
      <c r="E113" s="113"/>
      <c r="F113" s="113">
        <v>0</v>
      </c>
      <c r="G113" s="113"/>
      <c r="H113" s="113">
        <f t="shared" si="5"/>
        <v>201</v>
      </c>
      <c r="I113" s="113"/>
      <c r="J113" s="114">
        <v>0</v>
      </c>
      <c r="K113" s="114"/>
      <c r="L113" s="95"/>
      <c r="M113" s="95"/>
      <c r="N113" s="95"/>
      <c r="O113" s="95"/>
    </row>
    <row r="114" spans="1:15" ht="15" customHeight="1">
      <c r="A114" s="95"/>
      <c r="B114" s="112">
        <v>2023</v>
      </c>
      <c r="C114" s="113"/>
      <c r="D114" s="113">
        <f t="shared" si="4"/>
        <v>199</v>
      </c>
      <c r="E114" s="113"/>
      <c r="F114" s="113">
        <v>0</v>
      </c>
      <c r="G114" s="113"/>
      <c r="H114" s="113">
        <f t="shared" si="5"/>
        <v>199</v>
      </c>
      <c r="I114" s="113"/>
      <c r="J114" s="114">
        <v>0</v>
      </c>
      <c r="K114" s="114"/>
      <c r="L114" s="95"/>
      <c r="M114" s="95"/>
      <c r="N114" s="95"/>
      <c r="O114" s="95"/>
    </row>
    <row r="115" spans="1:15" ht="15" customHeight="1">
      <c r="A115" s="95"/>
      <c r="B115" s="112">
        <v>2024</v>
      </c>
      <c r="C115" s="113"/>
      <c r="D115" s="113">
        <f t="shared" si="4"/>
        <v>197</v>
      </c>
      <c r="E115" s="113"/>
      <c r="F115" s="113">
        <v>0</v>
      </c>
      <c r="G115" s="113"/>
      <c r="H115" s="113">
        <f t="shared" si="5"/>
        <v>197</v>
      </c>
      <c r="I115" s="113"/>
      <c r="J115" s="114">
        <v>0</v>
      </c>
      <c r="K115" s="114"/>
      <c r="L115" s="95"/>
      <c r="M115" s="95"/>
      <c r="N115" s="95"/>
      <c r="O115" s="95"/>
    </row>
    <row r="116" spans="1:15" ht="15" customHeight="1">
      <c r="A116" s="95"/>
      <c r="B116" s="115">
        <v>2025</v>
      </c>
      <c r="C116" s="116"/>
      <c r="D116" s="116">
        <f t="shared" si="4"/>
        <v>194</v>
      </c>
      <c r="E116" s="116"/>
      <c r="F116" s="116">
        <v>0</v>
      </c>
      <c r="G116" s="116"/>
      <c r="H116" s="116">
        <f t="shared" si="5"/>
        <v>194</v>
      </c>
      <c r="I116" s="116"/>
      <c r="J116" s="117">
        <v>0</v>
      </c>
      <c r="K116" s="117"/>
      <c r="L116" s="95"/>
      <c r="M116" s="95"/>
      <c r="N116" s="95"/>
      <c r="O116" s="95"/>
    </row>
    <row r="117" spans="1:15" ht="15" customHeight="1">
      <c r="A117" s="95"/>
      <c r="B117" s="112">
        <v>2026</v>
      </c>
      <c r="C117" s="113"/>
      <c r="D117" s="113">
        <f t="shared" si="4"/>
        <v>192</v>
      </c>
      <c r="E117" s="113"/>
      <c r="F117" s="113">
        <v>0</v>
      </c>
      <c r="G117" s="113"/>
      <c r="H117" s="113">
        <f t="shared" si="5"/>
        <v>192</v>
      </c>
      <c r="I117" s="113"/>
      <c r="J117" s="114">
        <v>0</v>
      </c>
      <c r="K117" s="114"/>
      <c r="L117" s="95"/>
      <c r="M117" s="95"/>
      <c r="N117" s="95"/>
      <c r="O117" s="95"/>
    </row>
    <row r="118" spans="1:15" ht="15" customHeight="1">
      <c r="A118" s="95"/>
      <c r="B118" s="112">
        <v>2027</v>
      </c>
      <c r="C118" s="113"/>
      <c r="D118" s="113">
        <f t="shared" si="4"/>
        <v>189</v>
      </c>
      <c r="E118" s="113"/>
      <c r="F118" s="113">
        <v>0</v>
      </c>
      <c r="G118" s="113"/>
      <c r="H118" s="113">
        <f t="shared" si="5"/>
        <v>189</v>
      </c>
      <c r="I118" s="113"/>
      <c r="J118" s="114">
        <v>0</v>
      </c>
      <c r="K118" s="114"/>
      <c r="L118" s="95"/>
      <c r="M118" s="95"/>
      <c r="N118" s="95"/>
      <c r="O118" s="95"/>
    </row>
    <row r="119" spans="1:15" ht="15" customHeight="1">
      <c r="A119" s="95"/>
      <c r="B119" s="112">
        <v>2028</v>
      </c>
      <c r="C119" s="113"/>
      <c r="D119" s="113">
        <f t="shared" si="4"/>
        <v>187</v>
      </c>
      <c r="E119" s="113"/>
      <c r="F119" s="113">
        <v>0</v>
      </c>
      <c r="G119" s="113"/>
      <c r="H119" s="113">
        <f t="shared" si="5"/>
        <v>187</v>
      </c>
      <c r="I119" s="113"/>
      <c r="J119" s="114">
        <v>0</v>
      </c>
      <c r="K119" s="114"/>
      <c r="L119" s="95"/>
      <c r="M119" s="95"/>
      <c r="N119" s="95"/>
      <c r="O119" s="95"/>
    </row>
    <row r="120" spans="1:15" ht="15" customHeight="1">
      <c r="A120" s="95"/>
      <c r="B120" s="112">
        <v>2029</v>
      </c>
      <c r="C120" s="113"/>
      <c r="D120" s="113">
        <f t="shared" si="4"/>
        <v>185</v>
      </c>
      <c r="E120" s="113"/>
      <c r="F120" s="113">
        <v>0</v>
      </c>
      <c r="G120" s="113"/>
      <c r="H120" s="113">
        <f t="shared" si="5"/>
        <v>185</v>
      </c>
      <c r="I120" s="113"/>
      <c r="J120" s="114">
        <v>0</v>
      </c>
      <c r="K120" s="114"/>
      <c r="L120" s="95"/>
      <c r="M120" s="95"/>
      <c r="N120" s="95"/>
      <c r="O120" s="95"/>
    </row>
    <row r="121" spans="1:15" ht="15" customHeight="1">
      <c r="A121" s="95"/>
      <c r="B121" s="115">
        <v>2030</v>
      </c>
      <c r="C121" s="116"/>
      <c r="D121" s="116">
        <f t="shared" si="4"/>
        <v>182</v>
      </c>
      <c r="E121" s="116"/>
      <c r="F121" s="116">
        <v>0</v>
      </c>
      <c r="G121" s="116"/>
      <c r="H121" s="116">
        <f t="shared" si="5"/>
        <v>182</v>
      </c>
      <c r="I121" s="116"/>
      <c r="J121" s="117">
        <v>0</v>
      </c>
      <c r="K121" s="117"/>
      <c r="L121" s="95"/>
      <c r="M121" s="95"/>
      <c r="N121" s="95"/>
      <c r="O121" s="95"/>
    </row>
    <row r="122" spans="1:15" ht="15" customHeight="1">
      <c r="A122" s="95"/>
      <c r="B122" s="112">
        <v>2031</v>
      </c>
      <c r="C122" s="113"/>
      <c r="D122" s="113">
        <f t="shared" si="4"/>
        <v>180</v>
      </c>
      <c r="E122" s="113"/>
      <c r="F122" s="113">
        <v>0</v>
      </c>
      <c r="G122" s="113"/>
      <c r="H122" s="113">
        <f t="shared" si="5"/>
        <v>180</v>
      </c>
      <c r="I122" s="113"/>
      <c r="J122" s="114">
        <v>0</v>
      </c>
      <c r="K122" s="114"/>
      <c r="L122" s="95"/>
      <c r="M122" s="95"/>
      <c r="N122" s="95"/>
      <c r="O122" s="95"/>
    </row>
    <row r="123" spans="1:15" ht="15" customHeight="1">
      <c r="A123" s="95"/>
      <c r="B123" s="112">
        <v>2032</v>
      </c>
      <c r="C123" s="113"/>
      <c r="D123" s="113">
        <f t="shared" si="4"/>
        <v>177</v>
      </c>
      <c r="E123" s="113"/>
      <c r="F123" s="113">
        <v>0</v>
      </c>
      <c r="G123" s="113"/>
      <c r="H123" s="113">
        <f t="shared" si="5"/>
        <v>177</v>
      </c>
      <c r="I123" s="113"/>
      <c r="J123" s="114">
        <v>0</v>
      </c>
      <c r="K123" s="114"/>
      <c r="L123" s="95"/>
      <c r="M123" s="95"/>
      <c r="N123" s="95"/>
      <c r="O123" s="95"/>
    </row>
    <row r="124" spans="1:15" ht="15" customHeight="1">
      <c r="A124" s="95"/>
      <c r="B124" s="112">
        <v>2033</v>
      </c>
      <c r="C124" s="113"/>
      <c r="D124" s="113">
        <f t="shared" si="4"/>
        <v>175</v>
      </c>
      <c r="E124" s="113"/>
      <c r="F124" s="113">
        <v>0</v>
      </c>
      <c r="G124" s="113"/>
      <c r="H124" s="113">
        <f t="shared" si="5"/>
        <v>175</v>
      </c>
      <c r="I124" s="113"/>
      <c r="J124" s="114">
        <v>0</v>
      </c>
      <c r="K124" s="114"/>
      <c r="L124" s="95"/>
      <c r="M124" s="95"/>
      <c r="N124" s="95"/>
      <c r="O124" s="95"/>
    </row>
    <row r="125" spans="1:15" ht="15" customHeight="1">
      <c r="A125" s="95"/>
      <c r="B125" s="112">
        <v>2034</v>
      </c>
      <c r="C125" s="113"/>
      <c r="D125" s="113">
        <f t="shared" si="4"/>
        <v>173</v>
      </c>
      <c r="E125" s="113"/>
      <c r="F125" s="113">
        <v>0</v>
      </c>
      <c r="G125" s="113"/>
      <c r="H125" s="113">
        <f t="shared" si="5"/>
        <v>173</v>
      </c>
      <c r="I125" s="113"/>
      <c r="J125" s="114">
        <v>0</v>
      </c>
      <c r="K125" s="114"/>
      <c r="L125" s="95"/>
      <c r="M125" s="95"/>
      <c r="N125" s="95"/>
      <c r="O125" s="95"/>
    </row>
    <row r="126" spans="1:15" ht="15" customHeight="1" thickBot="1">
      <c r="A126" s="95"/>
      <c r="B126" s="115">
        <v>2035</v>
      </c>
      <c r="C126" s="116"/>
      <c r="D126" s="116">
        <f t="shared" si="4"/>
        <v>170</v>
      </c>
      <c r="E126" s="116"/>
      <c r="F126" s="116">
        <v>0</v>
      </c>
      <c r="G126" s="116"/>
      <c r="H126" s="116">
        <f t="shared" si="5"/>
        <v>170</v>
      </c>
      <c r="I126" s="116"/>
      <c r="J126" s="117">
        <v>0</v>
      </c>
      <c r="K126" s="117"/>
      <c r="L126" s="95"/>
      <c r="M126" s="95"/>
      <c r="N126" s="95"/>
      <c r="O126" s="95"/>
    </row>
    <row r="127" spans="1:15" ht="15" customHeight="1">
      <c r="A127" s="95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95"/>
      <c r="M127" s="95"/>
      <c r="N127" s="95"/>
      <c r="O127" s="95"/>
    </row>
    <row r="128" spans="1:15" ht="15" customHeight="1">
      <c r="A128" s="95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95"/>
      <c r="M128" s="95"/>
      <c r="N128" s="95"/>
      <c r="O128" s="95"/>
    </row>
    <row r="129" spans="1:15" ht="15" customHeight="1">
      <c r="A129" s="95"/>
      <c r="B129" s="110" t="s">
        <v>203</v>
      </c>
      <c r="C129" s="111"/>
      <c r="D129" s="111"/>
      <c r="E129" s="111"/>
      <c r="F129" s="111"/>
      <c r="G129" s="95"/>
      <c r="H129" s="95"/>
      <c r="I129" s="95"/>
      <c r="J129" s="95"/>
      <c r="K129" s="95"/>
      <c r="L129" s="95"/>
      <c r="M129" s="95"/>
      <c r="N129" s="95"/>
      <c r="O129" s="95"/>
    </row>
    <row r="130" spans="1:15" ht="15" customHeight="1">
      <c r="A130" s="95"/>
      <c r="B130" s="95"/>
      <c r="C130" s="111" t="s">
        <v>204</v>
      </c>
      <c r="D130" s="111" t="s">
        <v>205</v>
      </c>
      <c r="E130" s="111"/>
      <c r="F130" s="111"/>
      <c r="G130" s="166" t="b">
        <v>1</v>
      </c>
      <c r="H130" s="95"/>
      <c r="I130" s="95"/>
      <c r="J130" s="95"/>
      <c r="K130" s="95"/>
      <c r="L130" s="95"/>
      <c r="M130" s="95"/>
      <c r="N130" s="95"/>
      <c r="O130" s="95"/>
    </row>
    <row r="131" spans="1:15" ht="15" customHeight="1">
      <c r="A131" s="95"/>
      <c r="B131" s="93"/>
      <c r="C131" s="128" t="s">
        <v>185</v>
      </c>
      <c r="D131" s="111" t="s">
        <v>207</v>
      </c>
      <c r="E131" s="111"/>
      <c r="F131" s="93"/>
      <c r="G131" s="139" t="b">
        <v>0</v>
      </c>
      <c r="H131" s="95"/>
      <c r="I131" s="95"/>
      <c r="J131" s="95"/>
      <c r="K131" s="95"/>
      <c r="L131" s="95"/>
      <c r="M131" s="95"/>
      <c r="N131" s="95"/>
      <c r="O131" s="95"/>
    </row>
    <row r="132" spans="1:15" ht="15" customHeight="1">
      <c r="A132" s="95"/>
      <c r="B132" s="93"/>
      <c r="C132" s="128"/>
      <c r="D132" s="111" t="s">
        <v>208</v>
      </c>
      <c r="E132" s="111"/>
      <c r="F132" s="93"/>
      <c r="G132" s="95"/>
      <c r="H132" s="95"/>
      <c r="I132" s="95"/>
      <c r="J132" s="95"/>
      <c r="K132" s="95"/>
      <c r="L132" s="95"/>
      <c r="M132" s="95"/>
      <c r="N132" s="95"/>
      <c r="O132" s="95"/>
    </row>
    <row r="133" spans="1:15" ht="15" customHeight="1">
      <c r="A133" s="95"/>
      <c r="B133" s="111"/>
      <c r="C133" s="111"/>
      <c r="D133" s="111" t="s">
        <v>209</v>
      </c>
      <c r="E133" s="111"/>
      <c r="F133" s="111"/>
      <c r="G133" s="95"/>
      <c r="H133" s="95"/>
      <c r="I133" s="95"/>
      <c r="J133" s="95"/>
      <c r="K133" s="95"/>
      <c r="L133" s="95"/>
      <c r="M133" s="95"/>
      <c r="N133" s="95"/>
      <c r="O133" s="95"/>
    </row>
    <row r="134" spans="1:15" ht="15" customHeight="1" thickBot="1">
      <c r="A134" s="95"/>
      <c r="B134" s="95"/>
      <c r="C134" s="95"/>
      <c r="D134" s="95"/>
      <c r="E134" s="95"/>
      <c r="F134" s="100" t="s">
        <v>210</v>
      </c>
      <c r="G134" s="100"/>
      <c r="H134" s="95"/>
      <c r="I134" s="95"/>
      <c r="J134" s="95"/>
      <c r="K134" s="95"/>
      <c r="L134" s="95"/>
      <c r="M134" s="95"/>
      <c r="N134" s="95"/>
      <c r="O134" s="95"/>
    </row>
    <row r="135" spans="1:15" ht="15" customHeight="1">
      <c r="A135" s="95"/>
      <c r="B135" s="94" t="s">
        <v>141</v>
      </c>
      <c r="C135" s="94"/>
      <c r="D135" s="94" t="s">
        <v>212</v>
      </c>
      <c r="E135" s="94" t="s">
        <v>192</v>
      </c>
      <c r="F135" s="94" t="s">
        <v>192</v>
      </c>
      <c r="G135" s="94" t="s">
        <v>193</v>
      </c>
      <c r="H135" s="94" t="s">
        <v>215</v>
      </c>
      <c r="I135" s="94"/>
      <c r="J135" s="94" t="s">
        <v>216</v>
      </c>
      <c r="K135" s="94" t="s">
        <v>217</v>
      </c>
      <c r="L135" s="95"/>
      <c r="M135" s="95"/>
      <c r="N135" s="95"/>
      <c r="O135" s="95"/>
    </row>
    <row r="136" spans="1:15" ht="15" customHeight="1">
      <c r="A136" s="95"/>
      <c r="B136" s="96">
        <f>B94</f>
        <v>2010</v>
      </c>
      <c r="C136" s="96"/>
      <c r="D136" s="100">
        <f>VLOOKUP(B136,B$7:E$11,3,FALSE)</f>
        <v>233</v>
      </c>
      <c r="E136" s="140">
        <f>IF(G$130=FALSE,"",((COUNT(B$94:B$98)-1))+(B136-$C$4))</f>
        <v>0</v>
      </c>
      <c r="F136" s="141">
        <v>0</v>
      </c>
      <c r="G136" s="142">
        <f>IF(F136="","",F136^2)</f>
        <v>0</v>
      </c>
      <c r="H136" s="131">
        <f>IF(G136="","",ABS(D136-D$136))</f>
        <v>0</v>
      </c>
      <c r="I136" s="131"/>
      <c r="J136" s="143">
        <v>0</v>
      </c>
      <c r="K136" s="143">
        <f>IF(J136="","",J136*F136)</f>
        <v>0</v>
      </c>
      <c r="L136" s="95"/>
      <c r="M136" s="95"/>
      <c r="N136" s="95"/>
      <c r="O136" s="95"/>
    </row>
    <row r="137" spans="1:15" ht="15" customHeight="1">
      <c r="A137" s="95"/>
      <c r="B137" s="96">
        <f>B95</f>
        <v>2011</v>
      </c>
      <c r="C137" s="96"/>
      <c r="D137" s="100">
        <f>VLOOKUP(B137,B$7:E$11,3,FALSE)</f>
        <v>230</v>
      </c>
      <c r="E137" s="140">
        <f>IF(G$130=FALSE,"",((COUNT(B$94:B$98)-1))+(B137-$C$4))</f>
        <v>1</v>
      </c>
      <c r="F137" s="141">
        <f>IF(E137="","",LOG(E137))</f>
        <v>0</v>
      </c>
      <c r="G137" s="142">
        <f>IF(F137="","",F137^2)</f>
        <v>0</v>
      </c>
      <c r="H137" s="131">
        <f>IF(G137="","",ABS(D137-D$136))</f>
        <v>3</v>
      </c>
      <c r="I137" s="131"/>
      <c r="J137" s="143">
        <f>IF(H137="","",LOG(H137))</f>
        <v>0.47712125471966244</v>
      </c>
      <c r="K137" s="143">
        <f>IF(J137="","",J137*F137)</f>
        <v>0</v>
      </c>
      <c r="L137" s="95"/>
      <c r="M137" s="95"/>
      <c r="N137" s="95"/>
      <c r="O137" s="95"/>
    </row>
    <row r="138" spans="1:15" ht="15" customHeight="1">
      <c r="A138" s="95"/>
      <c r="B138" s="96">
        <f>B96</f>
        <v>2012</v>
      </c>
      <c r="C138" s="96"/>
      <c r="D138" s="100">
        <f>VLOOKUP(B138,B$7:E$11,3,FALSE)</f>
        <v>214</v>
      </c>
      <c r="E138" s="140">
        <f>IF(G$130=FALSE,"",((COUNT(B$94:B$98)-1))+(B138-$C$4))</f>
        <v>2</v>
      </c>
      <c r="F138" s="141">
        <f>IF(E138="","",LOG(E138))</f>
        <v>0.3010299956639812</v>
      </c>
      <c r="G138" s="142">
        <f>IF(F138="","",F138^2)</f>
        <v>9.0619058289456544E-2</v>
      </c>
      <c r="H138" s="131">
        <f>IF(G138="","",ABS(D138-D$136))</f>
        <v>19</v>
      </c>
      <c r="I138" s="131"/>
      <c r="J138" s="143">
        <f>IF(H138="","",LOG(H138))</f>
        <v>1.2787536009528289</v>
      </c>
      <c r="K138" s="143">
        <f>IF(J138="","",J138*F138)</f>
        <v>0.38494319095013041</v>
      </c>
      <c r="L138" s="95"/>
      <c r="M138" s="95"/>
      <c r="N138" s="95"/>
      <c r="O138" s="95"/>
    </row>
    <row r="139" spans="1:15" ht="15" customHeight="1">
      <c r="A139" s="95"/>
      <c r="B139" s="96">
        <f>B97</f>
        <v>2013</v>
      </c>
      <c r="C139" s="96"/>
      <c r="D139" s="100">
        <f>VLOOKUP(B139,B$7:E$11,3,FALSE)</f>
        <v>226</v>
      </c>
      <c r="E139" s="140">
        <f>IF(G$130=FALSE,"",((COUNT(B$94:B$98)-1))+(B139-$C$4))</f>
        <v>3</v>
      </c>
      <c r="F139" s="141">
        <f>IF(E139="","",LOG(E139))</f>
        <v>0.47712125471966244</v>
      </c>
      <c r="G139" s="142">
        <f>IF(F139="","",F139^2)</f>
        <v>0.227644691705265</v>
      </c>
      <c r="H139" s="131">
        <f>IF(G139="","",ABS(D139-D$136))</f>
        <v>7</v>
      </c>
      <c r="I139" s="131"/>
      <c r="J139" s="143">
        <f>IF(H139="","",LOG(H139))</f>
        <v>0.84509804001425681</v>
      </c>
      <c r="K139" s="143">
        <f>IF(J139="","",J139*F139)</f>
        <v>0.4032142372127297</v>
      </c>
      <c r="L139" s="95"/>
      <c r="M139" s="95"/>
      <c r="N139" s="95"/>
      <c r="O139" s="95"/>
    </row>
    <row r="140" spans="1:15" ht="15" customHeight="1">
      <c r="A140" s="95"/>
      <c r="B140" s="96">
        <f>B98</f>
        <v>2014</v>
      </c>
      <c r="C140" s="96"/>
      <c r="D140" s="100">
        <f>VLOOKUP(B140,B$7:E$11,3,FALSE)</f>
        <v>223</v>
      </c>
      <c r="E140" s="140">
        <f>IF(G$130=FALSE,"",((COUNT(B$94:B$98)-1))+(B140-$C$4))</f>
        <v>4</v>
      </c>
      <c r="F140" s="141">
        <f>IF(E140="","",LOG(E140))</f>
        <v>0.6020599913279624</v>
      </c>
      <c r="G140" s="142">
        <f>IF(F140="","",F140^2)</f>
        <v>0.36247623315782618</v>
      </c>
      <c r="H140" s="131">
        <f>IF(G140="","",ABS(D140-D$136))</f>
        <v>10</v>
      </c>
      <c r="I140" s="131"/>
      <c r="J140" s="143">
        <f>IF(H140="","",LOG(H140))</f>
        <v>1</v>
      </c>
      <c r="K140" s="143">
        <f>IF(J140="","",J140*F140)</f>
        <v>0.6020599913279624</v>
      </c>
      <c r="L140" s="95"/>
      <c r="M140" s="95"/>
      <c r="N140" s="95"/>
      <c r="O140" s="95"/>
    </row>
    <row r="141" spans="1:15" ht="15" customHeight="1" thickBot="1">
      <c r="A141" s="95"/>
      <c r="B141" s="103" t="s">
        <v>146</v>
      </c>
      <c r="C141" s="104"/>
      <c r="D141" s="144"/>
      <c r="E141" s="145"/>
      <c r="F141" s="146">
        <f>IF(F140="","",ROUND(SUM(F136:F140),6))</f>
        <v>1.3802110000000001</v>
      </c>
      <c r="G141" s="146">
        <f>IF(G140="","",ROUND(SUM(G136:G140),6))</f>
        <v>0.68074000000000001</v>
      </c>
      <c r="H141" s="147"/>
      <c r="I141" s="148"/>
      <c r="J141" s="149">
        <f>IF(J140="","",SUM(J136:J140))</f>
        <v>3.6009728956867479</v>
      </c>
      <c r="K141" s="149">
        <f>IF(K140="","",SUM(K136:K140))</f>
        <v>1.3902174194908223</v>
      </c>
      <c r="L141" s="95"/>
      <c r="M141" s="95"/>
      <c r="N141" s="95"/>
      <c r="O141" s="95"/>
    </row>
    <row r="142" spans="1:15" ht="15" customHeight="1">
      <c r="A142" s="95"/>
      <c r="B142" s="100" t="s">
        <v>219</v>
      </c>
      <c r="C142" s="100"/>
      <c r="D142" s="93" t="s">
        <v>162</v>
      </c>
      <c r="E142" s="93">
        <f>IF(G141="",0,5^ROUND((G141*J141-F141*K141)/((COUNT(B$136:B$140)-1)*G141-F141*F141),5))</f>
        <v>2.8513953145074455</v>
      </c>
      <c r="F142" s="137" t="s">
        <v>220</v>
      </c>
      <c r="G142" s="95"/>
      <c r="H142" s="100"/>
      <c r="I142" s="95"/>
      <c r="J142" s="150">
        <f>IF(G141="",0,ROUND(((COUNT(B$136:B$140)-1)*K141-J141*F141)/((COUNT(B$136:B$140)-1)*G141-F141*F141),5))</f>
        <v>0.72223000000000004</v>
      </c>
      <c r="K142" s="151"/>
      <c r="L142" s="95"/>
      <c r="M142" s="95"/>
      <c r="N142" s="95"/>
      <c r="O142" s="95"/>
    </row>
    <row r="143" spans="1:15" ht="15" customHeight="1">
      <c r="A143" s="95"/>
      <c r="B143" s="95"/>
      <c r="C143" s="95"/>
      <c r="D143" s="137" t="s">
        <v>221</v>
      </c>
      <c r="E143" s="111"/>
      <c r="F143" s="111"/>
      <c r="G143" s="152"/>
      <c r="H143" s="93" t="s">
        <v>222</v>
      </c>
      <c r="I143" s="111" t="s">
        <v>223</v>
      </c>
      <c r="J143" s="93" t="str">
        <f>"A = 5^("&amp;RIGHT(H143,1)&amp;") "</f>
        <v xml:space="preserve">A = 5^(b) </v>
      </c>
      <c r="K143" s="95"/>
      <c r="L143" s="95"/>
      <c r="M143" s="95"/>
      <c r="N143" s="95"/>
      <c r="O143" s="95"/>
    </row>
    <row r="144" spans="1:15" ht="1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</row>
    <row r="145" spans="1:15" ht="15" customHeight="1" thickBot="1">
      <c r="A145" s="95"/>
      <c r="B145" s="95"/>
      <c r="C145" s="95"/>
      <c r="D145" s="95"/>
      <c r="E145" s="95"/>
      <c r="F145" s="100" t="s">
        <v>200</v>
      </c>
      <c r="G145" s="100"/>
      <c r="H145" s="95"/>
      <c r="I145" s="95"/>
      <c r="J145" s="95"/>
      <c r="K145" s="95"/>
      <c r="L145" s="95"/>
      <c r="M145" s="95"/>
      <c r="N145" s="95"/>
      <c r="O145" s="95"/>
    </row>
    <row r="146" spans="1:15" ht="15" customHeight="1">
      <c r="A146" s="95"/>
      <c r="B146" s="94" t="s">
        <v>155</v>
      </c>
      <c r="C146" s="94"/>
      <c r="D146" s="94" t="s">
        <v>174</v>
      </c>
      <c r="E146" s="94"/>
      <c r="F146" s="94" t="s">
        <v>157</v>
      </c>
      <c r="G146" s="94"/>
      <c r="H146" s="94" t="s">
        <v>158</v>
      </c>
      <c r="I146" s="94"/>
      <c r="J146" s="94" t="s">
        <v>53</v>
      </c>
      <c r="K146" s="94"/>
      <c r="L146" s="95"/>
      <c r="M146" s="95"/>
      <c r="N146" s="95"/>
      <c r="O146" s="95"/>
    </row>
    <row r="147" spans="1:15" ht="15" customHeight="1">
      <c r="A147" s="95"/>
      <c r="B147" s="112">
        <v>2014</v>
      </c>
      <c r="C147" s="100"/>
      <c r="D147" s="153">
        <f t="shared" ref="D147:D168" si="6">IF(J$142=0,0,ROUNDUP(D$136+E$142*(B147-B$136)^J$142,0))</f>
        <v>241</v>
      </c>
      <c r="E147" s="153"/>
      <c r="F147" s="97">
        <v>0</v>
      </c>
      <c r="G147" s="97"/>
      <c r="H147" s="97">
        <f t="shared" ref="H147:H168" si="7">ROUND(D147*(1+F147),0)</f>
        <v>241</v>
      </c>
      <c r="I147" s="97"/>
      <c r="J147" s="102">
        <v>0</v>
      </c>
      <c r="K147" s="102"/>
      <c r="L147" s="95"/>
      <c r="M147" s="95"/>
      <c r="N147" s="95"/>
      <c r="O147" s="95"/>
    </row>
    <row r="148" spans="1:15" ht="15" customHeight="1">
      <c r="A148" s="95"/>
      <c r="B148" s="115">
        <v>2015</v>
      </c>
      <c r="C148" s="116"/>
      <c r="D148" s="154">
        <f t="shared" si="6"/>
        <v>243</v>
      </c>
      <c r="E148" s="154"/>
      <c r="F148" s="155">
        <v>0</v>
      </c>
      <c r="G148" s="155"/>
      <c r="H148" s="155">
        <f t="shared" si="7"/>
        <v>243</v>
      </c>
      <c r="I148" s="155"/>
      <c r="J148" s="117">
        <v>0</v>
      </c>
      <c r="K148" s="117"/>
      <c r="L148" s="95"/>
      <c r="M148" s="95"/>
      <c r="N148" s="95"/>
      <c r="O148" s="95"/>
    </row>
    <row r="149" spans="1:15" ht="15" customHeight="1">
      <c r="A149" s="95"/>
      <c r="B149" s="112">
        <v>2016</v>
      </c>
      <c r="C149" s="113"/>
      <c r="D149" s="153">
        <f t="shared" si="6"/>
        <v>244</v>
      </c>
      <c r="E149" s="153"/>
      <c r="F149" s="156">
        <v>0</v>
      </c>
      <c r="G149" s="156"/>
      <c r="H149" s="156">
        <f t="shared" si="7"/>
        <v>244</v>
      </c>
      <c r="I149" s="156"/>
      <c r="J149" s="114">
        <v>0</v>
      </c>
      <c r="K149" s="114"/>
      <c r="L149" s="95"/>
      <c r="M149" s="95"/>
      <c r="N149" s="95"/>
      <c r="O149" s="95"/>
    </row>
    <row r="150" spans="1:15" ht="15" customHeight="1">
      <c r="A150" s="95"/>
      <c r="B150" s="112">
        <v>2017</v>
      </c>
      <c r="C150" s="113"/>
      <c r="D150" s="153">
        <f t="shared" si="6"/>
        <v>245</v>
      </c>
      <c r="E150" s="153"/>
      <c r="F150" s="156">
        <v>0</v>
      </c>
      <c r="G150" s="156"/>
      <c r="H150" s="156">
        <f t="shared" si="7"/>
        <v>245</v>
      </c>
      <c r="I150" s="156"/>
      <c r="J150" s="114">
        <v>0</v>
      </c>
      <c r="K150" s="114"/>
      <c r="L150" s="95"/>
      <c r="M150" s="95"/>
      <c r="N150" s="95"/>
      <c r="O150" s="95"/>
    </row>
    <row r="151" spans="1:15" ht="15" customHeight="1">
      <c r="A151" s="95"/>
      <c r="B151" s="112">
        <v>2018</v>
      </c>
      <c r="C151" s="113"/>
      <c r="D151" s="153">
        <f t="shared" si="6"/>
        <v>246</v>
      </c>
      <c r="E151" s="153"/>
      <c r="F151" s="156">
        <v>0</v>
      </c>
      <c r="G151" s="156"/>
      <c r="H151" s="156">
        <f t="shared" si="7"/>
        <v>246</v>
      </c>
      <c r="I151" s="156"/>
      <c r="J151" s="114">
        <v>0</v>
      </c>
      <c r="K151" s="114"/>
      <c r="L151" s="95"/>
      <c r="M151" s="95"/>
      <c r="N151" s="95"/>
      <c r="O151" s="95"/>
    </row>
    <row r="152" spans="1:15" ht="15" customHeight="1">
      <c r="A152" s="95"/>
      <c r="B152" s="112">
        <v>2019</v>
      </c>
      <c r="C152" s="113"/>
      <c r="D152" s="153">
        <f t="shared" si="6"/>
        <v>247</v>
      </c>
      <c r="E152" s="153"/>
      <c r="F152" s="156">
        <v>0</v>
      </c>
      <c r="G152" s="156"/>
      <c r="H152" s="156">
        <f t="shared" si="7"/>
        <v>247</v>
      </c>
      <c r="I152" s="156"/>
      <c r="J152" s="114">
        <v>0</v>
      </c>
      <c r="K152" s="114"/>
      <c r="L152" s="95"/>
      <c r="M152" s="95"/>
      <c r="N152" s="95"/>
      <c r="O152" s="95"/>
    </row>
    <row r="153" spans="1:15" ht="15" customHeight="1">
      <c r="A153" s="95"/>
      <c r="B153" s="115">
        <v>2020</v>
      </c>
      <c r="C153" s="116"/>
      <c r="D153" s="154">
        <f t="shared" si="6"/>
        <v>249</v>
      </c>
      <c r="E153" s="154"/>
      <c r="F153" s="155">
        <v>0</v>
      </c>
      <c r="G153" s="155"/>
      <c r="H153" s="155">
        <f t="shared" si="7"/>
        <v>249</v>
      </c>
      <c r="I153" s="155"/>
      <c r="J153" s="117">
        <v>0</v>
      </c>
      <c r="K153" s="117"/>
      <c r="L153" s="95"/>
      <c r="M153" s="95"/>
      <c r="N153" s="95"/>
      <c r="O153" s="95"/>
    </row>
    <row r="154" spans="1:15" ht="15" customHeight="1">
      <c r="A154" s="95"/>
      <c r="B154" s="112">
        <v>2021</v>
      </c>
      <c r="C154" s="113"/>
      <c r="D154" s="153">
        <f t="shared" si="6"/>
        <v>250</v>
      </c>
      <c r="E154" s="153"/>
      <c r="F154" s="156">
        <v>0</v>
      </c>
      <c r="G154" s="156"/>
      <c r="H154" s="156">
        <f t="shared" si="7"/>
        <v>250</v>
      </c>
      <c r="I154" s="156"/>
      <c r="J154" s="114">
        <v>0</v>
      </c>
      <c r="K154" s="114"/>
      <c r="L154" s="95"/>
      <c r="M154" s="95"/>
      <c r="N154" s="95"/>
      <c r="O154" s="95"/>
    </row>
    <row r="155" spans="1:15" ht="15" customHeight="1">
      <c r="A155" s="95"/>
      <c r="B155" s="112">
        <v>2022</v>
      </c>
      <c r="C155" s="113"/>
      <c r="D155" s="153">
        <f t="shared" si="6"/>
        <v>251</v>
      </c>
      <c r="E155" s="153"/>
      <c r="F155" s="156">
        <v>0</v>
      </c>
      <c r="G155" s="156"/>
      <c r="H155" s="156">
        <f t="shared" si="7"/>
        <v>251</v>
      </c>
      <c r="I155" s="156"/>
      <c r="J155" s="114">
        <v>0</v>
      </c>
      <c r="K155" s="114"/>
      <c r="L155" s="95"/>
      <c r="M155" s="95"/>
      <c r="N155" s="95"/>
      <c r="O155" s="95"/>
    </row>
    <row r="156" spans="1:15" ht="15" customHeight="1">
      <c r="A156" s="95"/>
      <c r="B156" s="112">
        <v>2023</v>
      </c>
      <c r="C156" s="113"/>
      <c r="D156" s="153">
        <f t="shared" si="6"/>
        <v>252</v>
      </c>
      <c r="E156" s="153"/>
      <c r="F156" s="156">
        <v>0</v>
      </c>
      <c r="G156" s="156"/>
      <c r="H156" s="156">
        <f t="shared" si="7"/>
        <v>252</v>
      </c>
      <c r="I156" s="156"/>
      <c r="J156" s="114">
        <v>0</v>
      </c>
      <c r="K156" s="114"/>
      <c r="L156" s="95"/>
      <c r="M156" s="95"/>
      <c r="N156" s="95"/>
      <c r="O156" s="95"/>
    </row>
    <row r="157" spans="1:15" ht="15" customHeight="1">
      <c r="A157" s="95"/>
      <c r="B157" s="112">
        <v>2024</v>
      </c>
      <c r="C157" s="113"/>
      <c r="D157" s="153">
        <f t="shared" si="6"/>
        <v>253</v>
      </c>
      <c r="E157" s="153"/>
      <c r="F157" s="156">
        <v>0</v>
      </c>
      <c r="G157" s="156"/>
      <c r="H157" s="156">
        <f t="shared" si="7"/>
        <v>253</v>
      </c>
      <c r="I157" s="156"/>
      <c r="J157" s="114">
        <v>0</v>
      </c>
      <c r="K157" s="114"/>
      <c r="L157" s="95"/>
      <c r="M157" s="95"/>
      <c r="N157" s="95"/>
      <c r="O157" s="95"/>
    </row>
    <row r="158" spans="1:15" ht="15" customHeight="1">
      <c r="A158" s="95"/>
      <c r="B158" s="115">
        <v>2025</v>
      </c>
      <c r="C158" s="116"/>
      <c r="D158" s="154">
        <f t="shared" si="6"/>
        <v>254</v>
      </c>
      <c r="E158" s="154"/>
      <c r="F158" s="155">
        <v>0</v>
      </c>
      <c r="G158" s="155"/>
      <c r="H158" s="155">
        <f t="shared" si="7"/>
        <v>254</v>
      </c>
      <c r="I158" s="155"/>
      <c r="J158" s="117">
        <v>0</v>
      </c>
      <c r="K158" s="117"/>
      <c r="L158" s="95"/>
      <c r="M158" s="95"/>
      <c r="N158" s="95"/>
      <c r="O158" s="95"/>
    </row>
    <row r="159" spans="1:15" ht="15" customHeight="1">
      <c r="A159" s="95"/>
      <c r="B159" s="112">
        <v>2026</v>
      </c>
      <c r="C159" s="113"/>
      <c r="D159" s="153">
        <f t="shared" si="6"/>
        <v>255</v>
      </c>
      <c r="E159" s="153"/>
      <c r="F159" s="156">
        <v>0</v>
      </c>
      <c r="G159" s="156"/>
      <c r="H159" s="156">
        <f t="shared" si="7"/>
        <v>255</v>
      </c>
      <c r="I159" s="156"/>
      <c r="J159" s="114">
        <v>0</v>
      </c>
      <c r="K159" s="114"/>
      <c r="L159" s="95"/>
      <c r="M159" s="95"/>
      <c r="N159" s="95"/>
      <c r="O159" s="95"/>
    </row>
    <row r="160" spans="1:15" ht="15" customHeight="1">
      <c r="A160" s="95"/>
      <c r="B160" s="112">
        <v>2027</v>
      </c>
      <c r="C160" s="113"/>
      <c r="D160" s="153">
        <f t="shared" si="6"/>
        <v>256</v>
      </c>
      <c r="E160" s="153"/>
      <c r="F160" s="156">
        <v>0</v>
      </c>
      <c r="G160" s="156"/>
      <c r="H160" s="156">
        <f t="shared" si="7"/>
        <v>256</v>
      </c>
      <c r="I160" s="156"/>
      <c r="J160" s="114">
        <v>0</v>
      </c>
      <c r="K160" s="114"/>
      <c r="L160" s="95"/>
      <c r="M160" s="95"/>
      <c r="N160" s="95"/>
      <c r="O160" s="95"/>
    </row>
    <row r="161" spans="1:15" ht="15" customHeight="1">
      <c r="A161" s="95"/>
      <c r="B161" s="112">
        <v>2028</v>
      </c>
      <c r="C161" s="113"/>
      <c r="D161" s="153">
        <f t="shared" si="6"/>
        <v>256</v>
      </c>
      <c r="E161" s="153"/>
      <c r="F161" s="156">
        <v>0</v>
      </c>
      <c r="G161" s="156"/>
      <c r="H161" s="156">
        <f t="shared" si="7"/>
        <v>256</v>
      </c>
      <c r="I161" s="156"/>
      <c r="J161" s="114">
        <v>0</v>
      </c>
      <c r="K161" s="114"/>
      <c r="L161" s="95"/>
      <c r="M161" s="95"/>
      <c r="N161" s="95"/>
      <c r="O161" s="95"/>
    </row>
    <row r="162" spans="1:15" ht="15" customHeight="1">
      <c r="A162" s="95"/>
      <c r="B162" s="112">
        <v>2029</v>
      </c>
      <c r="C162" s="113"/>
      <c r="D162" s="153">
        <f t="shared" si="6"/>
        <v>257</v>
      </c>
      <c r="E162" s="153"/>
      <c r="F162" s="156">
        <v>0</v>
      </c>
      <c r="G162" s="156"/>
      <c r="H162" s="156">
        <f t="shared" si="7"/>
        <v>257</v>
      </c>
      <c r="I162" s="156"/>
      <c r="J162" s="114">
        <v>0</v>
      </c>
      <c r="K162" s="114"/>
      <c r="L162" s="95"/>
      <c r="M162" s="95"/>
      <c r="N162" s="95"/>
      <c r="O162" s="95"/>
    </row>
    <row r="163" spans="1:15" ht="15" customHeight="1">
      <c r="A163" s="95"/>
      <c r="B163" s="115">
        <v>2030</v>
      </c>
      <c r="C163" s="116"/>
      <c r="D163" s="154">
        <f t="shared" si="6"/>
        <v>258</v>
      </c>
      <c r="E163" s="154"/>
      <c r="F163" s="155">
        <v>0</v>
      </c>
      <c r="G163" s="155"/>
      <c r="H163" s="155">
        <f t="shared" si="7"/>
        <v>258</v>
      </c>
      <c r="I163" s="155"/>
      <c r="J163" s="117">
        <v>0</v>
      </c>
      <c r="K163" s="117"/>
      <c r="L163" s="95"/>
      <c r="M163" s="95"/>
      <c r="N163" s="95"/>
      <c r="O163" s="95"/>
    </row>
    <row r="164" spans="1:15" ht="15" customHeight="1">
      <c r="A164" s="95"/>
      <c r="B164" s="112">
        <v>2031</v>
      </c>
      <c r="C164" s="113"/>
      <c r="D164" s="153">
        <f t="shared" si="6"/>
        <v>259</v>
      </c>
      <c r="E164" s="153"/>
      <c r="F164" s="156">
        <v>0</v>
      </c>
      <c r="G164" s="156"/>
      <c r="H164" s="156">
        <f t="shared" si="7"/>
        <v>259</v>
      </c>
      <c r="I164" s="156"/>
      <c r="J164" s="114">
        <v>0</v>
      </c>
      <c r="K164" s="114"/>
      <c r="L164" s="95"/>
      <c r="M164" s="95"/>
      <c r="N164" s="95"/>
      <c r="O164" s="95"/>
    </row>
    <row r="165" spans="1:15" ht="15" customHeight="1">
      <c r="A165" s="95"/>
      <c r="B165" s="112">
        <v>2032</v>
      </c>
      <c r="C165" s="113"/>
      <c r="D165" s="153">
        <f t="shared" si="6"/>
        <v>260</v>
      </c>
      <c r="E165" s="153"/>
      <c r="F165" s="156">
        <v>0</v>
      </c>
      <c r="G165" s="156"/>
      <c r="H165" s="156">
        <f t="shared" si="7"/>
        <v>260</v>
      </c>
      <c r="I165" s="156"/>
      <c r="J165" s="114">
        <v>0</v>
      </c>
      <c r="K165" s="114"/>
      <c r="L165" s="95"/>
      <c r="M165" s="95"/>
      <c r="N165" s="95"/>
      <c r="O165" s="95"/>
    </row>
    <row r="166" spans="1:15" ht="15" customHeight="1">
      <c r="A166" s="95"/>
      <c r="B166" s="112">
        <v>2033</v>
      </c>
      <c r="C166" s="113"/>
      <c r="D166" s="153">
        <f t="shared" si="6"/>
        <v>261</v>
      </c>
      <c r="E166" s="153"/>
      <c r="F166" s="156">
        <v>0</v>
      </c>
      <c r="G166" s="156"/>
      <c r="H166" s="156">
        <f t="shared" si="7"/>
        <v>261</v>
      </c>
      <c r="I166" s="156"/>
      <c r="J166" s="114">
        <v>0</v>
      </c>
      <c r="K166" s="114"/>
      <c r="L166" s="95"/>
      <c r="M166" s="95"/>
      <c r="N166" s="95"/>
      <c r="O166" s="95"/>
    </row>
    <row r="167" spans="1:15" ht="15" customHeight="1">
      <c r="A167" s="95"/>
      <c r="B167" s="112">
        <v>2034</v>
      </c>
      <c r="C167" s="113"/>
      <c r="D167" s="153">
        <f t="shared" si="6"/>
        <v>262</v>
      </c>
      <c r="E167" s="153"/>
      <c r="F167" s="156">
        <v>0</v>
      </c>
      <c r="G167" s="156"/>
      <c r="H167" s="156">
        <f t="shared" si="7"/>
        <v>262</v>
      </c>
      <c r="I167" s="156"/>
      <c r="J167" s="114">
        <v>0</v>
      </c>
      <c r="K167" s="114"/>
      <c r="L167" s="95"/>
      <c r="M167" s="95"/>
      <c r="N167" s="95"/>
      <c r="O167" s="95"/>
    </row>
    <row r="168" spans="1:15" ht="15" customHeight="1" thickBot="1">
      <c r="A168" s="95"/>
      <c r="B168" s="115">
        <v>2035</v>
      </c>
      <c r="C168" s="116"/>
      <c r="D168" s="154">
        <f t="shared" si="6"/>
        <v>263</v>
      </c>
      <c r="E168" s="154"/>
      <c r="F168" s="155">
        <v>0</v>
      </c>
      <c r="G168" s="155"/>
      <c r="H168" s="155">
        <f t="shared" si="7"/>
        <v>263</v>
      </c>
      <c r="I168" s="155"/>
      <c r="J168" s="117">
        <v>0</v>
      </c>
      <c r="K168" s="117"/>
      <c r="L168" s="95"/>
      <c r="M168" s="95"/>
      <c r="N168" s="95"/>
      <c r="O168" s="95"/>
    </row>
    <row r="169" spans="1:15" ht="15" customHeight="1">
      <c r="A169" s="95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95"/>
      <c r="M169" s="95"/>
      <c r="N169" s="95"/>
      <c r="O169" s="95"/>
    </row>
    <row r="170" spans="1:15" ht="15" customHeight="1">
      <c r="A170" s="95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95"/>
      <c r="M170" s="95"/>
      <c r="N170" s="95"/>
      <c r="O170" s="95"/>
    </row>
    <row r="171" spans="1:15" ht="15" customHeight="1">
      <c r="A171" s="95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95"/>
      <c r="M171" s="95"/>
      <c r="N171" s="95"/>
      <c r="O171" s="95"/>
    </row>
    <row r="172" spans="1:15" ht="15" customHeight="1">
      <c r="A172" s="95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95"/>
      <c r="M172" s="95"/>
      <c r="N172" s="95"/>
      <c r="O172" s="95"/>
    </row>
    <row r="173" spans="1:15" ht="15" customHeight="1">
      <c r="A173" s="95"/>
      <c r="B173" s="12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</row>
    <row r="174" spans="1:15" ht="15" customHeight="1">
      <c r="A174" s="95"/>
      <c r="B174" s="110" t="s">
        <v>229</v>
      </c>
      <c r="C174" s="111"/>
      <c r="D174" s="111"/>
      <c r="E174" s="111"/>
      <c r="F174" s="111"/>
      <c r="G174" s="111"/>
      <c r="H174" s="95"/>
      <c r="I174" s="95"/>
      <c r="J174" s="95"/>
      <c r="K174" s="95"/>
      <c r="L174" s="95"/>
      <c r="M174" s="95"/>
      <c r="N174" s="95"/>
      <c r="O174" s="95"/>
    </row>
    <row r="175" spans="1:15" ht="15" customHeight="1">
      <c r="A175" s="95"/>
      <c r="B175" s="95"/>
      <c r="C175" s="111" t="s">
        <v>166</v>
      </c>
      <c r="D175" s="111" t="s">
        <v>231</v>
      </c>
      <c r="E175" s="111"/>
      <c r="F175" s="111"/>
      <c r="G175" s="111"/>
      <c r="H175" s="95"/>
      <c r="I175" s="95"/>
      <c r="J175" s="95"/>
      <c r="K175" s="95"/>
      <c r="L175" s="95"/>
      <c r="M175" s="95"/>
      <c r="N175" s="95"/>
      <c r="O175" s="95"/>
    </row>
    <row r="176" spans="1:15" ht="15" customHeight="1">
      <c r="A176" s="95"/>
      <c r="B176" s="93"/>
      <c r="C176" s="128" t="s">
        <v>185</v>
      </c>
      <c r="D176" s="111" t="s">
        <v>207</v>
      </c>
      <c r="E176" s="111"/>
      <c r="F176" s="93"/>
      <c r="G176" s="95"/>
      <c r="H176" s="95"/>
      <c r="I176" s="95"/>
      <c r="J176" s="95"/>
      <c r="K176" s="95"/>
      <c r="L176" s="95"/>
      <c r="M176" s="95"/>
      <c r="N176" s="95"/>
      <c r="O176" s="95"/>
    </row>
    <row r="177" spans="1:15" ht="15" customHeight="1">
      <c r="A177" s="95"/>
      <c r="B177" s="93"/>
      <c r="C177" s="128"/>
      <c r="D177" s="111" t="s">
        <v>234</v>
      </c>
      <c r="E177" s="2250">
        <f>K7</f>
        <v>600</v>
      </c>
      <c r="F177" s="2250"/>
      <c r="G177" s="111" t="s">
        <v>235</v>
      </c>
      <c r="H177" s="111"/>
      <c r="I177" s="95"/>
      <c r="J177" s="95"/>
      <c r="K177" s="95"/>
      <c r="L177" s="95"/>
      <c r="M177" s="95"/>
      <c r="N177" s="95"/>
      <c r="O177" s="95"/>
    </row>
    <row r="178" spans="1:15" ht="15" customHeight="1" thickBot="1">
      <c r="A178" s="95"/>
      <c r="B178" s="95"/>
      <c r="C178" s="95"/>
      <c r="D178" s="95"/>
      <c r="E178" s="95"/>
      <c r="F178" s="100" t="s">
        <v>236</v>
      </c>
      <c r="G178" s="100"/>
      <c r="H178" s="95"/>
      <c r="I178" s="95"/>
      <c r="J178" s="95"/>
      <c r="K178" s="95"/>
      <c r="L178" s="95"/>
      <c r="M178" s="95"/>
      <c r="N178" s="95"/>
      <c r="O178" s="95"/>
    </row>
    <row r="179" spans="1:15" ht="15" customHeight="1">
      <c r="A179" s="95"/>
      <c r="B179" s="94" t="s">
        <v>141</v>
      </c>
      <c r="C179" s="94"/>
      <c r="D179" s="94" t="s">
        <v>191</v>
      </c>
      <c r="E179" s="94" t="s">
        <v>192</v>
      </c>
      <c r="F179" s="94" t="s">
        <v>193</v>
      </c>
      <c r="G179" s="94" t="s">
        <v>241</v>
      </c>
      <c r="H179" s="94" t="s">
        <v>242</v>
      </c>
      <c r="I179" s="94" t="s">
        <v>243</v>
      </c>
      <c r="J179" s="94" t="s">
        <v>216</v>
      </c>
      <c r="K179" s="94" t="s">
        <v>245</v>
      </c>
      <c r="L179" s="95"/>
      <c r="M179" s="95"/>
      <c r="N179" s="95"/>
      <c r="O179" s="95"/>
    </row>
    <row r="180" spans="1:15" ht="15" customHeight="1">
      <c r="A180" s="95"/>
      <c r="B180" s="96">
        <f>B136</f>
        <v>2010</v>
      </c>
      <c r="C180" s="96"/>
      <c r="D180" s="100">
        <f>VLOOKUP(B180,B$7:E$11,3,FALSE)</f>
        <v>233</v>
      </c>
      <c r="E180" s="140">
        <f>((COUNT(B$180:B$184)-1)/2)+(B180-$C$4)</f>
        <v>-2</v>
      </c>
      <c r="F180" s="98">
        <f>E180^2</f>
        <v>4</v>
      </c>
      <c r="G180" s="97">
        <f>E$177-D180</f>
        <v>367</v>
      </c>
      <c r="H180" s="157">
        <f>LOG(D180)</f>
        <v>2.3673559210260189</v>
      </c>
      <c r="I180" s="141">
        <f>LOG(G180)</f>
        <v>2.5646660642520893</v>
      </c>
      <c r="J180" s="142">
        <f>H180-I180</f>
        <v>-0.19731014322607043</v>
      </c>
      <c r="K180" s="142">
        <f>E180*J180</f>
        <v>0.39462028645214087</v>
      </c>
      <c r="L180" s="95"/>
      <c r="M180" s="95"/>
      <c r="N180" s="95"/>
      <c r="O180" s="95"/>
    </row>
    <row r="181" spans="1:15" ht="15" customHeight="1">
      <c r="A181" s="95"/>
      <c r="B181" s="96">
        <f>B137</f>
        <v>2011</v>
      </c>
      <c r="C181" s="96"/>
      <c r="D181" s="100">
        <f>VLOOKUP(B181,B$7:E$11,3,FALSE)</f>
        <v>230</v>
      </c>
      <c r="E181" s="140">
        <f>((COUNT(B$180:B$184)-1)/2)+(B181-$C$4)</f>
        <v>-1</v>
      </c>
      <c r="F181" s="98">
        <f>E181^2</f>
        <v>1</v>
      </c>
      <c r="G181" s="97">
        <f>E$177-D181</f>
        <v>370</v>
      </c>
      <c r="H181" s="157">
        <f>LOG(D181)</f>
        <v>2.3617278360175931</v>
      </c>
      <c r="I181" s="141">
        <f>LOG(G181)</f>
        <v>2.568201724066995</v>
      </c>
      <c r="J181" s="142">
        <f>H181-I181</f>
        <v>-0.20647388804940192</v>
      </c>
      <c r="K181" s="142">
        <f>E181*J181</f>
        <v>0.20647388804940192</v>
      </c>
      <c r="L181" s="95"/>
      <c r="M181" s="95"/>
      <c r="N181" s="95"/>
      <c r="O181" s="95"/>
    </row>
    <row r="182" spans="1:15" ht="15" customHeight="1">
      <c r="A182" s="95"/>
      <c r="B182" s="96">
        <f>B138</f>
        <v>2012</v>
      </c>
      <c r="C182" s="96"/>
      <c r="D182" s="100">
        <f>VLOOKUP(B182,B$7:E$11,3,FALSE)</f>
        <v>214</v>
      </c>
      <c r="E182" s="140">
        <f>((COUNT(B$180:B$184)-1)/2)+(B182-$C$4)</f>
        <v>0</v>
      </c>
      <c r="F182" s="98">
        <f>E182^2</f>
        <v>0</v>
      </c>
      <c r="G182" s="97">
        <f>E$177-D182</f>
        <v>386</v>
      </c>
      <c r="H182" s="157">
        <f>LOG(D182)</f>
        <v>2.330413773349191</v>
      </c>
      <c r="I182" s="141">
        <f>LOG(G182)</f>
        <v>2.5865873046717551</v>
      </c>
      <c r="J182" s="142">
        <f>H182-I182</f>
        <v>-0.25617353132256415</v>
      </c>
      <c r="K182" s="142">
        <f>E182*J182</f>
        <v>0</v>
      </c>
      <c r="L182" s="95"/>
      <c r="M182" s="95"/>
      <c r="N182" s="95"/>
      <c r="O182" s="95"/>
    </row>
    <row r="183" spans="1:15" ht="15" customHeight="1">
      <c r="A183" s="95"/>
      <c r="B183" s="96">
        <f>B139</f>
        <v>2013</v>
      </c>
      <c r="C183" s="96"/>
      <c r="D183" s="100">
        <f>VLOOKUP(B183,B$7:E$11,3,FALSE)</f>
        <v>226</v>
      </c>
      <c r="E183" s="140">
        <f>((COUNT(B$180:B$184)-1)/2)+(B183-$C$4)</f>
        <v>1</v>
      </c>
      <c r="F183" s="98">
        <f>E183^2</f>
        <v>1</v>
      </c>
      <c r="G183" s="97">
        <f>E$177-D183</f>
        <v>374</v>
      </c>
      <c r="H183" s="157">
        <f>LOG(D183)</f>
        <v>2.3541084391474008</v>
      </c>
      <c r="I183" s="141">
        <f>LOG(G183)</f>
        <v>2.5728716022004803</v>
      </c>
      <c r="J183" s="142">
        <f>H183-I183</f>
        <v>-0.21876316305307952</v>
      </c>
      <c r="K183" s="142">
        <f>E183*J183</f>
        <v>-0.21876316305307952</v>
      </c>
      <c r="L183" s="95"/>
      <c r="M183" s="95"/>
      <c r="N183" s="95"/>
      <c r="O183" s="95"/>
    </row>
    <row r="184" spans="1:15" ht="15" customHeight="1">
      <c r="A184" s="95"/>
      <c r="B184" s="96">
        <f>B140</f>
        <v>2014</v>
      </c>
      <c r="C184" s="96"/>
      <c r="D184" s="100">
        <f>VLOOKUP(B184,B$7:E$11,3,FALSE)</f>
        <v>223</v>
      </c>
      <c r="E184" s="140">
        <f>((COUNT(B$180:B$184)-1)/2)+(B184-$C$4)</f>
        <v>2</v>
      </c>
      <c r="F184" s="98">
        <f>E184^2</f>
        <v>4</v>
      </c>
      <c r="G184" s="97">
        <f>E$177-D184</f>
        <v>377</v>
      </c>
      <c r="H184" s="157">
        <f>LOG(D184)</f>
        <v>2.3483048630481607</v>
      </c>
      <c r="I184" s="141">
        <f>LOG(G184)</f>
        <v>2.576341350205793</v>
      </c>
      <c r="J184" s="142">
        <f>H184-I184</f>
        <v>-0.22803648715763236</v>
      </c>
      <c r="K184" s="142">
        <f>E184*J184</f>
        <v>-0.45607297431526472</v>
      </c>
      <c r="L184" s="95"/>
      <c r="M184" s="95"/>
      <c r="N184" s="95"/>
      <c r="O184" s="95"/>
    </row>
    <row r="185" spans="1:15" ht="15" customHeight="1" thickBot="1">
      <c r="A185" s="95"/>
      <c r="B185" s="103" t="s">
        <v>146</v>
      </c>
      <c r="C185" s="104"/>
      <c r="D185" s="158">
        <f>SUM(D180:D184)</f>
        <v>1126</v>
      </c>
      <c r="E185" s="159">
        <f>SUM(E180:E184)</f>
        <v>0</v>
      </c>
      <c r="F185" s="160">
        <f>ROUND(SUM(F180:F184),0)</f>
        <v>10</v>
      </c>
      <c r="G185" s="145"/>
      <c r="H185" s="147"/>
      <c r="I185" s="148"/>
      <c r="J185" s="161">
        <f>SUM(J180:J184)</f>
        <v>-1.1067572128087484</v>
      </c>
      <c r="K185" s="161">
        <f>SUM(K180:K184)</f>
        <v>-7.3741962866801458E-2</v>
      </c>
      <c r="L185" s="95"/>
      <c r="M185" s="95"/>
      <c r="N185" s="95"/>
      <c r="O185" s="95"/>
    </row>
    <row r="186" spans="1:15" ht="15" customHeight="1">
      <c r="A186" s="95"/>
      <c r="B186" s="100" t="s">
        <v>246</v>
      </c>
      <c r="C186" s="100"/>
      <c r="D186" s="93" t="s">
        <v>247</v>
      </c>
      <c r="E186" s="136" t="s">
        <v>248</v>
      </c>
      <c r="F186" s="95"/>
      <c r="G186" s="111" t="str">
        <f>"X = x × LOG e = "&amp;E185&amp;" 이고,"</f>
        <v>X = x × LOG e = 0 이고,</v>
      </c>
      <c r="H186" s="111"/>
      <c r="I186" s="111" t="s">
        <v>249</v>
      </c>
      <c r="J186" s="111"/>
      <c r="K186" s="93"/>
      <c r="L186" s="95"/>
      <c r="M186" s="95"/>
      <c r="N186" s="95"/>
      <c r="O186" s="95"/>
    </row>
    <row r="187" spans="1:15" ht="15" customHeight="1">
      <c r="A187" s="95"/>
      <c r="B187" s="95"/>
      <c r="C187" s="95"/>
      <c r="D187" s="111" t="s">
        <v>250</v>
      </c>
      <c r="E187" s="111"/>
      <c r="F187" s="111"/>
      <c r="G187" s="111"/>
      <c r="H187" s="150">
        <f>ROUND(((E$185*K$185-F$185*J$185)/(COUNT(B$180:B$184)*F$185-E$185*E$185))/LOG(EXP(1)),5)</f>
        <v>0.50968000000000002</v>
      </c>
      <c r="I187" s="111"/>
      <c r="J187" s="111"/>
      <c r="K187" s="95"/>
      <c r="L187" s="95"/>
      <c r="M187" s="95"/>
      <c r="N187" s="95"/>
      <c r="O187" s="95"/>
    </row>
    <row r="188" spans="1:15" ht="15" customHeight="1">
      <c r="A188" s="95"/>
      <c r="B188" s="95"/>
      <c r="C188" s="95"/>
      <c r="D188" s="111" t="s">
        <v>251</v>
      </c>
      <c r="E188" s="111"/>
      <c r="F188" s="111"/>
      <c r="G188" s="162" t="s">
        <v>252</v>
      </c>
      <c r="H188" s="111"/>
      <c r="I188" s="111"/>
      <c r="J188" s="111"/>
      <c r="K188" s="163">
        <f>ROUND((COUNT(B$180:B$184)*K185-E185*J185)/(LOG(EXP(1))*(COUNT(B$180:B$184)*F185-E185*E185)),6)</f>
        <v>-1.6979999999999999E-2</v>
      </c>
      <c r="L188" s="95"/>
      <c r="M188" s="95"/>
      <c r="N188" s="95"/>
      <c r="O188" s="95"/>
    </row>
    <row r="189" spans="1:15" ht="15" customHeight="1">
      <c r="A189" s="95"/>
      <c r="B189" s="95"/>
      <c r="C189" s="95"/>
      <c r="D189" s="111"/>
      <c r="E189" s="95"/>
      <c r="F189" s="93"/>
      <c r="G189" s="93"/>
      <c r="H189" s="111"/>
      <c r="I189" s="111"/>
      <c r="J189" s="152"/>
      <c r="K189" s="95"/>
      <c r="L189" s="95"/>
      <c r="M189" s="95"/>
      <c r="N189" s="95"/>
      <c r="O189" s="95"/>
    </row>
    <row r="190" spans="1:15" ht="15" customHeight="1" thickBot="1">
      <c r="A190" s="95"/>
      <c r="B190" s="95"/>
      <c r="C190" s="95"/>
      <c r="D190" s="95"/>
      <c r="E190" s="95"/>
      <c r="F190" s="100" t="s">
        <v>200</v>
      </c>
      <c r="G190" s="100"/>
      <c r="H190" s="95"/>
      <c r="I190" s="95"/>
      <c r="J190" s="95"/>
      <c r="K190" s="95"/>
      <c r="L190" s="95"/>
      <c r="M190" s="95"/>
      <c r="N190" s="95"/>
      <c r="O190" s="95"/>
    </row>
    <row r="191" spans="1:15" ht="15" customHeight="1">
      <c r="A191" s="95"/>
      <c r="B191" s="94" t="s">
        <v>141</v>
      </c>
      <c r="C191" s="94"/>
      <c r="D191" s="94" t="s">
        <v>174</v>
      </c>
      <c r="E191" s="94"/>
      <c r="F191" s="94" t="s">
        <v>256</v>
      </c>
      <c r="G191" s="94"/>
      <c r="H191" s="94" t="s">
        <v>257</v>
      </c>
      <c r="I191" s="94"/>
      <c r="J191" s="94" t="s">
        <v>53</v>
      </c>
      <c r="K191" s="94"/>
      <c r="L191" s="95"/>
      <c r="M191" s="95"/>
      <c r="N191" s="95"/>
      <c r="O191" s="95"/>
    </row>
    <row r="192" spans="1:15" ht="15" customHeight="1">
      <c r="A192" s="95"/>
      <c r="B192" s="112">
        <v>2014</v>
      </c>
      <c r="C192" s="100"/>
      <c r="D192" s="100">
        <f t="shared" ref="D192:D213" si="8">ROUNDUP(E$177/(1+EXP(1)^(H$187-K$188*(B192-B$180+0.5))),0)</f>
        <v>215</v>
      </c>
      <c r="E192" s="100"/>
      <c r="F192" s="100">
        <v>0</v>
      </c>
      <c r="G192" s="100"/>
      <c r="H192" s="100">
        <f t="shared" ref="H192:H213" si="9">ROUND(D192*(1+F192),0)</f>
        <v>215</v>
      </c>
      <c r="I192" s="100"/>
      <c r="J192" s="102">
        <v>0</v>
      </c>
      <c r="K192" s="102"/>
      <c r="L192" s="95"/>
      <c r="M192" s="95"/>
      <c r="N192" s="95"/>
      <c r="O192" s="95"/>
    </row>
    <row r="193" spans="1:15" ht="15" customHeight="1">
      <c r="A193" s="95"/>
      <c r="B193" s="115">
        <v>2015</v>
      </c>
      <c r="C193" s="116"/>
      <c r="D193" s="116">
        <f t="shared" si="8"/>
        <v>213</v>
      </c>
      <c r="E193" s="116"/>
      <c r="F193" s="116">
        <v>0</v>
      </c>
      <c r="G193" s="116"/>
      <c r="H193" s="116">
        <f t="shared" si="9"/>
        <v>213</v>
      </c>
      <c r="I193" s="116"/>
      <c r="J193" s="117">
        <v>0</v>
      </c>
      <c r="K193" s="117"/>
      <c r="L193" s="95"/>
      <c r="M193" s="95"/>
      <c r="N193" s="95"/>
      <c r="O193" s="95"/>
    </row>
    <row r="194" spans="1:15" ht="15" customHeight="1">
      <c r="A194" s="95"/>
      <c r="B194" s="112">
        <v>2016</v>
      </c>
      <c r="C194" s="113"/>
      <c r="D194" s="113">
        <f t="shared" si="8"/>
        <v>210</v>
      </c>
      <c r="E194" s="113"/>
      <c r="F194" s="113">
        <v>0</v>
      </c>
      <c r="G194" s="113"/>
      <c r="H194" s="113">
        <f t="shared" si="9"/>
        <v>210</v>
      </c>
      <c r="I194" s="113"/>
      <c r="J194" s="114">
        <v>0</v>
      </c>
      <c r="K194" s="114"/>
      <c r="L194" s="95"/>
      <c r="M194" s="95"/>
      <c r="N194" s="95"/>
      <c r="O194" s="95"/>
    </row>
    <row r="195" spans="1:15" ht="15" customHeight="1">
      <c r="A195" s="95"/>
      <c r="B195" s="112">
        <v>2017</v>
      </c>
      <c r="C195" s="113"/>
      <c r="D195" s="113">
        <f t="shared" si="8"/>
        <v>208</v>
      </c>
      <c r="E195" s="113"/>
      <c r="F195" s="113">
        <v>0</v>
      </c>
      <c r="G195" s="113"/>
      <c r="H195" s="113">
        <f t="shared" si="9"/>
        <v>208</v>
      </c>
      <c r="I195" s="113"/>
      <c r="J195" s="114">
        <v>0</v>
      </c>
      <c r="K195" s="114"/>
      <c r="L195" s="95"/>
      <c r="M195" s="95"/>
      <c r="N195" s="95"/>
      <c r="O195" s="95"/>
    </row>
    <row r="196" spans="1:15" ht="15" customHeight="1">
      <c r="A196" s="95"/>
      <c r="B196" s="112">
        <v>2018</v>
      </c>
      <c r="C196" s="113"/>
      <c r="D196" s="113">
        <f t="shared" si="8"/>
        <v>206</v>
      </c>
      <c r="E196" s="113"/>
      <c r="F196" s="113">
        <v>0</v>
      </c>
      <c r="G196" s="113"/>
      <c r="H196" s="113">
        <f t="shared" si="9"/>
        <v>206</v>
      </c>
      <c r="I196" s="113"/>
      <c r="J196" s="114">
        <v>0</v>
      </c>
      <c r="K196" s="114"/>
      <c r="L196" s="95"/>
      <c r="M196" s="95"/>
      <c r="N196" s="95"/>
      <c r="O196" s="95"/>
    </row>
    <row r="197" spans="1:15" ht="15" customHeight="1">
      <c r="A197" s="95"/>
      <c r="B197" s="112">
        <v>2019</v>
      </c>
      <c r="C197" s="113"/>
      <c r="D197" s="113">
        <f t="shared" si="8"/>
        <v>203</v>
      </c>
      <c r="E197" s="113"/>
      <c r="F197" s="113">
        <v>0</v>
      </c>
      <c r="G197" s="113"/>
      <c r="H197" s="113">
        <f t="shared" si="9"/>
        <v>203</v>
      </c>
      <c r="I197" s="113"/>
      <c r="J197" s="114">
        <v>0</v>
      </c>
      <c r="K197" s="114"/>
      <c r="L197" s="95"/>
      <c r="M197" s="95"/>
      <c r="N197" s="95"/>
      <c r="O197" s="95"/>
    </row>
    <row r="198" spans="1:15" ht="15" customHeight="1">
      <c r="A198" s="95"/>
      <c r="B198" s="115">
        <v>2020</v>
      </c>
      <c r="C198" s="116"/>
      <c r="D198" s="116">
        <f t="shared" si="8"/>
        <v>201</v>
      </c>
      <c r="E198" s="116"/>
      <c r="F198" s="116">
        <v>0</v>
      </c>
      <c r="G198" s="116"/>
      <c r="H198" s="116">
        <f t="shared" si="9"/>
        <v>201</v>
      </c>
      <c r="I198" s="116"/>
      <c r="J198" s="117">
        <v>0</v>
      </c>
      <c r="K198" s="117"/>
      <c r="L198" s="95"/>
      <c r="M198" s="95"/>
      <c r="N198" s="95"/>
      <c r="O198" s="95"/>
    </row>
    <row r="199" spans="1:15" ht="15" customHeight="1">
      <c r="A199" s="95"/>
      <c r="B199" s="112">
        <v>2021</v>
      </c>
      <c r="C199" s="113"/>
      <c r="D199" s="113">
        <f t="shared" si="8"/>
        <v>199</v>
      </c>
      <c r="E199" s="113"/>
      <c r="F199" s="113">
        <v>0</v>
      </c>
      <c r="G199" s="113"/>
      <c r="H199" s="113">
        <f t="shared" si="9"/>
        <v>199</v>
      </c>
      <c r="I199" s="113"/>
      <c r="J199" s="114">
        <v>0</v>
      </c>
      <c r="K199" s="114"/>
      <c r="L199" s="95"/>
      <c r="M199" s="95"/>
      <c r="N199" s="95"/>
      <c r="O199" s="95"/>
    </row>
    <row r="200" spans="1:15" ht="15" customHeight="1">
      <c r="A200" s="95"/>
      <c r="B200" s="112">
        <v>2022</v>
      </c>
      <c r="C200" s="113"/>
      <c r="D200" s="113">
        <f t="shared" si="8"/>
        <v>197</v>
      </c>
      <c r="E200" s="113"/>
      <c r="F200" s="113">
        <v>0</v>
      </c>
      <c r="G200" s="113"/>
      <c r="H200" s="113">
        <f t="shared" si="9"/>
        <v>197</v>
      </c>
      <c r="I200" s="113"/>
      <c r="J200" s="114">
        <v>0</v>
      </c>
      <c r="K200" s="114"/>
      <c r="L200" s="95"/>
      <c r="M200" s="95"/>
      <c r="N200" s="95"/>
      <c r="O200" s="95"/>
    </row>
    <row r="201" spans="1:15" ht="15" customHeight="1">
      <c r="A201" s="95"/>
      <c r="B201" s="112">
        <v>2023</v>
      </c>
      <c r="C201" s="113"/>
      <c r="D201" s="113">
        <f t="shared" si="8"/>
        <v>194</v>
      </c>
      <c r="E201" s="113"/>
      <c r="F201" s="113">
        <v>0</v>
      </c>
      <c r="G201" s="113"/>
      <c r="H201" s="113">
        <f t="shared" si="9"/>
        <v>194</v>
      </c>
      <c r="I201" s="113"/>
      <c r="J201" s="114">
        <v>0</v>
      </c>
      <c r="K201" s="114"/>
      <c r="L201" s="95"/>
      <c r="M201" s="95"/>
      <c r="N201" s="95"/>
      <c r="O201" s="95"/>
    </row>
    <row r="202" spans="1:15" ht="15" customHeight="1">
      <c r="A202" s="95"/>
      <c r="B202" s="112">
        <v>2024</v>
      </c>
      <c r="C202" s="113"/>
      <c r="D202" s="113">
        <f t="shared" si="8"/>
        <v>192</v>
      </c>
      <c r="E202" s="113"/>
      <c r="F202" s="113">
        <v>0</v>
      </c>
      <c r="G202" s="113"/>
      <c r="H202" s="113">
        <f t="shared" si="9"/>
        <v>192</v>
      </c>
      <c r="I202" s="113"/>
      <c r="J202" s="114">
        <v>0</v>
      </c>
      <c r="K202" s="114"/>
      <c r="L202" s="95"/>
      <c r="M202" s="95"/>
      <c r="N202" s="95"/>
      <c r="O202" s="95"/>
    </row>
    <row r="203" spans="1:15" ht="15" customHeight="1">
      <c r="A203" s="95"/>
      <c r="B203" s="115">
        <v>2025</v>
      </c>
      <c r="C203" s="116"/>
      <c r="D203" s="116">
        <f t="shared" si="8"/>
        <v>190</v>
      </c>
      <c r="E203" s="116"/>
      <c r="F203" s="116">
        <v>0</v>
      </c>
      <c r="G203" s="116"/>
      <c r="H203" s="116">
        <f t="shared" si="9"/>
        <v>190</v>
      </c>
      <c r="I203" s="116"/>
      <c r="J203" s="117">
        <v>0</v>
      </c>
      <c r="K203" s="117"/>
      <c r="L203" s="95"/>
      <c r="M203" s="95"/>
      <c r="N203" s="95"/>
      <c r="O203" s="95"/>
    </row>
    <row r="204" spans="1:15" ht="15" customHeight="1">
      <c r="A204" s="95"/>
      <c r="B204" s="112">
        <v>2026</v>
      </c>
      <c r="C204" s="113"/>
      <c r="D204" s="113">
        <f t="shared" si="8"/>
        <v>188</v>
      </c>
      <c r="E204" s="113"/>
      <c r="F204" s="113">
        <v>0</v>
      </c>
      <c r="G204" s="113"/>
      <c r="H204" s="113">
        <f t="shared" si="9"/>
        <v>188</v>
      </c>
      <c r="I204" s="113"/>
      <c r="J204" s="114">
        <v>0</v>
      </c>
      <c r="K204" s="114"/>
      <c r="L204" s="95"/>
      <c r="M204" s="95"/>
      <c r="N204" s="95"/>
      <c r="O204" s="95"/>
    </row>
    <row r="205" spans="1:15" ht="15" customHeight="1">
      <c r="A205" s="95"/>
      <c r="B205" s="112">
        <v>2027</v>
      </c>
      <c r="C205" s="113"/>
      <c r="D205" s="113">
        <f t="shared" si="8"/>
        <v>186</v>
      </c>
      <c r="E205" s="113"/>
      <c r="F205" s="113">
        <v>0</v>
      </c>
      <c r="G205" s="113"/>
      <c r="H205" s="113">
        <f t="shared" si="9"/>
        <v>186</v>
      </c>
      <c r="I205" s="113"/>
      <c r="J205" s="114">
        <v>0</v>
      </c>
      <c r="K205" s="114"/>
      <c r="L205" s="95"/>
      <c r="M205" s="95"/>
      <c r="N205" s="95"/>
      <c r="O205" s="95"/>
    </row>
    <row r="206" spans="1:15" ht="15" customHeight="1">
      <c r="A206" s="95"/>
      <c r="B206" s="112">
        <v>2028</v>
      </c>
      <c r="C206" s="113"/>
      <c r="D206" s="113">
        <f t="shared" si="8"/>
        <v>183</v>
      </c>
      <c r="E206" s="113"/>
      <c r="F206" s="113">
        <v>0</v>
      </c>
      <c r="G206" s="113"/>
      <c r="H206" s="113">
        <f t="shared" si="9"/>
        <v>183</v>
      </c>
      <c r="I206" s="113"/>
      <c r="J206" s="114">
        <v>0</v>
      </c>
      <c r="K206" s="114"/>
      <c r="L206" s="95"/>
      <c r="M206" s="95"/>
      <c r="N206" s="95"/>
      <c r="O206" s="95"/>
    </row>
    <row r="207" spans="1:15" ht="15" customHeight="1">
      <c r="A207" s="95"/>
      <c r="B207" s="112">
        <v>2029</v>
      </c>
      <c r="C207" s="113"/>
      <c r="D207" s="113">
        <f t="shared" si="8"/>
        <v>181</v>
      </c>
      <c r="E207" s="113"/>
      <c r="F207" s="113">
        <v>0</v>
      </c>
      <c r="G207" s="113"/>
      <c r="H207" s="113">
        <f t="shared" si="9"/>
        <v>181</v>
      </c>
      <c r="I207" s="113"/>
      <c r="J207" s="114">
        <v>0</v>
      </c>
      <c r="K207" s="114"/>
      <c r="L207" s="95"/>
      <c r="M207" s="95"/>
      <c r="N207" s="95"/>
      <c r="O207" s="95"/>
    </row>
    <row r="208" spans="1:15" ht="15" customHeight="1">
      <c r="A208" s="95"/>
      <c r="B208" s="115">
        <v>2030</v>
      </c>
      <c r="C208" s="116"/>
      <c r="D208" s="116">
        <f t="shared" si="8"/>
        <v>179</v>
      </c>
      <c r="E208" s="116"/>
      <c r="F208" s="116">
        <v>0</v>
      </c>
      <c r="G208" s="116"/>
      <c r="H208" s="116">
        <f t="shared" si="9"/>
        <v>179</v>
      </c>
      <c r="I208" s="116"/>
      <c r="J208" s="117">
        <v>0</v>
      </c>
      <c r="K208" s="117"/>
      <c r="L208" s="95"/>
      <c r="M208" s="95"/>
      <c r="N208" s="95"/>
      <c r="O208" s="95"/>
    </row>
    <row r="209" spans="1:15" ht="15" customHeight="1">
      <c r="A209" s="95"/>
      <c r="B209" s="112">
        <v>2031</v>
      </c>
      <c r="C209" s="113"/>
      <c r="D209" s="113">
        <f t="shared" si="8"/>
        <v>177</v>
      </c>
      <c r="E209" s="113"/>
      <c r="F209" s="113">
        <v>0</v>
      </c>
      <c r="G209" s="113"/>
      <c r="H209" s="113">
        <f t="shared" si="9"/>
        <v>177</v>
      </c>
      <c r="I209" s="113"/>
      <c r="J209" s="114">
        <v>0</v>
      </c>
      <c r="K209" s="114"/>
      <c r="L209" s="95"/>
      <c r="M209" s="95"/>
      <c r="N209" s="95"/>
      <c r="O209" s="95"/>
    </row>
    <row r="210" spans="1:15" ht="15" customHeight="1">
      <c r="A210" s="95"/>
      <c r="B210" s="112">
        <v>2032</v>
      </c>
      <c r="C210" s="113"/>
      <c r="D210" s="113">
        <f t="shared" si="8"/>
        <v>175</v>
      </c>
      <c r="E210" s="113"/>
      <c r="F210" s="113">
        <v>0</v>
      </c>
      <c r="G210" s="113"/>
      <c r="H210" s="113">
        <f t="shared" si="9"/>
        <v>175</v>
      </c>
      <c r="I210" s="113"/>
      <c r="J210" s="114">
        <v>0</v>
      </c>
      <c r="K210" s="114"/>
      <c r="L210" s="95"/>
      <c r="M210" s="95"/>
      <c r="N210" s="95"/>
      <c r="O210" s="95"/>
    </row>
    <row r="211" spans="1:15" ht="15" customHeight="1">
      <c r="A211" s="95"/>
      <c r="B211" s="112">
        <v>2033</v>
      </c>
      <c r="C211" s="113"/>
      <c r="D211" s="113">
        <f t="shared" si="8"/>
        <v>173</v>
      </c>
      <c r="E211" s="113"/>
      <c r="F211" s="113">
        <v>0</v>
      </c>
      <c r="G211" s="113"/>
      <c r="H211" s="113">
        <f t="shared" si="9"/>
        <v>173</v>
      </c>
      <c r="I211" s="113"/>
      <c r="J211" s="114">
        <v>0</v>
      </c>
      <c r="K211" s="114"/>
      <c r="L211" s="95"/>
      <c r="M211" s="95"/>
      <c r="N211" s="95"/>
      <c r="O211" s="95"/>
    </row>
    <row r="212" spans="1:15" ht="15" customHeight="1">
      <c r="A212" s="95"/>
      <c r="B212" s="112">
        <v>2034</v>
      </c>
      <c r="C212" s="113"/>
      <c r="D212" s="113">
        <f t="shared" si="8"/>
        <v>171</v>
      </c>
      <c r="E212" s="113"/>
      <c r="F212" s="113">
        <v>0</v>
      </c>
      <c r="G212" s="113"/>
      <c r="H212" s="113">
        <f t="shared" si="9"/>
        <v>171</v>
      </c>
      <c r="I212" s="113"/>
      <c r="J212" s="114">
        <v>0</v>
      </c>
      <c r="K212" s="114"/>
      <c r="L212" s="95"/>
      <c r="M212" s="95"/>
      <c r="N212" s="95"/>
      <c r="O212" s="95"/>
    </row>
    <row r="213" spans="1:15" ht="15" customHeight="1" thickBot="1">
      <c r="A213" s="95"/>
      <c r="B213" s="115">
        <v>2035</v>
      </c>
      <c r="C213" s="116"/>
      <c r="D213" s="116">
        <f t="shared" si="8"/>
        <v>169</v>
      </c>
      <c r="E213" s="116"/>
      <c r="F213" s="116">
        <v>0</v>
      </c>
      <c r="G213" s="116"/>
      <c r="H213" s="116">
        <f t="shared" si="9"/>
        <v>169</v>
      </c>
      <c r="I213" s="116"/>
      <c r="J213" s="117">
        <v>0</v>
      </c>
      <c r="K213" s="117"/>
      <c r="L213" s="95"/>
      <c r="M213" s="95"/>
      <c r="N213" s="95"/>
      <c r="O213" s="95"/>
    </row>
    <row r="214" spans="1:15" ht="15" customHeight="1">
      <c r="A214" s="95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95"/>
      <c r="M214" s="95"/>
      <c r="N214" s="95"/>
      <c r="O214" s="95"/>
    </row>
    <row r="215" spans="1:15" ht="15" customHeight="1">
      <c r="A215" s="95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95"/>
      <c r="M215" s="95"/>
      <c r="N215" s="95"/>
      <c r="O215" s="95"/>
    </row>
    <row r="216" spans="1:15" ht="15" customHeight="1">
      <c r="A216" s="95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95"/>
      <c r="M216" s="95"/>
      <c r="N216" s="95"/>
      <c r="O216" s="95"/>
    </row>
    <row r="217" spans="1:15" ht="15" customHeight="1">
      <c r="A217" s="95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95"/>
      <c r="M217" s="95"/>
      <c r="N217" s="95"/>
      <c r="O217" s="95"/>
    </row>
    <row r="218" spans="1:15" ht="15" customHeight="1">
      <c r="A218" s="95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95"/>
      <c r="M218" s="95"/>
      <c r="N218" s="95"/>
      <c r="O218" s="95"/>
    </row>
    <row r="219" spans="1:15" ht="15" customHeight="1" thickBot="1">
      <c r="A219" s="95"/>
      <c r="B219" s="95"/>
      <c r="C219" s="95"/>
      <c r="D219" s="95"/>
      <c r="E219" s="95"/>
      <c r="F219" s="100" t="s">
        <v>259</v>
      </c>
      <c r="G219" s="100"/>
      <c r="H219" s="95"/>
      <c r="I219" s="95"/>
      <c r="J219" s="95"/>
      <c r="K219" s="128" t="s">
        <v>260</v>
      </c>
      <c r="L219" s="95"/>
      <c r="M219" s="95"/>
      <c r="N219" s="95"/>
      <c r="O219" s="95"/>
    </row>
    <row r="220" spans="1:15" ht="15" customHeight="1">
      <c r="A220" s="95"/>
      <c r="B220" s="94" t="s">
        <v>141</v>
      </c>
      <c r="C220" s="94"/>
      <c r="D220" s="94" t="s">
        <v>261</v>
      </c>
      <c r="E220" s="94" t="s">
        <v>262</v>
      </c>
      <c r="F220" s="94" t="s">
        <v>263</v>
      </c>
      <c r="G220" s="94" t="s">
        <v>279</v>
      </c>
      <c r="H220" s="94" t="s">
        <v>264</v>
      </c>
      <c r="I220" s="94" t="s">
        <v>54</v>
      </c>
      <c r="J220" s="94" t="s">
        <v>266</v>
      </c>
      <c r="K220" s="94"/>
      <c r="L220" s="95"/>
      <c r="M220" s="95"/>
      <c r="N220" s="95">
        <v>396</v>
      </c>
      <c r="O220" s="95">
        <v>386</v>
      </c>
    </row>
    <row r="221" spans="1:15" ht="15" customHeight="1">
      <c r="A221" s="95"/>
      <c r="B221" s="112">
        <v>2014</v>
      </c>
      <c r="C221" s="113"/>
      <c r="D221" s="153">
        <f t="array" ref="D221">IF(B21=B221,H21)</f>
        <v>223</v>
      </c>
      <c r="E221" s="153">
        <f t="array" ref="E221">IF(B55=B221,H55)</f>
        <v>223</v>
      </c>
      <c r="F221" s="153">
        <f t="array" ref="F221">IF(B105=B221,H105)</f>
        <v>221</v>
      </c>
      <c r="G221" s="153">
        <f t="array" ref="G221">IF(B147=B221,H147)</f>
        <v>241</v>
      </c>
      <c r="H221" s="153">
        <f t="array" ref="H221">IF(B192=B221,H192)</f>
        <v>215</v>
      </c>
      <c r="I221" s="153">
        <f t="shared" ref="I221:I242" si="10">IF(G221=0,AVERAGE(D221,E221,F221,H221),AVERAGE(D221:H221))</f>
        <v>224.6</v>
      </c>
      <c r="J221" s="164">
        <f t="shared" ref="J221:J242" si="11">ROUND(AVERAGE(D221,F221:G221),0)</f>
        <v>228</v>
      </c>
      <c r="K221" s="156"/>
      <c r="L221" s="95"/>
      <c r="M221" s="95"/>
      <c r="N221" s="95"/>
      <c r="O221" s="95"/>
    </row>
    <row r="222" spans="1:15" ht="15" customHeight="1">
      <c r="A222" s="95"/>
      <c r="B222" s="115">
        <v>2015</v>
      </c>
      <c r="C222" s="116"/>
      <c r="D222" s="154">
        <f t="array" ref="D222">IF(B22=B222,H22)</f>
        <v>221</v>
      </c>
      <c r="E222" s="154">
        <f t="array" ref="E222">IF(B56=B222,H56)</f>
        <v>221</v>
      </c>
      <c r="F222" s="154">
        <f t="array" ref="F222">IF(B106=B222,H106)</f>
        <v>218</v>
      </c>
      <c r="G222" s="154">
        <f t="array" ref="G222">IF(B148=B222,H148)</f>
        <v>243</v>
      </c>
      <c r="H222" s="154">
        <f t="array" ref="H222">IF(B193=B222,H193)</f>
        <v>213</v>
      </c>
      <c r="I222" s="154">
        <f t="shared" si="10"/>
        <v>223.2</v>
      </c>
      <c r="J222" s="165">
        <f t="shared" si="11"/>
        <v>227</v>
      </c>
      <c r="K222" s="155"/>
      <c r="L222" s="95"/>
      <c r="M222" s="95"/>
      <c r="N222" s="95"/>
      <c r="O222" s="95"/>
    </row>
    <row r="223" spans="1:15" ht="15" customHeight="1">
      <c r="A223" s="95"/>
      <c r="B223" s="112">
        <v>2016</v>
      </c>
      <c r="C223" s="113"/>
      <c r="D223" s="153">
        <f t="array" ref="D223">IF(B23=B223,H23)</f>
        <v>218</v>
      </c>
      <c r="E223" s="153">
        <f t="array" ref="E223">IF(B57=B223,H57)</f>
        <v>218</v>
      </c>
      <c r="F223" s="153">
        <f t="array" ref="F223">IF(B107=B223,H107)</f>
        <v>216</v>
      </c>
      <c r="G223" s="153">
        <f t="array" ref="G223">IF(B149=B223,H149)</f>
        <v>244</v>
      </c>
      <c r="H223" s="153">
        <f t="array" ref="H223">IF(B194=B223,H194)</f>
        <v>210</v>
      </c>
      <c r="I223" s="153">
        <f t="shared" si="10"/>
        <v>221.2</v>
      </c>
      <c r="J223" s="164">
        <f t="shared" si="11"/>
        <v>226</v>
      </c>
      <c r="K223" s="156"/>
      <c r="L223" s="95"/>
      <c r="M223" s="95"/>
      <c r="N223" s="95"/>
      <c r="O223" s="95"/>
    </row>
    <row r="224" spans="1:15" ht="15" customHeight="1">
      <c r="A224" s="95"/>
      <c r="B224" s="112">
        <v>2017</v>
      </c>
      <c r="C224" s="113"/>
      <c r="D224" s="153">
        <f t="array" ref="D224">IF(B24=B224,H24)</f>
        <v>216</v>
      </c>
      <c r="E224" s="153">
        <f t="array" ref="E224">IF(B58=B224,H58)</f>
        <v>216</v>
      </c>
      <c r="F224" s="153">
        <f t="array" ref="F224">IF(B108=B224,H108)</f>
        <v>213</v>
      </c>
      <c r="G224" s="153">
        <f t="array" ref="G224">IF(B150=B224,H150)</f>
        <v>245</v>
      </c>
      <c r="H224" s="153">
        <f t="array" ref="H224">IF(B195=B224,H195)</f>
        <v>208</v>
      </c>
      <c r="I224" s="153">
        <f t="shared" si="10"/>
        <v>219.6</v>
      </c>
      <c r="J224" s="164">
        <f t="shared" si="11"/>
        <v>225</v>
      </c>
      <c r="K224" s="156"/>
      <c r="L224" s="95"/>
      <c r="M224" s="95"/>
      <c r="N224" s="95"/>
      <c r="O224" s="95"/>
    </row>
    <row r="225" spans="1:15" ht="15" customHeight="1">
      <c r="A225" s="95"/>
      <c r="B225" s="112">
        <v>2018</v>
      </c>
      <c r="C225" s="113"/>
      <c r="D225" s="153">
        <f t="array" ref="D225">IF(B25=B225,H25)</f>
        <v>213</v>
      </c>
      <c r="E225" s="153">
        <f t="array" ref="E225">IF(B59=B225,H59)</f>
        <v>213</v>
      </c>
      <c r="F225" s="153">
        <f t="array" ref="F225">IF(B109=B225,H109)</f>
        <v>211</v>
      </c>
      <c r="G225" s="153">
        <f t="array" ref="G225">IF(B151=B225,H151)</f>
        <v>246</v>
      </c>
      <c r="H225" s="153">
        <f t="array" ref="H225">IF(B196=B225,H196)</f>
        <v>206</v>
      </c>
      <c r="I225" s="153">
        <f t="shared" si="10"/>
        <v>217.8</v>
      </c>
      <c r="J225" s="164">
        <f t="shared" si="11"/>
        <v>223</v>
      </c>
      <c r="K225" s="156"/>
      <c r="L225" s="95"/>
      <c r="M225" s="95"/>
      <c r="N225" s="95"/>
      <c r="O225" s="95"/>
    </row>
    <row r="226" spans="1:15" ht="15" customHeight="1">
      <c r="A226" s="95"/>
      <c r="B226" s="112">
        <v>2019</v>
      </c>
      <c r="C226" s="113"/>
      <c r="D226" s="153">
        <f t="array" ref="D226">IF(B26=B226,H26)</f>
        <v>211</v>
      </c>
      <c r="E226" s="153">
        <f t="array" ref="E226">IF(B60=B226,H60)</f>
        <v>211</v>
      </c>
      <c r="F226" s="153">
        <f t="array" ref="F226">IF(B110=B226,H110)</f>
        <v>209</v>
      </c>
      <c r="G226" s="153">
        <f t="array" ref="G226">IF(B152=B226,H152)</f>
        <v>247</v>
      </c>
      <c r="H226" s="153">
        <f t="array" ref="H226">IF(B197=B226,H197)</f>
        <v>203</v>
      </c>
      <c r="I226" s="153">
        <f t="shared" si="10"/>
        <v>216.2</v>
      </c>
      <c r="J226" s="164">
        <f t="shared" si="11"/>
        <v>222</v>
      </c>
      <c r="K226" s="156"/>
      <c r="L226" s="95"/>
      <c r="M226" s="95"/>
      <c r="N226" s="95"/>
      <c r="O226" s="95"/>
    </row>
    <row r="227" spans="1:15" ht="15" customHeight="1">
      <c r="A227" s="95"/>
      <c r="B227" s="115">
        <v>2020</v>
      </c>
      <c r="C227" s="116"/>
      <c r="D227" s="154">
        <f t="array" ref="D227">IF(B27=B227,H27)</f>
        <v>208</v>
      </c>
      <c r="E227" s="154">
        <f t="array" ref="E227">IF(B61=B227,H61)</f>
        <v>209</v>
      </c>
      <c r="F227" s="154">
        <f t="array" ref="F227">IF(B111=B227,H111)</f>
        <v>206</v>
      </c>
      <c r="G227" s="154">
        <f t="array" ref="G227">IF(B153=B227,H153)</f>
        <v>249</v>
      </c>
      <c r="H227" s="154">
        <f t="array" ref="H227">IF(B198=B227,H198)</f>
        <v>201</v>
      </c>
      <c r="I227" s="154">
        <f t="shared" si="10"/>
        <v>214.6</v>
      </c>
      <c r="J227" s="165">
        <f t="shared" si="11"/>
        <v>221</v>
      </c>
      <c r="K227" s="155"/>
      <c r="L227" s="95"/>
      <c r="M227" s="95"/>
      <c r="N227" s="95"/>
      <c r="O227" s="95"/>
    </row>
    <row r="228" spans="1:15" ht="15" customHeight="1">
      <c r="A228" s="95"/>
      <c r="B228" s="112">
        <v>2021</v>
      </c>
      <c r="C228" s="113"/>
      <c r="D228" s="153">
        <f t="array" ref="D228">IF(B28=B228,H28)</f>
        <v>206</v>
      </c>
      <c r="E228" s="153">
        <f t="array" ref="E228">IF(B62=B228,H62)</f>
        <v>207</v>
      </c>
      <c r="F228" s="153">
        <f t="array" ref="F228">IF(B112=B228,H112)</f>
        <v>204</v>
      </c>
      <c r="G228" s="153">
        <f t="array" ref="G228">IF(B154=B228,H154)</f>
        <v>250</v>
      </c>
      <c r="H228" s="153">
        <f t="array" ref="H228">IF(B199=B228,H199)</f>
        <v>199</v>
      </c>
      <c r="I228" s="153">
        <f t="shared" si="10"/>
        <v>213.2</v>
      </c>
      <c r="J228" s="164">
        <f t="shared" si="11"/>
        <v>220</v>
      </c>
      <c r="K228" s="156"/>
      <c r="L228" s="95"/>
      <c r="M228" s="95"/>
      <c r="N228" s="95"/>
      <c r="O228" s="95"/>
    </row>
    <row r="229" spans="1:15" ht="15" customHeight="1">
      <c r="A229" s="95"/>
      <c r="B229" s="112">
        <v>2022</v>
      </c>
      <c r="C229" s="113"/>
      <c r="D229" s="153">
        <f t="array" ref="D229">IF(B29=B229,H29)</f>
        <v>203</v>
      </c>
      <c r="E229" s="153">
        <f t="array" ref="E229">IF(B63=B229,H63)</f>
        <v>204</v>
      </c>
      <c r="F229" s="153">
        <f t="array" ref="F229">IF(B113=B229,H113)</f>
        <v>201</v>
      </c>
      <c r="G229" s="153">
        <f t="array" ref="G229">IF(B155=B229,H155)</f>
        <v>251</v>
      </c>
      <c r="H229" s="153">
        <f t="array" ref="H229">IF(B200=B229,H200)</f>
        <v>197</v>
      </c>
      <c r="I229" s="153">
        <f t="shared" si="10"/>
        <v>211.2</v>
      </c>
      <c r="J229" s="164">
        <f t="shared" si="11"/>
        <v>218</v>
      </c>
      <c r="K229" s="156"/>
      <c r="L229" s="95"/>
      <c r="M229" s="95"/>
      <c r="N229" s="95"/>
      <c r="O229" s="95"/>
    </row>
    <row r="230" spans="1:15" ht="15" customHeight="1">
      <c r="A230" s="95"/>
      <c r="B230" s="112">
        <v>2023</v>
      </c>
      <c r="C230" s="113"/>
      <c r="D230" s="153">
        <f t="array" ref="D230">IF(B30=B230,H30)</f>
        <v>201</v>
      </c>
      <c r="E230" s="153">
        <f t="array" ref="E230">IF(B64=B230,H64)</f>
        <v>202</v>
      </c>
      <c r="F230" s="153">
        <f t="array" ref="F230">IF(B114=B230,H114)</f>
        <v>199</v>
      </c>
      <c r="G230" s="153">
        <f t="array" ref="G230">IF(B156=B230,H156)</f>
        <v>252</v>
      </c>
      <c r="H230" s="153">
        <f t="array" ref="H230">IF(B201=B230,H201)</f>
        <v>194</v>
      </c>
      <c r="I230" s="153">
        <f t="shared" si="10"/>
        <v>209.6</v>
      </c>
      <c r="J230" s="164">
        <f t="shared" si="11"/>
        <v>217</v>
      </c>
      <c r="K230" s="156"/>
      <c r="L230" s="95"/>
      <c r="M230" s="95"/>
      <c r="N230" s="95"/>
      <c r="O230" s="95"/>
    </row>
    <row r="231" spans="1:15" ht="15" customHeight="1">
      <c r="A231" s="95"/>
      <c r="B231" s="112">
        <v>2024</v>
      </c>
      <c r="C231" s="113"/>
      <c r="D231" s="153">
        <f t="array" ref="D231">IF(B31=B231,H31)</f>
        <v>198</v>
      </c>
      <c r="E231" s="153">
        <f t="array" ref="E231">IF(B65=B231,H65)</f>
        <v>200</v>
      </c>
      <c r="F231" s="153">
        <f t="array" ref="F231">IF(B115=B231,H115)</f>
        <v>197</v>
      </c>
      <c r="G231" s="153">
        <f t="array" ref="G231">IF(B157=B231,H157)</f>
        <v>253</v>
      </c>
      <c r="H231" s="153">
        <f t="array" ref="H231">IF(B202=B231,H202)</f>
        <v>192</v>
      </c>
      <c r="I231" s="153">
        <f t="shared" si="10"/>
        <v>208</v>
      </c>
      <c r="J231" s="164">
        <f t="shared" si="11"/>
        <v>216</v>
      </c>
      <c r="K231" s="156"/>
      <c r="L231" s="95"/>
      <c r="M231" s="95"/>
      <c r="N231" s="95"/>
      <c r="O231" s="95"/>
    </row>
    <row r="232" spans="1:15" ht="15" customHeight="1">
      <c r="A232" s="95"/>
      <c r="B232" s="115">
        <v>2025</v>
      </c>
      <c r="C232" s="116"/>
      <c r="D232" s="154">
        <f t="array" ref="D232">IF(B32=B232,H32)</f>
        <v>196</v>
      </c>
      <c r="E232" s="154">
        <f t="array" ref="E232">IF(B66=B232,H66)</f>
        <v>198</v>
      </c>
      <c r="F232" s="154">
        <f t="array" ref="F232">IF(B116=B232,H116)</f>
        <v>194</v>
      </c>
      <c r="G232" s="154">
        <f t="array" ref="G232">IF(B158=B232,H158)</f>
        <v>254</v>
      </c>
      <c r="H232" s="154">
        <f t="array" ref="H232">IF(B203=B232,H203)</f>
        <v>190</v>
      </c>
      <c r="I232" s="154">
        <f t="shared" si="10"/>
        <v>206.4</v>
      </c>
      <c r="J232" s="165">
        <f t="shared" si="11"/>
        <v>215</v>
      </c>
      <c r="K232" s="155"/>
      <c r="L232" s="95"/>
      <c r="M232" s="95"/>
      <c r="N232" s="95"/>
      <c r="O232" s="95"/>
    </row>
    <row r="233" spans="1:15" ht="15" customHeight="1">
      <c r="A233" s="95"/>
      <c r="B233" s="112">
        <v>2026</v>
      </c>
      <c r="C233" s="113"/>
      <c r="D233" s="153">
        <f t="array" ref="D233">IF(B33=B233,H33)</f>
        <v>193</v>
      </c>
      <c r="E233" s="153">
        <f t="array" ref="E233">IF(B67=B233,H67)</f>
        <v>196</v>
      </c>
      <c r="F233" s="153">
        <f t="array" ref="F233">IF(B117=B233,H117)</f>
        <v>192</v>
      </c>
      <c r="G233" s="153">
        <f t="array" ref="G233">IF(B159=B233,H159)</f>
        <v>255</v>
      </c>
      <c r="H233" s="153">
        <f t="array" ref="H233">IF(B204=B233,H204)</f>
        <v>188</v>
      </c>
      <c r="I233" s="153">
        <f t="shared" si="10"/>
        <v>204.8</v>
      </c>
      <c r="J233" s="164">
        <f t="shared" si="11"/>
        <v>213</v>
      </c>
      <c r="K233" s="156"/>
      <c r="L233" s="95"/>
      <c r="M233" s="95"/>
      <c r="N233" s="95"/>
      <c r="O233" s="95"/>
    </row>
    <row r="234" spans="1:15" ht="15" customHeight="1">
      <c r="A234" s="95"/>
      <c r="B234" s="112">
        <v>2027</v>
      </c>
      <c r="C234" s="113"/>
      <c r="D234" s="153">
        <f t="array" ref="D234">IF(B34=B234,H34)</f>
        <v>191</v>
      </c>
      <c r="E234" s="153">
        <f t="array" ref="E234">IF(B68=B234,H68)</f>
        <v>193</v>
      </c>
      <c r="F234" s="153">
        <f t="array" ref="F234">IF(B118=B234,H118)</f>
        <v>189</v>
      </c>
      <c r="G234" s="153">
        <f t="array" ref="G234">IF(B160=B234,H160)</f>
        <v>256</v>
      </c>
      <c r="H234" s="153">
        <f t="array" ref="H234">IF(B205=B234,H205)</f>
        <v>186</v>
      </c>
      <c r="I234" s="153">
        <f t="shared" si="10"/>
        <v>203</v>
      </c>
      <c r="J234" s="164">
        <f t="shared" si="11"/>
        <v>212</v>
      </c>
      <c r="K234" s="156"/>
      <c r="L234" s="95"/>
      <c r="M234" s="95"/>
      <c r="N234" s="95"/>
      <c r="O234" s="95"/>
    </row>
    <row r="235" spans="1:15" ht="15" customHeight="1">
      <c r="A235" s="95"/>
      <c r="B235" s="112">
        <v>2028</v>
      </c>
      <c r="C235" s="113"/>
      <c r="D235" s="153">
        <f t="array" ref="D235">IF(B35=B235,H35)</f>
        <v>188</v>
      </c>
      <c r="E235" s="153">
        <f t="array" ref="E235">IF(B69=B235,H69)</f>
        <v>191</v>
      </c>
      <c r="F235" s="153">
        <f t="array" ref="F235">IF(B119=B235,H119)</f>
        <v>187</v>
      </c>
      <c r="G235" s="153">
        <f t="array" ref="G235">IF(B161=B235,H161)</f>
        <v>256</v>
      </c>
      <c r="H235" s="153">
        <f t="array" ref="H235">IF(B206=B235,H206)</f>
        <v>183</v>
      </c>
      <c r="I235" s="153">
        <f t="shared" si="10"/>
        <v>201</v>
      </c>
      <c r="J235" s="164">
        <f t="shared" si="11"/>
        <v>210</v>
      </c>
      <c r="K235" s="156"/>
      <c r="L235" s="95"/>
      <c r="M235" s="95"/>
      <c r="N235" s="95"/>
      <c r="O235" s="95"/>
    </row>
    <row r="236" spans="1:15" ht="15" customHeight="1">
      <c r="A236" s="95"/>
      <c r="B236" s="112">
        <v>2029</v>
      </c>
      <c r="C236" s="113"/>
      <c r="D236" s="153">
        <f t="array" ref="D236">IF(B36=B236,H36)</f>
        <v>186</v>
      </c>
      <c r="E236" s="153">
        <f t="array" ref="E236">IF(B70=B236,H70)</f>
        <v>189</v>
      </c>
      <c r="F236" s="153">
        <f t="array" ref="F236">IF(B120=B236,H120)</f>
        <v>185</v>
      </c>
      <c r="G236" s="153">
        <f t="array" ref="G236">IF(B162=B236,H162)</f>
        <v>257</v>
      </c>
      <c r="H236" s="153">
        <f t="array" ref="H236">IF(B207=B236,H207)</f>
        <v>181</v>
      </c>
      <c r="I236" s="153">
        <f t="shared" si="10"/>
        <v>199.6</v>
      </c>
      <c r="J236" s="164">
        <f t="shared" si="11"/>
        <v>209</v>
      </c>
      <c r="K236" s="156"/>
      <c r="L236" s="95"/>
      <c r="M236" s="95"/>
      <c r="N236" s="95"/>
      <c r="O236" s="95"/>
    </row>
    <row r="237" spans="1:15" ht="15" customHeight="1">
      <c r="A237" s="95"/>
      <c r="B237" s="115">
        <v>2030</v>
      </c>
      <c r="C237" s="116"/>
      <c r="D237" s="154">
        <f t="array" ref="D237">IF(B37=B237,H37)</f>
        <v>183</v>
      </c>
      <c r="E237" s="154">
        <f t="array" ref="E237">IF(B71=B237,H71)</f>
        <v>187</v>
      </c>
      <c r="F237" s="154">
        <f t="array" ref="F237">IF(B121=B237,H121)</f>
        <v>182</v>
      </c>
      <c r="G237" s="154">
        <f t="array" ref="G237">IF(B163=B237,H163)</f>
        <v>258</v>
      </c>
      <c r="H237" s="154">
        <f t="array" ref="H237">IF(B208=B237,H208)</f>
        <v>179</v>
      </c>
      <c r="I237" s="154">
        <f t="shared" si="10"/>
        <v>197.8</v>
      </c>
      <c r="J237" s="165">
        <f t="shared" si="11"/>
        <v>208</v>
      </c>
      <c r="K237" s="155"/>
      <c r="L237" s="95"/>
      <c r="M237" s="95"/>
      <c r="N237" s="95"/>
      <c r="O237" s="95"/>
    </row>
    <row r="238" spans="1:15" ht="15" customHeight="1">
      <c r="A238" s="95"/>
      <c r="B238" s="112">
        <v>2031</v>
      </c>
      <c r="C238" s="113"/>
      <c r="D238" s="153">
        <f t="array" ref="D238">IF(B38=B238,H38)</f>
        <v>181</v>
      </c>
      <c r="E238" s="153">
        <f t="array" ref="E238">IF(B72=B238,H72)</f>
        <v>185</v>
      </c>
      <c r="F238" s="153">
        <f t="array" ref="F238">IF(B122=B238,H122)</f>
        <v>180</v>
      </c>
      <c r="G238" s="153">
        <f t="array" ref="G238">IF(B164=B238,H164)</f>
        <v>259</v>
      </c>
      <c r="H238" s="153">
        <f t="array" ref="H238">IF(B209=B238,H209)</f>
        <v>177</v>
      </c>
      <c r="I238" s="153">
        <f t="shared" si="10"/>
        <v>196.4</v>
      </c>
      <c r="J238" s="164">
        <f t="shared" si="11"/>
        <v>207</v>
      </c>
      <c r="K238" s="156"/>
      <c r="L238" s="95"/>
      <c r="M238" s="95"/>
      <c r="N238" s="95"/>
      <c r="O238" s="95"/>
    </row>
    <row r="239" spans="1:15" ht="15" customHeight="1">
      <c r="A239" s="95"/>
      <c r="B239" s="112">
        <v>2032</v>
      </c>
      <c r="C239" s="113"/>
      <c r="D239" s="153">
        <f t="array" ref="D239">IF(B39=B239,H39)</f>
        <v>178</v>
      </c>
      <c r="E239" s="153">
        <f t="array" ref="E239">IF(B73=B239,H73)</f>
        <v>183</v>
      </c>
      <c r="F239" s="153">
        <f t="array" ref="F239">IF(B123=B239,H123)</f>
        <v>177</v>
      </c>
      <c r="G239" s="153">
        <f t="array" ref="G239">IF(B165=B239,H165)</f>
        <v>260</v>
      </c>
      <c r="H239" s="153">
        <f t="array" ref="H239">IF(B210=B239,H210)</f>
        <v>175</v>
      </c>
      <c r="I239" s="153">
        <f t="shared" si="10"/>
        <v>194.6</v>
      </c>
      <c r="J239" s="164">
        <f t="shared" si="11"/>
        <v>205</v>
      </c>
      <c r="K239" s="156"/>
      <c r="L239" s="95"/>
      <c r="M239" s="95"/>
      <c r="N239" s="95"/>
      <c r="O239" s="95"/>
    </row>
    <row r="240" spans="1:15" ht="15" customHeight="1">
      <c r="A240" s="95"/>
      <c r="B240" s="112">
        <v>2033</v>
      </c>
      <c r="C240" s="113"/>
      <c r="D240" s="153">
        <f t="array" ref="D240">IF(B40=B240,H40)</f>
        <v>176</v>
      </c>
      <c r="E240" s="153">
        <f t="array" ref="E240">IF(B74=B240,H74)</f>
        <v>181</v>
      </c>
      <c r="F240" s="153">
        <f t="array" ref="F240">IF(B124=B240,H124)</f>
        <v>175</v>
      </c>
      <c r="G240" s="153">
        <f t="array" ref="G240">IF(B166=B240,H166)</f>
        <v>261</v>
      </c>
      <c r="H240" s="153">
        <f t="array" ref="H240">IF(B211=B240,H211)</f>
        <v>173</v>
      </c>
      <c r="I240" s="153">
        <f t="shared" si="10"/>
        <v>193.2</v>
      </c>
      <c r="J240" s="164">
        <f t="shared" si="11"/>
        <v>204</v>
      </c>
      <c r="K240" s="156"/>
      <c r="L240" s="95"/>
      <c r="M240" s="95"/>
      <c r="N240" s="95"/>
      <c r="O240" s="95"/>
    </row>
    <row r="241" spans="1:15" ht="15" customHeight="1">
      <c r="A241" s="95"/>
      <c r="B241" s="112">
        <v>2034</v>
      </c>
      <c r="C241" s="113"/>
      <c r="D241" s="153">
        <f t="array" ref="D241">IF(B41=B241,H41)</f>
        <v>173</v>
      </c>
      <c r="E241" s="153">
        <f t="array" ref="E241">IF(B75=B241,H75)</f>
        <v>179</v>
      </c>
      <c r="F241" s="153">
        <f t="array" ref="F241">IF(B125=B241,H125)</f>
        <v>173</v>
      </c>
      <c r="G241" s="153">
        <f t="array" ref="G241">IF(B167=B241,H167)</f>
        <v>262</v>
      </c>
      <c r="H241" s="153">
        <f t="array" ref="H241">IF(B212=B241,H212)</f>
        <v>171</v>
      </c>
      <c r="I241" s="153">
        <f t="shared" si="10"/>
        <v>191.6</v>
      </c>
      <c r="J241" s="164">
        <f t="shared" si="11"/>
        <v>203</v>
      </c>
      <c r="K241" s="156"/>
      <c r="L241" s="95"/>
      <c r="M241" s="95"/>
      <c r="N241" s="95"/>
      <c r="O241" s="95"/>
    </row>
    <row r="242" spans="1:15" ht="15" customHeight="1" thickBot="1">
      <c r="A242" s="95"/>
      <c r="B242" s="115">
        <v>2035</v>
      </c>
      <c r="C242" s="116"/>
      <c r="D242" s="154">
        <f t="array" ref="D242">IF(B42=B242,H42)</f>
        <v>171</v>
      </c>
      <c r="E242" s="154">
        <f t="array" ref="E242">IF(B76=B242,H76)</f>
        <v>177</v>
      </c>
      <c r="F242" s="154">
        <f t="array" ref="F242">IF(B126=B242,H126)</f>
        <v>170</v>
      </c>
      <c r="G242" s="154">
        <f t="array" ref="G242">IF(B168=B242,H168)</f>
        <v>263</v>
      </c>
      <c r="H242" s="154">
        <f t="array" ref="H242">IF(B213=B242,H213)</f>
        <v>169</v>
      </c>
      <c r="I242" s="154">
        <f t="shared" si="10"/>
        <v>190</v>
      </c>
      <c r="J242" s="165">
        <f t="shared" si="11"/>
        <v>201</v>
      </c>
      <c r="K242" s="155"/>
      <c r="L242" s="95"/>
      <c r="M242" s="95"/>
      <c r="N242" s="95"/>
      <c r="O242" s="95"/>
    </row>
    <row r="243" spans="1:15">
      <c r="B243" s="121"/>
      <c r="C243" s="121"/>
      <c r="D243" s="121"/>
      <c r="E243" s="121"/>
      <c r="F243" s="121"/>
      <c r="G243" s="121"/>
      <c r="H243" s="121"/>
      <c r="I243" s="121"/>
      <c r="J243" s="121"/>
      <c r="K243" s="121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86" t="s">
        <v>972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1780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2005</v>
      </c>
      <c r="C7" s="204"/>
      <c r="D7" s="205">
        <f>상수도사용원단위!H4</f>
        <v>0</v>
      </c>
      <c r="E7" s="205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204">
        <f>+B7+1</f>
        <v>2006</v>
      </c>
      <c r="C8" s="204"/>
      <c r="D8" s="205">
        <f>상수도사용원단위!H5</f>
        <v>0</v>
      </c>
      <c r="E8" s="205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f t="shared" ref="B9:B16" si="1">+B8+1</f>
        <v>2007</v>
      </c>
      <c r="C9" s="204"/>
      <c r="D9" s="205">
        <f>상수도사용원단위!H6</f>
        <v>571</v>
      </c>
      <c r="E9" s="205"/>
      <c r="F9" s="206">
        <f t="shared" si="0"/>
        <v>571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f t="shared" si="1"/>
        <v>2008</v>
      </c>
      <c r="C10" s="204"/>
      <c r="D10" s="205">
        <f>상수도사용원단위!H7</f>
        <v>182</v>
      </c>
      <c r="E10" s="205"/>
      <c r="F10" s="206">
        <f t="shared" si="0"/>
        <v>-389</v>
      </c>
      <c r="G10" s="206"/>
      <c r="H10" s="207">
        <f t="shared" ref="H10:H16" si="2">ROUND(F10/D9*100,2)</f>
        <v>-68.13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f t="shared" si="1"/>
        <v>2009</v>
      </c>
      <c r="C11" s="204"/>
      <c r="D11" s="205">
        <f>상수도사용원단위!H8</f>
        <v>192</v>
      </c>
      <c r="E11" s="205"/>
      <c r="F11" s="206">
        <f t="shared" si="0"/>
        <v>10</v>
      </c>
      <c r="G11" s="206"/>
      <c r="H11" s="207">
        <f t="shared" si="2"/>
        <v>5.49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204">
        <f t="shared" si="1"/>
        <v>2010</v>
      </c>
      <c r="C12" s="204"/>
      <c r="D12" s="205">
        <f>상수도사용원단위!H9</f>
        <v>206</v>
      </c>
      <c r="E12" s="205"/>
      <c r="F12" s="206">
        <f t="shared" si="0"/>
        <v>14</v>
      </c>
      <c r="G12" s="206"/>
      <c r="H12" s="207">
        <f t="shared" si="2"/>
        <v>7.29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204">
        <f t="shared" si="1"/>
        <v>2011</v>
      </c>
      <c r="C13" s="204"/>
      <c r="D13" s="205">
        <f>상수도사용원단위!H10</f>
        <v>574</v>
      </c>
      <c r="E13" s="205"/>
      <c r="F13" s="206">
        <f t="shared" si="0"/>
        <v>368</v>
      </c>
      <c r="G13" s="206"/>
      <c r="H13" s="207">
        <f t="shared" si="2"/>
        <v>178.64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204">
        <f t="shared" si="1"/>
        <v>2012</v>
      </c>
      <c r="C14" s="204"/>
      <c r="D14" s="205">
        <f>상수도사용원단위!H11</f>
        <v>210</v>
      </c>
      <c r="E14" s="205"/>
      <c r="F14" s="206">
        <f t="shared" si="0"/>
        <v>-364</v>
      </c>
      <c r="G14" s="206"/>
      <c r="H14" s="207">
        <f t="shared" si="2"/>
        <v>-63.41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204">
        <f t="shared" si="1"/>
        <v>2013</v>
      </c>
      <c r="C15" s="204"/>
      <c r="D15" s="205">
        <f>상수도사용원단위!H12</f>
        <v>226</v>
      </c>
      <c r="E15" s="205"/>
      <c r="F15" s="206">
        <f t="shared" si="0"/>
        <v>16</v>
      </c>
      <c r="G15" s="206"/>
      <c r="H15" s="207">
        <f t="shared" si="2"/>
        <v>7.62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204">
        <f t="shared" si="1"/>
        <v>2014</v>
      </c>
      <c r="C16" s="204"/>
      <c r="D16" s="205">
        <f>상수도사용원단위!H13</f>
        <v>212</v>
      </c>
      <c r="E16" s="205"/>
      <c r="F16" s="206">
        <f t="shared" si="0"/>
        <v>-14</v>
      </c>
      <c r="G16" s="206"/>
      <c r="H16" s="207">
        <f t="shared" si="2"/>
        <v>-6.19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2373</v>
      </c>
      <c r="E17" s="214"/>
      <c r="F17" s="215"/>
      <c r="G17" s="215"/>
      <c r="H17" s="216">
        <f>SUM(H7:H16)</f>
        <v>61.31</v>
      </c>
      <c r="I17" s="216"/>
      <c r="J17" s="217">
        <f>ROUND(AVERAGE(H8:H16),1)</f>
        <v>6.8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3">ROUND(E$48+H$48*(B26-$C$4),0)</f>
        <v>212</v>
      </c>
      <c r="E26" s="221"/>
      <c r="F26" s="221">
        <v>0</v>
      </c>
      <c r="G26" s="221"/>
      <c r="H26" s="221">
        <f t="shared" ref="H26:H47" si="4">ROUND(D26*(1+F26),0)</f>
        <v>212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3"/>
        <v>236</v>
      </c>
      <c r="E27" s="269"/>
      <c r="F27" s="269">
        <v>0</v>
      </c>
      <c r="G27" s="269"/>
      <c r="H27" s="269">
        <f t="shared" si="4"/>
        <v>236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3"/>
        <v>259</v>
      </c>
      <c r="E28" s="221"/>
      <c r="F28" s="221">
        <v>0</v>
      </c>
      <c r="G28" s="221"/>
      <c r="H28" s="221">
        <f t="shared" si="4"/>
        <v>259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3"/>
        <v>283</v>
      </c>
      <c r="E29" s="221"/>
      <c r="F29" s="221">
        <v>0</v>
      </c>
      <c r="G29" s="221"/>
      <c r="H29" s="221">
        <f t="shared" si="4"/>
        <v>283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3"/>
        <v>306</v>
      </c>
      <c r="E30" s="221"/>
      <c r="F30" s="221">
        <v>0</v>
      </c>
      <c r="G30" s="221"/>
      <c r="H30" s="221">
        <f t="shared" si="4"/>
        <v>306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3"/>
        <v>330</v>
      </c>
      <c r="E31" s="221"/>
      <c r="F31" s="221">
        <v>0</v>
      </c>
      <c r="G31" s="221"/>
      <c r="H31" s="221">
        <f t="shared" si="4"/>
        <v>330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3"/>
        <v>354</v>
      </c>
      <c r="E32" s="269"/>
      <c r="F32" s="269">
        <v>0</v>
      </c>
      <c r="G32" s="269"/>
      <c r="H32" s="269">
        <f t="shared" si="4"/>
        <v>354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3"/>
        <v>377</v>
      </c>
      <c r="E33" s="221"/>
      <c r="F33" s="221">
        <v>0</v>
      </c>
      <c r="G33" s="221"/>
      <c r="H33" s="221">
        <f t="shared" si="4"/>
        <v>377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3"/>
        <v>401</v>
      </c>
      <c r="E34" s="221"/>
      <c r="F34" s="221">
        <v>0</v>
      </c>
      <c r="G34" s="221"/>
      <c r="H34" s="221">
        <f t="shared" si="4"/>
        <v>401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3"/>
        <v>424</v>
      </c>
      <c r="E35" s="221"/>
      <c r="F35" s="221">
        <v>0</v>
      </c>
      <c r="G35" s="221"/>
      <c r="H35" s="221">
        <f t="shared" si="4"/>
        <v>424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3"/>
        <v>448</v>
      </c>
      <c r="E36" s="221"/>
      <c r="F36" s="221">
        <v>0</v>
      </c>
      <c r="G36" s="221"/>
      <c r="H36" s="221">
        <f t="shared" si="4"/>
        <v>448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3"/>
        <v>472</v>
      </c>
      <c r="E37" s="269"/>
      <c r="F37" s="269">
        <v>0</v>
      </c>
      <c r="G37" s="269"/>
      <c r="H37" s="269">
        <f t="shared" si="4"/>
        <v>472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3"/>
        <v>495</v>
      </c>
      <c r="E38" s="221"/>
      <c r="F38" s="221">
        <v>0</v>
      </c>
      <c r="G38" s="221"/>
      <c r="H38" s="221">
        <f t="shared" si="4"/>
        <v>495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3"/>
        <v>519</v>
      </c>
      <c r="E39" s="221"/>
      <c r="F39" s="221">
        <v>0</v>
      </c>
      <c r="G39" s="221"/>
      <c r="H39" s="221">
        <f t="shared" si="4"/>
        <v>519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3"/>
        <v>542</v>
      </c>
      <c r="E40" s="221"/>
      <c r="F40" s="221">
        <v>0</v>
      </c>
      <c r="G40" s="221"/>
      <c r="H40" s="221">
        <f t="shared" si="4"/>
        <v>542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3"/>
        <v>566</v>
      </c>
      <c r="E41" s="221"/>
      <c r="F41" s="221">
        <v>0</v>
      </c>
      <c r="G41" s="221"/>
      <c r="H41" s="221">
        <f t="shared" si="4"/>
        <v>566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3"/>
        <v>590</v>
      </c>
      <c r="E42" s="269"/>
      <c r="F42" s="269">
        <v>0</v>
      </c>
      <c r="G42" s="269"/>
      <c r="H42" s="269">
        <f t="shared" si="4"/>
        <v>590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3"/>
        <v>613</v>
      </c>
      <c r="E43" s="221"/>
      <c r="F43" s="221">
        <v>0</v>
      </c>
      <c r="G43" s="221"/>
      <c r="H43" s="221">
        <f t="shared" si="4"/>
        <v>613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3"/>
        <v>637</v>
      </c>
      <c r="E44" s="221"/>
      <c r="F44" s="221">
        <v>0</v>
      </c>
      <c r="G44" s="221"/>
      <c r="H44" s="221">
        <f t="shared" si="4"/>
        <v>637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3"/>
        <v>660</v>
      </c>
      <c r="E45" s="221"/>
      <c r="F45" s="221">
        <v>0</v>
      </c>
      <c r="G45" s="221"/>
      <c r="H45" s="221">
        <f t="shared" si="4"/>
        <v>660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3"/>
        <v>684</v>
      </c>
      <c r="E46" s="221"/>
      <c r="F46" s="221">
        <v>0</v>
      </c>
      <c r="G46" s="221"/>
      <c r="H46" s="221">
        <f t="shared" si="4"/>
        <v>684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3"/>
        <v>708</v>
      </c>
      <c r="E47" s="269"/>
      <c r="F47" s="269">
        <v>0</v>
      </c>
      <c r="G47" s="269"/>
      <c r="H47" s="269">
        <f t="shared" si="4"/>
        <v>708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212</v>
      </c>
      <c r="F48" s="226"/>
      <c r="G48" s="224" t="s">
        <v>162</v>
      </c>
      <c r="H48" s="224">
        <f>ROUND((D$16-D$7)/(COUNT(D$7:D$16)-1),1)</f>
        <v>23.6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5">ROUND(E$82*H$82^(B60-$C$4),0)</f>
        <v>212</v>
      </c>
      <c r="E60" s="221"/>
      <c r="F60" s="221">
        <v>0</v>
      </c>
      <c r="G60" s="221"/>
      <c r="H60" s="221">
        <f t="shared" ref="H60:H81" si="6">ROUND(D60*(1+F60),0)</f>
        <v>212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5"/>
        <v>184</v>
      </c>
      <c r="E61" s="269"/>
      <c r="F61" s="269">
        <v>0</v>
      </c>
      <c r="G61" s="269"/>
      <c r="H61" s="269">
        <f t="shared" si="6"/>
        <v>184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5"/>
        <v>160</v>
      </c>
      <c r="E62" s="221"/>
      <c r="F62" s="221">
        <v>0</v>
      </c>
      <c r="G62" s="221"/>
      <c r="H62" s="221">
        <f t="shared" si="6"/>
        <v>160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5"/>
        <v>139</v>
      </c>
      <c r="E63" s="221"/>
      <c r="F63" s="221">
        <v>0</v>
      </c>
      <c r="G63" s="221"/>
      <c r="H63" s="221">
        <f t="shared" si="6"/>
        <v>139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5"/>
        <v>120</v>
      </c>
      <c r="E64" s="221"/>
      <c r="F64" s="221">
        <v>0</v>
      </c>
      <c r="G64" s="221"/>
      <c r="H64" s="221">
        <f t="shared" si="6"/>
        <v>120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5"/>
        <v>104</v>
      </c>
      <c r="E65" s="221"/>
      <c r="F65" s="221">
        <v>0</v>
      </c>
      <c r="G65" s="221"/>
      <c r="H65" s="221">
        <f t="shared" si="6"/>
        <v>104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5"/>
        <v>91</v>
      </c>
      <c r="E66" s="269"/>
      <c r="F66" s="269">
        <v>0</v>
      </c>
      <c r="G66" s="269"/>
      <c r="H66" s="269">
        <f t="shared" si="6"/>
        <v>91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5"/>
        <v>79</v>
      </c>
      <c r="E67" s="221"/>
      <c r="F67" s="221">
        <v>0</v>
      </c>
      <c r="G67" s="221"/>
      <c r="H67" s="221">
        <f t="shared" si="6"/>
        <v>79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5"/>
        <v>68</v>
      </c>
      <c r="E68" s="221"/>
      <c r="F68" s="221">
        <v>0</v>
      </c>
      <c r="G68" s="221"/>
      <c r="H68" s="221">
        <f t="shared" si="6"/>
        <v>68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5"/>
        <v>59</v>
      </c>
      <c r="E69" s="221"/>
      <c r="F69" s="221">
        <v>0</v>
      </c>
      <c r="G69" s="221"/>
      <c r="H69" s="221">
        <f t="shared" si="6"/>
        <v>59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5"/>
        <v>51</v>
      </c>
      <c r="E70" s="221"/>
      <c r="F70" s="221">
        <v>0</v>
      </c>
      <c r="G70" s="221"/>
      <c r="H70" s="221">
        <f t="shared" si="6"/>
        <v>51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5"/>
        <v>45</v>
      </c>
      <c r="E71" s="269"/>
      <c r="F71" s="269">
        <v>0</v>
      </c>
      <c r="G71" s="269"/>
      <c r="H71" s="269">
        <f t="shared" si="6"/>
        <v>45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5"/>
        <v>39</v>
      </c>
      <c r="E72" s="221"/>
      <c r="F72" s="221">
        <v>0</v>
      </c>
      <c r="G72" s="221"/>
      <c r="H72" s="221">
        <f t="shared" si="6"/>
        <v>39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5"/>
        <v>34</v>
      </c>
      <c r="E73" s="221"/>
      <c r="F73" s="221">
        <v>0</v>
      </c>
      <c r="G73" s="221"/>
      <c r="H73" s="221">
        <f t="shared" si="6"/>
        <v>34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5"/>
        <v>29</v>
      </c>
      <c r="E74" s="221"/>
      <c r="F74" s="221">
        <v>0</v>
      </c>
      <c r="G74" s="221"/>
      <c r="H74" s="221">
        <f t="shared" si="6"/>
        <v>29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5"/>
        <v>25</v>
      </c>
      <c r="E75" s="221"/>
      <c r="F75" s="221">
        <v>0</v>
      </c>
      <c r="G75" s="221"/>
      <c r="H75" s="221">
        <f t="shared" si="6"/>
        <v>25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5"/>
        <v>22</v>
      </c>
      <c r="E76" s="269"/>
      <c r="F76" s="269">
        <v>0</v>
      </c>
      <c r="G76" s="269"/>
      <c r="H76" s="269">
        <f t="shared" si="6"/>
        <v>22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5"/>
        <v>19</v>
      </c>
      <c r="E77" s="221"/>
      <c r="F77" s="221">
        <v>0</v>
      </c>
      <c r="G77" s="221"/>
      <c r="H77" s="221">
        <f t="shared" si="6"/>
        <v>19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5"/>
        <v>17</v>
      </c>
      <c r="E78" s="221"/>
      <c r="F78" s="221">
        <v>0</v>
      </c>
      <c r="G78" s="221"/>
      <c r="H78" s="221">
        <f t="shared" si="6"/>
        <v>17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5"/>
        <v>14</v>
      </c>
      <c r="E79" s="221"/>
      <c r="F79" s="221">
        <v>0</v>
      </c>
      <c r="G79" s="221"/>
      <c r="H79" s="221">
        <f t="shared" si="6"/>
        <v>14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5"/>
        <v>13</v>
      </c>
      <c r="E80" s="221"/>
      <c r="F80" s="221">
        <v>0</v>
      </c>
      <c r="G80" s="221"/>
      <c r="H80" s="221">
        <f t="shared" si="6"/>
        <v>13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5"/>
        <v>11</v>
      </c>
      <c r="E81" s="269"/>
      <c r="F81" s="269">
        <v>0</v>
      </c>
      <c r="G81" s="269"/>
      <c r="H81" s="269">
        <f t="shared" si="6"/>
        <v>11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212</v>
      </c>
      <c r="F82" s="226"/>
      <c r="G82" s="224" t="s">
        <v>179</v>
      </c>
      <c r="H82" s="224">
        <f>ROUND((E$82/D$9)^(1/(COUNT(D$9:D$16)-1)),6)</f>
        <v>0.86801799999999996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204">
        <f t="shared" ref="B99:B108" si="7">B7</f>
        <v>2005</v>
      </c>
      <c r="C99" s="204"/>
      <c r="D99" s="208">
        <f t="shared" ref="D99:D108" si="8">VLOOKUP(B99,B$7:E$16,3,FALSE)</f>
        <v>0</v>
      </c>
      <c r="E99" s="229">
        <f t="shared" ref="E99:E108" si="9">((COUNT(B$99:B$108)-1)/2)+(B99-$C$4)</f>
        <v>-4.5</v>
      </c>
      <c r="F99" s="208">
        <f t="shared" ref="F99:F108" si="10">E99^2</f>
        <v>20.25</v>
      </c>
      <c r="G99" s="206"/>
      <c r="H99" s="230">
        <f t="shared" ref="H99:H108" si="11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204">
        <f t="shared" si="7"/>
        <v>2006</v>
      </c>
      <c r="C100" s="204"/>
      <c r="D100" s="208">
        <f t="shared" si="8"/>
        <v>0</v>
      </c>
      <c r="E100" s="229">
        <f t="shared" si="9"/>
        <v>-3.5</v>
      </c>
      <c r="F100" s="208">
        <f t="shared" si="10"/>
        <v>12.25</v>
      </c>
      <c r="G100" s="206"/>
      <c r="H100" s="230">
        <f t="shared" si="11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204">
        <f t="shared" si="7"/>
        <v>2007</v>
      </c>
      <c r="C101" s="204"/>
      <c r="D101" s="208">
        <f t="shared" si="8"/>
        <v>571</v>
      </c>
      <c r="E101" s="229">
        <f t="shared" si="9"/>
        <v>-2.5</v>
      </c>
      <c r="F101" s="208">
        <f>E101^2</f>
        <v>6.25</v>
      </c>
      <c r="G101" s="206"/>
      <c r="H101" s="230">
        <f t="shared" si="11"/>
        <v>-1427.5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204">
        <f t="shared" si="7"/>
        <v>2008</v>
      </c>
      <c r="C102" s="204"/>
      <c r="D102" s="208">
        <f t="shared" si="8"/>
        <v>182</v>
      </c>
      <c r="E102" s="229">
        <f t="shared" si="9"/>
        <v>-1.5</v>
      </c>
      <c r="F102" s="208">
        <f t="shared" si="10"/>
        <v>2.25</v>
      </c>
      <c r="G102" s="206"/>
      <c r="H102" s="230">
        <f t="shared" si="11"/>
        <v>-273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204">
        <f t="shared" si="7"/>
        <v>2009</v>
      </c>
      <c r="C103" s="204"/>
      <c r="D103" s="208">
        <f t="shared" si="8"/>
        <v>192</v>
      </c>
      <c r="E103" s="229">
        <f t="shared" si="9"/>
        <v>-0.5</v>
      </c>
      <c r="F103" s="208">
        <f t="shared" si="10"/>
        <v>0.25</v>
      </c>
      <c r="G103" s="206"/>
      <c r="H103" s="230">
        <f t="shared" si="11"/>
        <v>-96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204">
        <f t="shared" si="7"/>
        <v>2010</v>
      </c>
      <c r="C104" s="204"/>
      <c r="D104" s="208">
        <f t="shared" si="8"/>
        <v>206</v>
      </c>
      <c r="E104" s="229">
        <f t="shared" si="9"/>
        <v>0.5</v>
      </c>
      <c r="F104" s="208">
        <f t="shared" si="10"/>
        <v>0.25</v>
      </c>
      <c r="G104" s="206"/>
      <c r="H104" s="230">
        <f t="shared" si="11"/>
        <v>103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204">
        <f t="shared" si="7"/>
        <v>2011</v>
      </c>
      <c r="C105" s="204"/>
      <c r="D105" s="208">
        <f t="shared" si="8"/>
        <v>574</v>
      </c>
      <c r="E105" s="229">
        <f t="shared" si="9"/>
        <v>1.5</v>
      </c>
      <c r="F105" s="208">
        <f t="shared" si="10"/>
        <v>2.25</v>
      </c>
      <c r="G105" s="206"/>
      <c r="H105" s="230">
        <f t="shared" si="11"/>
        <v>861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204">
        <f t="shared" si="7"/>
        <v>2012</v>
      </c>
      <c r="C106" s="204"/>
      <c r="D106" s="208">
        <f t="shared" si="8"/>
        <v>210</v>
      </c>
      <c r="E106" s="229">
        <f t="shared" si="9"/>
        <v>2.5</v>
      </c>
      <c r="F106" s="208">
        <f t="shared" si="10"/>
        <v>6.25</v>
      </c>
      <c r="G106" s="206"/>
      <c r="H106" s="230">
        <f t="shared" si="11"/>
        <v>525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204">
        <f t="shared" si="7"/>
        <v>2013</v>
      </c>
      <c r="C107" s="204"/>
      <c r="D107" s="208">
        <f t="shared" si="8"/>
        <v>226</v>
      </c>
      <c r="E107" s="229">
        <f t="shared" si="9"/>
        <v>3.5</v>
      </c>
      <c r="F107" s="208">
        <f t="shared" si="10"/>
        <v>12.25</v>
      </c>
      <c r="G107" s="206"/>
      <c r="H107" s="230">
        <f t="shared" si="11"/>
        <v>791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204">
        <f t="shared" si="7"/>
        <v>2014</v>
      </c>
      <c r="C108" s="204"/>
      <c r="D108" s="208">
        <f t="shared" si="8"/>
        <v>212</v>
      </c>
      <c r="E108" s="229">
        <f t="shared" si="9"/>
        <v>4.5</v>
      </c>
      <c r="F108" s="208">
        <f t="shared" si="10"/>
        <v>20.25</v>
      </c>
      <c r="G108" s="206"/>
      <c r="H108" s="230">
        <f t="shared" si="11"/>
        <v>954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2373</v>
      </c>
      <c r="E109" s="215"/>
      <c r="F109" s="233">
        <f>ROUND(SUM(F99:F108),0)</f>
        <v>83</v>
      </c>
      <c r="G109" s="212"/>
      <c r="H109" s="234">
        <f>SUM(H99:H108)</f>
        <v>1437.5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17.319277108433734</v>
      </c>
      <c r="H110" s="236" t="s">
        <v>199</v>
      </c>
      <c r="I110" s="201"/>
      <c r="J110" s="201"/>
      <c r="K110" s="201">
        <f>ROUND((F109*D109-H109*E109)/(COUNT(B$99:B$108)*F109-E109*E109),0)</f>
        <v>237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2">ROUNDUP(G$110*(B115-B$108+E$108)+K$110,0)</f>
        <v>315</v>
      </c>
      <c r="E115" s="221"/>
      <c r="F115" s="221">
        <v>0</v>
      </c>
      <c r="G115" s="221"/>
      <c r="H115" s="221">
        <f t="shared" ref="H115:H136" si="13">ROUND(D115*(1+F115),0)</f>
        <v>315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2"/>
        <v>333</v>
      </c>
      <c r="E116" s="269"/>
      <c r="F116" s="269">
        <v>0</v>
      </c>
      <c r="G116" s="269"/>
      <c r="H116" s="269">
        <f t="shared" si="13"/>
        <v>333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2"/>
        <v>350</v>
      </c>
      <c r="E117" s="221"/>
      <c r="F117" s="221">
        <v>0</v>
      </c>
      <c r="G117" s="221"/>
      <c r="H117" s="221">
        <f t="shared" si="13"/>
        <v>350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2"/>
        <v>367</v>
      </c>
      <c r="E118" s="221"/>
      <c r="F118" s="221">
        <v>0</v>
      </c>
      <c r="G118" s="221"/>
      <c r="H118" s="221">
        <f t="shared" si="13"/>
        <v>367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2"/>
        <v>385</v>
      </c>
      <c r="E119" s="221"/>
      <c r="F119" s="221">
        <v>0</v>
      </c>
      <c r="G119" s="221"/>
      <c r="H119" s="221">
        <f t="shared" si="13"/>
        <v>385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2"/>
        <v>402</v>
      </c>
      <c r="E120" s="221"/>
      <c r="F120" s="221">
        <v>0</v>
      </c>
      <c r="G120" s="221"/>
      <c r="H120" s="221">
        <f t="shared" si="13"/>
        <v>402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2"/>
        <v>419</v>
      </c>
      <c r="E121" s="269"/>
      <c r="F121" s="269">
        <v>0</v>
      </c>
      <c r="G121" s="269"/>
      <c r="H121" s="269">
        <f t="shared" si="13"/>
        <v>419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2"/>
        <v>437</v>
      </c>
      <c r="E122" s="221"/>
      <c r="F122" s="221">
        <v>0</v>
      </c>
      <c r="G122" s="221"/>
      <c r="H122" s="221">
        <f t="shared" si="13"/>
        <v>437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2"/>
        <v>454</v>
      </c>
      <c r="E123" s="221"/>
      <c r="F123" s="221">
        <v>0</v>
      </c>
      <c r="G123" s="221"/>
      <c r="H123" s="221">
        <f t="shared" si="13"/>
        <v>454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2"/>
        <v>471</v>
      </c>
      <c r="E124" s="221"/>
      <c r="F124" s="221">
        <v>0</v>
      </c>
      <c r="G124" s="221"/>
      <c r="H124" s="221">
        <f t="shared" si="13"/>
        <v>471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2"/>
        <v>489</v>
      </c>
      <c r="E125" s="221"/>
      <c r="F125" s="221">
        <v>0</v>
      </c>
      <c r="G125" s="221"/>
      <c r="H125" s="221">
        <f t="shared" si="13"/>
        <v>489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2"/>
        <v>506</v>
      </c>
      <c r="E126" s="269"/>
      <c r="F126" s="269">
        <v>0</v>
      </c>
      <c r="G126" s="269"/>
      <c r="H126" s="269">
        <f t="shared" si="13"/>
        <v>506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2"/>
        <v>523</v>
      </c>
      <c r="E127" s="221"/>
      <c r="F127" s="221">
        <v>0</v>
      </c>
      <c r="G127" s="221"/>
      <c r="H127" s="221">
        <f t="shared" si="13"/>
        <v>523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2"/>
        <v>541</v>
      </c>
      <c r="E128" s="221"/>
      <c r="F128" s="221">
        <v>0</v>
      </c>
      <c r="G128" s="221"/>
      <c r="H128" s="221">
        <f t="shared" si="13"/>
        <v>541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2"/>
        <v>558</v>
      </c>
      <c r="E129" s="221"/>
      <c r="F129" s="221">
        <v>0</v>
      </c>
      <c r="G129" s="221"/>
      <c r="H129" s="221">
        <f t="shared" si="13"/>
        <v>558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2"/>
        <v>575</v>
      </c>
      <c r="E130" s="221"/>
      <c r="F130" s="221">
        <v>0</v>
      </c>
      <c r="G130" s="221"/>
      <c r="H130" s="221">
        <f t="shared" si="13"/>
        <v>575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2"/>
        <v>593</v>
      </c>
      <c r="E131" s="269"/>
      <c r="F131" s="269">
        <v>0</v>
      </c>
      <c r="G131" s="269"/>
      <c r="H131" s="269">
        <f t="shared" si="13"/>
        <v>593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2"/>
        <v>610</v>
      </c>
      <c r="E132" s="221"/>
      <c r="F132" s="221">
        <v>0</v>
      </c>
      <c r="G132" s="221"/>
      <c r="H132" s="221">
        <f t="shared" si="13"/>
        <v>610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2"/>
        <v>627</v>
      </c>
      <c r="E133" s="221"/>
      <c r="F133" s="221">
        <v>0</v>
      </c>
      <c r="G133" s="221"/>
      <c r="H133" s="221">
        <f t="shared" si="13"/>
        <v>627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2"/>
        <v>645</v>
      </c>
      <c r="E134" s="221"/>
      <c r="F134" s="221">
        <v>0</v>
      </c>
      <c r="G134" s="221"/>
      <c r="H134" s="221">
        <f t="shared" si="13"/>
        <v>645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2"/>
        <v>662</v>
      </c>
      <c r="E135" s="221"/>
      <c r="F135" s="221">
        <v>0</v>
      </c>
      <c r="G135" s="221"/>
      <c r="H135" s="221">
        <f t="shared" si="13"/>
        <v>662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2"/>
        <v>679</v>
      </c>
      <c r="E136" s="269"/>
      <c r="F136" s="269">
        <v>0</v>
      </c>
      <c r="G136" s="269"/>
      <c r="H136" s="269">
        <f t="shared" si="13"/>
        <v>679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204">
        <f t="shared" ref="B146:B155" si="14">B99</f>
        <v>2005</v>
      </c>
      <c r="C146" s="204"/>
      <c r="D146" s="208">
        <f t="shared" ref="D146:D155" si="15">VLOOKUP(B146,B$7:E$16,3,FALSE)</f>
        <v>0</v>
      </c>
      <c r="E146" s="244">
        <f t="shared" ref="E146:E155" si="16">IF(G$140=FALSE,"",((COUNT(B$99:B$108)-1))+(B146-$C$4))</f>
        <v>0</v>
      </c>
      <c r="F146" s="245">
        <f>IF(E146=0,0,"")</f>
        <v>0</v>
      </c>
      <c r="G146" s="246">
        <f t="shared" ref="G146:G155" si="17">IF(F146="","",F146^2)</f>
        <v>0</v>
      </c>
      <c r="H146" s="231">
        <f t="shared" ref="H146:H155" si="18">IF(G146="","",ABS(D146-D$146))</f>
        <v>0</v>
      </c>
      <c r="I146" s="231"/>
      <c r="J146" s="245">
        <f>IF(H146=0,0,"")</f>
        <v>0</v>
      </c>
      <c r="K146" s="247">
        <f t="shared" ref="K146:K155" si="19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204">
        <f t="shared" si="14"/>
        <v>2006</v>
      </c>
      <c r="C147" s="204"/>
      <c r="D147" s="208">
        <f t="shared" si="15"/>
        <v>0</v>
      </c>
      <c r="E147" s="244">
        <f t="shared" si="16"/>
        <v>1</v>
      </c>
      <c r="F147" s="245">
        <f t="shared" ref="F147:F155" si="20">IF(E147="","",LOG(E147))</f>
        <v>0</v>
      </c>
      <c r="G147" s="246">
        <f t="shared" si="17"/>
        <v>0</v>
      </c>
      <c r="H147" s="231">
        <f t="shared" si="18"/>
        <v>0</v>
      </c>
      <c r="I147" s="231"/>
      <c r="J147" s="245">
        <f>IF(H147=0,0,"")</f>
        <v>0</v>
      </c>
      <c r="K147" s="247">
        <f t="shared" si="19"/>
        <v>0</v>
      </c>
      <c r="L147" s="203"/>
      <c r="M147" s="203"/>
      <c r="N147" s="203"/>
      <c r="O147" s="203"/>
    </row>
    <row r="148" spans="1:15" ht="15" customHeight="1">
      <c r="A148" s="203"/>
      <c r="B148" s="204">
        <f t="shared" si="14"/>
        <v>2007</v>
      </c>
      <c r="C148" s="204"/>
      <c r="D148" s="208">
        <f t="shared" si="15"/>
        <v>571</v>
      </c>
      <c r="E148" s="244">
        <f t="shared" si="16"/>
        <v>2</v>
      </c>
      <c r="F148" s="245">
        <f t="shared" si="20"/>
        <v>0.3010299956639812</v>
      </c>
      <c r="G148" s="246">
        <f t="shared" si="17"/>
        <v>9.0619058289456544E-2</v>
      </c>
      <c r="H148" s="231">
        <f t="shared" si="18"/>
        <v>571</v>
      </c>
      <c r="I148" s="231"/>
      <c r="J148" s="247">
        <f t="shared" ref="J148:J155" si="21">IF(H148="","",LOG(H148))</f>
        <v>2.7566361082458481</v>
      </c>
      <c r="K148" s="247">
        <f t="shared" si="19"/>
        <v>0.82983015571242169</v>
      </c>
      <c r="L148" s="203"/>
      <c r="M148" s="203"/>
      <c r="N148" s="203"/>
      <c r="O148" s="203"/>
    </row>
    <row r="149" spans="1:15" ht="15" customHeight="1">
      <c r="A149" s="203"/>
      <c r="B149" s="204">
        <f t="shared" si="14"/>
        <v>2008</v>
      </c>
      <c r="C149" s="204"/>
      <c r="D149" s="208">
        <f t="shared" si="15"/>
        <v>182</v>
      </c>
      <c r="E149" s="244">
        <f t="shared" si="16"/>
        <v>3</v>
      </c>
      <c r="F149" s="245">
        <f t="shared" si="20"/>
        <v>0.47712125471966244</v>
      </c>
      <c r="G149" s="246">
        <f t="shared" si="17"/>
        <v>0.227644691705265</v>
      </c>
      <c r="H149" s="231">
        <f t="shared" si="18"/>
        <v>182</v>
      </c>
      <c r="I149" s="231"/>
      <c r="J149" s="247">
        <f t="shared" si="21"/>
        <v>2.2600713879850747</v>
      </c>
      <c r="K149" s="247">
        <f t="shared" si="19"/>
        <v>1.0783280963914479</v>
      </c>
      <c r="L149" s="203"/>
      <c r="M149" s="203"/>
      <c r="N149" s="203"/>
      <c r="O149" s="203"/>
    </row>
    <row r="150" spans="1:15" ht="15" customHeight="1">
      <c r="A150" s="203"/>
      <c r="B150" s="204">
        <f t="shared" si="14"/>
        <v>2009</v>
      </c>
      <c r="C150" s="204"/>
      <c r="D150" s="208">
        <f t="shared" si="15"/>
        <v>192</v>
      </c>
      <c r="E150" s="244">
        <f t="shared" si="16"/>
        <v>4</v>
      </c>
      <c r="F150" s="245">
        <f t="shared" si="20"/>
        <v>0.6020599913279624</v>
      </c>
      <c r="G150" s="246">
        <f t="shared" si="17"/>
        <v>0.36247623315782618</v>
      </c>
      <c r="H150" s="231">
        <f t="shared" si="18"/>
        <v>192</v>
      </c>
      <c r="I150" s="231"/>
      <c r="J150" s="247">
        <f t="shared" si="21"/>
        <v>2.2833012287035497</v>
      </c>
      <c r="K150" s="247">
        <f t="shared" si="19"/>
        <v>1.3746843179523851</v>
      </c>
      <c r="L150" s="203"/>
      <c r="M150" s="203"/>
      <c r="N150" s="203"/>
      <c r="O150" s="203"/>
    </row>
    <row r="151" spans="1:15" ht="15" customHeight="1">
      <c r="A151" s="203"/>
      <c r="B151" s="204">
        <f t="shared" si="14"/>
        <v>2010</v>
      </c>
      <c r="C151" s="204"/>
      <c r="D151" s="208">
        <f t="shared" si="15"/>
        <v>206</v>
      </c>
      <c r="E151" s="244">
        <f t="shared" si="16"/>
        <v>5</v>
      </c>
      <c r="F151" s="245">
        <f t="shared" si="20"/>
        <v>0.69897000433601886</v>
      </c>
      <c r="G151" s="246">
        <f t="shared" si="17"/>
        <v>0.4885590669614942</v>
      </c>
      <c r="H151" s="231">
        <f t="shared" si="18"/>
        <v>206</v>
      </c>
      <c r="I151" s="231"/>
      <c r="J151" s="247">
        <f t="shared" si="21"/>
        <v>2.3138672203691533</v>
      </c>
      <c r="K151" s="247">
        <f t="shared" si="19"/>
        <v>1.617323781054399</v>
      </c>
      <c r="L151" s="203"/>
      <c r="M151" s="203"/>
      <c r="N151" s="203"/>
      <c r="O151" s="203"/>
    </row>
    <row r="152" spans="1:15" ht="15" customHeight="1">
      <c r="A152" s="203"/>
      <c r="B152" s="204">
        <f t="shared" si="14"/>
        <v>2011</v>
      </c>
      <c r="C152" s="204"/>
      <c r="D152" s="208">
        <f t="shared" si="15"/>
        <v>574</v>
      </c>
      <c r="E152" s="244">
        <f t="shared" si="16"/>
        <v>6</v>
      </c>
      <c r="F152" s="245">
        <f t="shared" si="20"/>
        <v>0.77815125038364363</v>
      </c>
      <c r="G152" s="246">
        <f t="shared" si="17"/>
        <v>0.60551936847362808</v>
      </c>
      <c r="H152" s="231">
        <f t="shared" si="18"/>
        <v>574</v>
      </c>
      <c r="I152" s="231"/>
      <c r="J152" s="247">
        <f t="shared" si="21"/>
        <v>2.7589118923979736</v>
      </c>
      <c r="K152" s="247">
        <f t="shared" si="19"/>
        <v>2.1468507387677875</v>
      </c>
      <c r="L152" s="203"/>
      <c r="M152" s="203"/>
      <c r="N152" s="203"/>
      <c r="O152" s="203"/>
    </row>
    <row r="153" spans="1:15" ht="15" customHeight="1">
      <c r="A153" s="203"/>
      <c r="B153" s="204">
        <f t="shared" si="14"/>
        <v>2012</v>
      </c>
      <c r="C153" s="204"/>
      <c r="D153" s="208">
        <f t="shared" si="15"/>
        <v>210</v>
      </c>
      <c r="E153" s="244">
        <f t="shared" si="16"/>
        <v>7</v>
      </c>
      <c r="F153" s="245">
        <f t="shared" si="20"/>
        <v>0.84509804001425681</v>
      </c>
      <c r="G153" s="246">
        <f t="shared" si="17"/>
        <v>0.71419069723593842</v>
      </c>
      <c r="H153" s="231">
        <f t="shared" si="18"/>
        <v>210</v>
      </c>
      <c r="I153" s="231"/>
      <c r="J153" s="247">
        <f t="shared" si="21"/>
        <v>2.3222192947339191</v>
      </c>
      <c r="K153" s="247">
        <f t="shared" si="19"/>
        <v>1.9625029744629248</v>
      </c>
      <c r="L153" s="203"/>
      <c r="M153" s="203"/>
      <c r="N153" s="203"/>
      <c r="O153" s="203"/>
    </row>
    <row r="154" spans="1:15" ht="15" customHeight="1">
      <c r="A154" s="203"/>
      <c r="B154" s="204">
        <f t="shared" si="14"/>
        <v>2013</v>
      </c>
      <c r="C154" s="204"/>
      <c r="D154" s="208">
        <f t="shared" si="15"/>
        <v>226</v>
      </c>
      <c r="E154" s="244">
        <f t="shared" si="16"/>
        <v>8</v>
      </c>
      <c r="F154" s="245">
        <f t="shared" si="20"/>
        <v>0.90308998699194354</v>
      </c>
      <c r="G154" s="246">
        <f t="shared" si="17"/>
        <v>0.81557152460510873</v>
      </c>
      <c r="H154" s="231">
        <f t="shared" si="18"/>
        <v>226</v>
      </c>
      <c r="I154" s="231"/>
      <c r="J154" s="247">
        <f t="shared" si="21"/>
        <v>2.3541084391474008</v>
      </c>
      <c r="K154" s="247">
        <f t="shared" si="19"/>
        <v>2.1259717596872507</v>
      </c>
      <c r="L154" s="203"/>
      <c r="M154" s="203"/>
      <c r="N154" s="203"/>
      <c r="O154" s="203"/>
    </row>
    <row r="155" spans="1:15" ht="15" customHeight="1">
      <c r="A155" s="203"/>
      <c r="B155" s="204">
        <f t="shared" si="14"/>
        <v>2014</v>
      </c>
      <c r="C155" s="204"/>
      <c r="D155" s="208">
        <f t="shared" si="15"/>
        <v>212</v>
      </c>
      <c r="E155" s="244">
        <f t="shared" si="16"/>
        <v>9</v>
      </c>
      <c r="F155" s="245">
        <f t="shared" si="20"/>
        <v>0.95424250943932487</v>
      </c>
      <c r="G155" s="246">
        <f t="shared" si="17"/>
        <v>0.91057876682105998</v>
      </c>
      <c r="H155" s="231">
        <f t="shared" si="18"/>
        <v>212</v>
      </c>
      <c r="I155" s="231"/>
      <c r="J155" s="247">
        <f t="shared" si="21"/>
        <v>2.3263358609287512</v>
      </c>
      <c r="K155" s="247">
        <f t="shared" si="19"/>
        <v>2.219888569731344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19.375451432511671</v>
      </c>
      <c r="K156" s="253">
        <f>IF(K155="","",SUM(K146:K155))</f>
        <v>13.35538039375996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11.372344311264811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1.7757499999999999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2">IF(J$157=0,0,ROUNDUP(D$146+E$157*(B162-B$146)^J$157,0))</f>
        <v>563</v>
      </c>
      <c r="E162" s="257"/>
      <c r="F162" s="205">
        <v>0</v>
      </c>
      <c r="G162" s="205"/>
      <c r="H162" s="205">
        <f t="shared" ref="H162:H183" si="23">ROUND(D162*(1+F162),0)</f>
        <v>563</v>
      </c>
      <c r="I162" s="205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2"/>
        <v>679</v>
      </c>
      <c r="E163" s="271"/>
      <c r="F163" s="272">
        <v>0</v>
      </c>
      <c r="G163" s="272"/>
      <c r="H163" s="272">
        <f t="shared" si="23"/>
        <v>679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2"/>
        <v>804</v>
      </c>
      <c r="E164" s="257"/>
      <c r="F164" s="258">
        <v>0</v>
      </c>
      <c r="G164" s="258"/>
      <c r="H164" s="258">
        <f t="shared" si="23"/>
        <v>804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2"/>
        <v>939</v>
      </c>
      <c r="E165" s="257"/>
      <c r="F165" s="258">
        <v>0</v>
      </c>
      <c r="G165" s="258"/>
      <c r="H165" s="258">
        <f t="shared" si="23"/>
        <v>939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2"/>
        <v>1082</v>
      </c>
      <c r="E166" s="257"/>
      <c r="F166" s="258">
        <v>0</v>
      </c>
      <c r="G166" s="258"/>
      <c r="H166" s="258">
        <f t="shared" si="23"/>
        <v>1082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2"/>
        <v>1234</v>
      </c>
      <c r="E167" s="257"/>
      <c r="F167" s="258">
        <v>0</v>
      </c>
      <c r="G167" s="258"/>
      <c r="H167" s="258">
        <f t="shared" si="23"/>
        <v>1234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2"/>
        <v>1395</v>
      </c>
      <c r="E168" s="271"/>
      <c r="F168" s="272">
        <v>0</v>
      </c>
      <c r="G168" s="272"/>
      <c r="H168" s="272">
        <f t="shared" si="23"/>
        <v>1395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2"/>
        <v>1564</v>
      </c>
      <c r="E169" s="257"/>
      <c r="F169" s="258">
        <v>0</v>
      </c>
      <c r="G169" s="258"/>
      <c r="H169" s="258">
        <f t="shared" si="23"/>
        <v>1564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2"/>
        <v>1742</v>
      </c>
      <c r="E170" s="257"/>
      <c r="F170" s="258">
        <v>0</v>
      </c>
      <c r="G170" s="258"/>
      <c r="H170" s="258">
        <f t="shared" si="23"/>
        <v>1742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2"/>
        <v>1928</v>
      </c>
      <c r="E171" s="257"/>
      <c r="F171" s="258">
        <v>0</v>
      </c>
      <c r="G171" s="258"/>
      <c r="H171" s="258">
        <f t="shared" si="23"/>
        <v>1928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2"/>
        <v>2122</v>
      </c>
      <c r="E172" s="257"/>
      <c r="F172" s="258">
        <v>0</v>
      </c>
      <c r="G172" s="258"/>
      <c r="H172" s="258">
        <f t="shared" si="23"/>
        <v>2122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2"/>
        <v>2324</v>
      </c>
      <c r="E173" s="271"/>
      <c r="F173" s="272">
        <v>0</v>
      </c>
      <c r="G173" s="272"/>
      <c r="H173" s="272">
        <f t="shared" si="23"/>
        <v>2324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2"/>
        <v>2534</v>
      </c>
      <c r="E174" s="257"/>
      <c r="F174" s="258">
        <v>0</v>
      </c>
      <c r="G174" s="258"/>
      <c r="H174" s="258">
        <f t="shared" si="23"/>
        <v>2534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2"/>
        <v>2753</v>
      </c>
      <c r="E175" s="257"/>
      <c r="F175" s="258">
        <v>0</v>
      </c>
      <c r="G175" s="258"/>
      <c r="H175" s="258">
        <f t="shared" si="23"/>
        <v>2753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2"/>
        <v>2979</v>
      </c>
      <c r="E176" s="257"/>
      <c r="F176" s="258">
        <v>0</v>
      </c>
      <c r="G176" s="258"/>
      <c r="H176" s="258">
        <f t="shared" si="23"/>
        <v>2979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2"/>
        <v>3212</v>
      </c>
      <c r="E177" s="257"/>
      <c r="F177" s="258">
        <v>0</v>
      </c>
      <c r="G177" s="258"/>
      <c r="H177" s="258">
        <f t="shared" si="23"/>
        <v>3212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2"/>
        <v>3454</v>
      </c>
      <c r="E178" s="271"/>
      <c r="F178" s="272">
        <v>0</v>
      </c>
      <c r="G178" s="272"/>
      <c r="H178" s="272">
        <f t="shared" si="23"/>
        <v>3454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2"/>
        <v>3703</v>
      </c>
      <c r="E179" s="257"/>
      <c r="F179" s="258">
        <v>0</v>
      </c>
      <c r="G179" s="258"/>
      <c r="H179" s="258">
        <f t="shared" si="23"/>
        <v>3703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2"/>
        <v>3960</v>
      </c>
      <c r="E180" s="257"/>
      <c r="F180" s="258">
        <v>0</v>
      </c>
      <c r="G180" s="258"/>
      <c r="H180" s="258">
        <f t="shared" si="23"/>
        <v>3960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2"/>
        <v>4224</v>
      </c>
      <c r="E181" s="257"/>
      <c r="F181" s="258">
        <v>0</v>
      </c>
      <c r="G181" s="258"/>
      <c r="H181" s="258">
        <f t="shared" si="23"/>
        <v>4224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2"/>
        <v>4495</v>
      </c>
      <c r="E182" s="257"/>
      <c r="F182" s="258">
        <v>0</v>
      </c>
      <c r="G182" s="258"/>
      <c r="H182" s="258">
        <f t="shared" si="23"/>
        <v>4495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2"/>
        <v>4774</v>
      </c>
      <c r="E183" s="271"/>
      <c r="F183" s="272">
        <v>0</v>
      </c>
      <c r="G183" s="272"/>
      <c r="H183" s="272">
        <f t="shared" si="23"/>
        <v>4774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600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204">
        <f t="shared" ref="B195:B204" si="24">B146</f>
        <v>2005</v>
      </c>
      <c r="C195" s="204"/>
      <c r="D195" s="208">
        <f t="shared" ref="D195:D204" si="25">VLOOKUP(B195,B$7:E$16,3,FALSE)</f>
        <v>0</v>
      </c>
      <c r="E195" s="244">
        <f t="shared" ref="E195:E204" si="26">((COUNT(B$195:B$204)-1)/2)+(B195-$C$4)</f>
        <v>-4.5</v>
      </c>
      <c r="F195" s="206">
        <f t="shared" ref="F195:F204" si="27">E195^2</f>
        <v>20.25</v>
      </c>
      <c r="G195" s="205">
        <f t="shared" ref="G195:G204" si="28">E$192-D195</f>
        <v>600</v>
      </c>
      <c r="H195" s="259">
        <v>0</v>
      </c>
      <c r="I195" s="245">
        <f t="shared" ref="I195:I204" si="29">LOG(G195)</f>
        <v>2.7781512503836434</v>
      </c>
      <c r="J195" s="246">
        <f>ROUND(H195-I195,6)</f>
        <v>-2.7781509999999998</v>
      </c>
      <c r="K195" s="246">
        <f t="shared" ref="K195:K204" si="30">E195*J195</f>
        <v>12.5016795</v>
      </c>
      <c r="L195" s="203"/>
      <c r="M195" s="203"/>
      <c r="N195" s="203"/>
      <c r="O195" s="203"/>
    </row>
    <row r="196" spans="1:15" ht="15" customHeight="1">
      <c r="A196" s="203"/>
      <c r="B196" s="204">
        <f t="shared" si="24"/>
        <v>2006</v>
      </c>
      <c r="C196" s="204"/>
      <c r="D196" s="208">
        <f t="shared" si="25"/>
        <v>0</v>
      </c>
      <c r="E196" s="244">
        <f t="shared" si="26"/>
        <v>-3.5</v>
      </c>
      <c r="F196" s="206">
        <f t="shared" si="27"/>
        <v>12.25</v>
      </c>
      <c r="G196" s="205">
        <f t="shared" si="28"/>
        <v>600</v>
      </c>
      <c r="H196" s="259">
        <v>0</v>
      </c>
      <c r="I196" s="245">
        <f t="shared" si="29"/>
        <v>2.7781512503836434</v>
      </c>
      <c r="J196" s="246">
        <f t="shared" ref="J196:J204" si="31">H196-I196</f>
        <v>-2.7781512503836434</v>
      </c>
      <c r="K196" s="246">
        <f t="shared" si="30"/>
        <v>9.7235293763427517</v>
      </c>
      <c r="L196" s="203"/>
      <c r="M196" s="203"/>
      <c r="N196" s="203"/>
      <c r="O196" s="203"/>
    </row>
    <row r="197" spans="1:15" ht="15" customHeight="1">
      <c r="A197" s="203"/>
      <c r="B197" s="204">
        <f t="shared" si="24"/>
        <v>2007</v>
      </c>
      <c r="C197" s="204"/>
      <c r="D197" s="208">
        <f t="shared" si="25"/>
        <v>571</v>
      </c>
      <c r="E197" s="244">
        <f t="shared" si="26"/>
        <v>-2.5</v>
      </c>
      <c r="F197" s="206">
        <f t="shared" si="27"/>
        <v>6.25</v>
      </c>
      <c r="G197" s="205">
        <f t="shared" si="28"/>
        <v>29</v>
      </c>
      <c r="H197" s="259">
        <f t="shared" ref="H197:H204" si="32">LOG(D197)</f>
        <v>2.7566361082458481</v>
      </c>
      <c r="I197" s="245">
        <f t="shared" si="29"/>
        <v>1.4623979978989561</v>
      </c>
      <c r="J197" s="246">
        <f t="shared" si="31"/>
        <v>1.2942381103468921</v>
      </c>
      <c r="K197" s="246">
        <f t="shared" si="30"/>
        <v>-3.2355952758672304</v>
      </c>
      <c r="L197" s="203"/>
      <c r="M197" s="203"/>
      <c r="N197" s="203"/>
      <c r="O197" s="203"/>
    </row>
    <row r="198" spans="1:15" ht="15" customHeight="1">
      <c r="A198" s="203"/>
      <c r="B198" s="204">
        <f t="shared" si="24"/>
        <v>2008</v>
      </c>
      <c r="C198" s="204"/>
      <c r="D198" s="208">
        <f t="shared" si="25"/>
        <v>182</v>
      </c>
      <c r="E198" s="244">
        <f t="shared" si="26"/>
        <v>-1.5</v>
      </c>
      <c r="F198" s="206">
        <f t="shared" si="27"/>
        <v>2.25</v>
      </c>
      <c r="G198" s="205">
        <f t="shared" si="28"/>
        <v>418</v>
      </c>
      <c r="H198" s="259">
        <f t="shared" si="32"/>
        <v>2.2600713879850747</v>
      </c>
      <c r="I198" s="245">
        <f t="shared" si="29"/>
        <v>2.621176281775035</v>
      </c>
      <c r="J198" s="246">
        <f t="shared" si="31"/>
        <v>-0.36110489378996036</v>
      </c>
      <c r="K198" s="246">
        <f t="shared" si="30"/>
        <v>0.54165734068494054</v>
      </c>
      <c r="L198" s="203"/>
      <c r="M198" s="203"/>
      <c r="N198" s="203"/>
      <c r="O198" s="203"/>
    </row>
    <row r="199" spans="1:15" ht="15" customHeight="1">
      <c r="A199" s="203"/>
      <c r="B199" s="204">
        <f t="shared" si="24"/>
        <v>2009</v>
      </c>
      <c r="C199" s="204"/>
      <c r="D199" s="208">
        <f t="shared" si="25"/>
        <v>192</v>
      </c>
      <c r="E199" s="244">
        <f t="shared" si="26"/>
        <v>-0.5</v>
      </c>
      <c r="F199" s="206">
        <f t="shared" si="27"/>
        <v>0.25</v>
      </c>
      <c r="G199" s="205">
        <f t="shared" si="28"/>
        <v>408</v>
      </c>
      <c r="H199" s="259">
        <f t="shared" si="32"/>
        <v>2.2833012287035497</v>
      </c>
      <c r="I199" s="245">
        <f t="shared" si="29"/>
        <v>2.61066016308988</v>
      </c>
      <c r="J199" s="246">
        <f t="shared" si="31"/>
        <v>-0.32735893438633035</v>
      </c>
      <c r="K199" s="246">
        <f t="shared" si="30"/>
        <v>0.16367946719316517</v>
      </c>
      <c r="L199" s="203"/>
      <c r="M199" s="203"/>
      <c r="N199" s="203"/>
      <c r="O199" s="203"/>
    </row>
    <row r="200" spans="1:15" ht="15" customHeight="1">
      <c r="A200" s="203"/>
      <c r="B200" s="204">
        <f t="shared" si="24"/>
        <v>2010</v>
      </c>
      <c r="C200" s="204"/>
      <c r="D200" s="208">
        <f t="shared" si="25"/>
        <v>206</v>
      </c>
      <c r="E200" s="244">
        <f t="shared" si="26"/>
        <v>0.5</v>
      </c>
      <c r="F200" s="206">
        <f t="shared" si="27"/>
        <v>0.25</v>
      </c>
      <c r="G200" s="205">
        <f t="shared" si="28"/>
        <v>394</v>
      </c>
      <c r="H200" s="259">
        <f t="shared" si="32"/>
        <v>2.3138672203691533</v>
      </c>
      <c r="I200" s="245">
        <f t="shared" si="29"/>
        <v>2.5954962218255742</v>
      </c>
      <c r="J200" s="246">
        <f t="shared" si="31"/>
        <v>-0.28162900145642089</v>
      </c>
      <c r="K200" s="246">
        <f t="shared" si="30"/>
        <v>-0.14081450072821045</v>
      </c>
      <c r="L200" s="203"/>
      <c r="M200" s="203"/>
      <c r="N200" s="203"/>
      <c r="O200" s="203"/>
    </row>
    <row r="201" spans="1:15" ht="15" customHeight="1">
      <c r="A201" s="203"/>
      <c r="B201" s="204">
        <f t="shared" si="24"/>
        <v>2011</v>
      </c>
      <c r="C201" s="204"/>
      <c r="D201" s="208">
        <f t="shared" si="25"/>
        <v>574</v>
      </c>
      <c r="E201" s="244">
        <f t="shared" si="26"/>
        <v>1.5</v>
      </c>
      <c r="F201" s="206">
        <f t="shared" si="27"/>
        <v>2.25</v>
      </c>
      <c r="G201" s="205">
        <f t="shared" si="28"/>
        <v>26</v>
      </c>
      <c r="H201" s="259">
        <f t="shared" si="32"/>
        <v>2.7589118923979736</v>
      </c>
      <c r="I201" s="245">
        <f t="shared" si="29"/>
        <v>1.414973347970818</v>
      </c>
      <c r="J201" s="246">
        <f t="shared" si="31"/>
        <v>1.3439385444271557</v>
      </c>
      <c r="K201" s="246">
        <f t="shared" si="30"/>
        <v>2.0159078166407336</v>
      </c>
      <c r="L201" s="203"/>
      <c r="M201" s="203"/>
      <c r="N201" s="203"/>
      <c r="O201" s="203"/>
    </row>
    <row r="202" spans="1:15" ht="15" customHeight="1">
      <c r="A202" s="203"/>
      <c r="B202" s="204">
        <f t="shared" si="24"/>
        <v>2012</v>
      </c>
      <c r="C202" s="204"/>
      <c r="D202" s="208">
        <f t="shared" si="25"/>
        <v>210</v>
      </c>
      <c r="E202" s="244">
        <f t="shared" si="26"/>
        <v>2.5</v>
      </c>
      <c r="F202" s="206">
        <f t="shared" si="27"/>
        <v>6.25</v>
      </c>
      <c r="G202" s="205">
        <f t="shared" si="28"/>
        <v>390</v>
      </c>
      <c r="H202" s="259">
        <f t="shared" si="32"/>
        <v>2.3222192947339191</v>
      </c>
      <c r="I202" s="245">
        <f t="shared" si="29"/>
        <v>2.5910646070264991</v>
      </c>
      <c r="J202" s="246">
        <f t="shared" si="31"/>
        <v>-0.26884531229258002</v>
      </c>
      <c r="K202" s="246">
        <f t="shared" si="30"/>
        <v>-0.67211328073145005</v>
      </c>
      <c r="L202" s="203"/>
      <c r="M202" s="203"/>
      <c r="N202" s="203"/>
      <c r="O202" s="203"/>
    </row>
    <row r="203" spans="1:15" ht="15" customHeight="1">
      <c r="A203" s="203"/>
      <c r="B203" s="204">
        <f t="shared" si="24"/>
        <v>2013</v>
      </c>
      <c r="C203" s="204"/>
      <c r="D203" s="208">
        <f t="shared" si="25"/>
        <v>226</v>
      </c>
      <c r="E203" s="244">
        <f t="shared" si="26"/>
        <v>3.5</v>
      </c>
      <c r="F203" s="206">
        <f t="shared" si="27"/>
        <v>12.25</v>
      </c>
      <c r="G203" s="205">
        <f t="shared" si="28"/>
        <v>374</v>
      </c>
      <c r="H203" s="259">
        <f t="shared" si="32"/>
        <v>2.3541084391474008</v>
      </c>
      <c r="I203" s="245">
        <f t="shared" si="29"/>
        <v>2.5728716022004803</v>
      </c>
      <c r="J203" s="246">
        <f t="shared" si="31"/>
        <v>-0.21876316305307952</v>
      </c>
      <c r="K203" s="246">
        <f t="shared" si="30"/>
        <v>-0.76567107068577833</v>
      </c>
      <c r="L203" s="203"/>
      <c r="M203" s="203"/>
      <c r="N203" s="203"/>
      <c r="O203" s="203"/>
    </row>
    <row r="204" spans="1:15" ht="15" customHeight="1">
      <c r="A204" s="203"/>
      <c r="B204" s="204">
        <f t="shared" si="24"/>
        <v>2014</v>
      </c>
      <c r="C204" s="204"/>
      <c r="D204" s="208">
        <f t="shared" si="25"/>
        <v>212</v>
      </c>
      <c r="E204" s="244">
        <f t="shared" si="26"/>
        <v>4.5</v>
      </c>
      <c r="F204" s="206">
        <f t="shared" si="27"/>
        <v>20.25</v>
      </c>
      <c r="G204" s="205">
        <f t="shared" si="28"/>
        <v>388</v>
      </c>
      <c r="H204" s="259">
        <f t="shared" si="32"/>
        <v>2.3263358609287512</v>
      </c>
      <c r="I204" s="245">
        <f t="shared" si="29"/>
        <v>2.5888317255942073</v>
      </c>
      <c r="J204" s="246">
        <f t="shared" si="31"/>
        <v>-0.26249586466545605</v>
      </c>
      <c r="K204" s="246">
        <f t="shared" si="30"/>
        <v>-1.1812313909945522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2373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-4.6383227652534229</v>
      </c>
      <c r="K205" s="263">
        <f>SUM(K195:K204)</f>
        <v>18.951027981854377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1.0680099999999999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0.52573899999999996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3">ROUNDUP(E$192/(1+EXP(1)^(H$207-K$208*(B212-B$200+0.5))),0)</f>
        <v>472</v>
      </c>
      <c r="E212" s="208"/>
      <c r="F212" s="208">
        <v>0</v>
      </c>
      <c r="G212" s="208"/>
      <c r="H212" s="208">
        <f t="shared" ref="H212:H233" si="34">ROUND(D212*(1+F212),0)</f>
        <v>472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3"/>
        <v>517</v>
      </c>
      <c r="E213" s="269"/>
      <c r="F213" s="269">
        <v>0</v>
      </c>
      <c r="G213" s="269"/>
      <c r="H213" s="269">
        <f t="shared" si="34"/>
        <v>517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3"/>
        <v>548</v>
      </c>
      <c r="E214" s="221"/>
      <c r="F214" s="221">
        <v>0</v>
      </c>
      <c r="G214" s="221"/>
      <c r="H214" s="221">
        <f t="shared" si="34"/>
        <v>548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3"/>
        <v>568</v>
      </c>
      <c r="E215" s="221"/>
      <c r="F215" s="221">
        <v>0</v>
      </c>
      <c r="G215" s="221"/>
      <c r="H215" s="221">
        <f t="shared" si="34"/>
        <v>568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3"/>
        <v>581</v>
      </c>
      <c r="E216" s="221"/>
      <c r="F216" s="221">
        <v>0</v>
      </c>
      <c r="G216" s="221"/>
      <c r="H216" s="221">
        <f t="shared" si="34"/>
        <v>581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3"/>
        <v>589</v>
      </c>
      <c r="E217" s="221"/>
      <c r="F217" s="221">
        <v>0</v>
      </c>
      <c r="G217" s="221"/>
      <c r="H217" s="221">
        <f t="shared" si="34"/>
        <v>589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3"/>
        <v>594</v>
      </c>
      <c r="E218" s="269"/>
      <c r="F218" s="269">
        <v>0</v>
      </c>
      <c r="G218" s="269"/>
      <c r="H218" s="269">
        <f t="shared" si="34"/>
        <v>594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3"/>
        <v>596</v>
      </c>
      <c r="E219" s="221"/>
      <c r="F219" s="221">
        <v>0</v>
      </c>
      <c r="G219" s="221"/>
      <c r="H219" s="221">
        <f t="shared" si="34"/>
        <v>596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3"/>
        <v>598</v>
      </c>
      <c r="E220" s="221"/>
      <c r="F220" s="221">
        <v>0</v>
      </c>
      <c r="G220" s="221"/>
      <c r="H220" s="221">
        <f t="shared" si="34"/>
        <v>598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3"/>
        <v>599</v>
      </c>
      <c r="E221" s="221"/>
      <c r="F221" s="221">
        <v>0</v>
      </c>
      <c r="G221" s="221"/>
      <c r="H221" s="221">
        <f t="shared" si="34"/>
        <v>599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3"/>
        <v>600</v>
      </c>
      <c r="E222" s="221"/>
      <c r="F222" s="221">
        <v>0</v>
      </c>
      <c r="G222" s="221"/>
      <c r="H222" s="221">
        <f t="shared" si="34"/>
        <v>600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3"/>
        <v>600</v>
      </c>
      <c r="E223" s="269"/>
      <c r="F223" s="269">
        <v>0</v>
      </c>
      <c r="G223" s="269"/>
      <c r="H223" s="269">
        <f t="shared" si="34"/>
        <v>600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3"/>
        <v>600</v>
      </c>
      <c r="E224" s="221"/>
      <c r="F224" s="221">
        <v>0</v>
      </c>
      <c r="G224" s="221"/>
      <c r="H224" s="221">
        <f t="shared" si="34"/>
        <v>600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3"/>
        <v>600</v>
      </c>
      <c r="E225" s="221"/>
      <c r="F225" s="221">
        <v>0</v>
      </c>
      <c r="G225" s="221"/>
      <c r="H225" s="221">
        <f t="shared" si="34"/>
        <v>600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3"/>
        <v>600</v>
      </c>
      <c r="E226" s="221"/>
      <c r="F226" s="221">
        <v>0</v>
      </c>
      <c r="G226" s="221"/>
      <c r="H226" s="221">
        <f t="shared" si="34"/>
        <v>600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3"/>
        <v>600</v>
      </c>
      <c r="E227" s="221"/>
      <c r="F227" s="221">
        <v>0</v>
      </c>
      <c r="G227" s="221"/>
      <c r="H227" s="221">
        <f t="shared" si="34"/>
        <v>600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3"/>
        <v>600</v>
      </c>
      <c r="E228" s="269"/>
      <c r="F228" s="269">
        <v>0</v>
      </c>
      <c r="G228" s="269"/>
      <c r="H228" s="269">
        <f t="shared" si="34"/>
        <v>600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3"/>
        <v>600</v>
      </c>
      <c r="E229" s="221"/>
      <c r="F229" s="221">
        <v>0</v>
      </c>
      <c r="G229" s="221"/>
      <c r="H229" s="221">
        <f t="shared" si="34"/>
        <v>600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3"/>
        <v>600</v>
      </c>
      <c r="E230" s="221"/>
      <c r="F230" s="221">
        <v>0</v>
      </c>
      <c r="G230" s="221"/>
      <c r="H230" s="221">
        <f t="shared" si="34"/>
        <v>600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3"/>
        <v>600</v>
      </c>
      <c r="E231" s="221"/>
      <c r="F231" s="221">
        <v>0</v>
      </c>
      <c r="G231" s="221"/>
      <c r="H231" s="221">
        <f t="shared" si="34"/>
        <v>600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3"/>
        <v>600</v>
      </c>
      <c r="E232" s="221"/>
      <c r="F232" s="221">
        <v>0</v>
      </c>
      <c r="G232" s="221"/>
      <c r="H232" s="221">
        <f t="shared" si="34"/>
        <v>600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3"/>
        <v>600</v>
      </c>
      <c r="E233" s="269"/>
      <c r="F233" s="269">
        <v>0</v>
      </c>
      <c r="G233" s="269"/>
      <c r="H233" s="269">
        <f t="shared" si="34"/>
        <v>600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212</v>
      </c>
      <c r="E241" s="257">
        <f t="array" ref="E241">IF(B60=B241,H60)</f>
        <v>212</v>
      </c>
      <c r="F241" s="257">
        <f t="array" ref="F241">IF(B115=B241,H115)</f>
        <v>315</v>
      </c>
      <c r="G241" s="257">
        <f t="array" ref="G241">IF(B162=B241,H162)</f>
        <v>563</v>
      </c>
      <c r="H241" s="257">
        <f t="array" ref="H241">IF(B212=B241,H212)</f>
        <v>472</v>
      </c>
      <c r="I241" s="257">
        <f t="shared" ref="I241:I262" si="35">IF(G241=0,AVERAGE(D241,E241,F241,H241),AVERAGE(D241:H241))</f>
        <v>354.8</v>
      </c>
      <c r="J241" s="266">
        <f t="shared" ref="J241:J262" si="36">ROUND(AVERAGE(D241,F241:G241),0)</f>
        <v>363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236</v>
      </c>
      <c r="E242" s="271">
        <f t="array" ref="E242">IF(B61=B242,H61)</f>
        <v>184</v>
      </c>
      <c r="F242" s="271">
        <f t="array" ref="F242">IF(B116=B242,H116)</f>
        <v>333</v>
      </c>
      <c r="G242" s="271">
        <f t="array" ref="G242">IF(B163=B242,H163)</f>
        <v>679</v>
      </c>
      <c r="H242" s="271">
        <f t="array" ref="H242">IF(B213=B242,H213)</f>
        <v>517</v>
      </c>
      <c r="I242" s="271">
        <f t="shared" si="35"/>
        <v>389.8</v>
      </c>
      <c r="J242" s="273">
        <f t="shared" si="36"/>
        <v>416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259</v>
      </c>
      <c r="E243" s="257">
        <f t="array" ref="E243">IF(B62=B243,H62)</f>
        <v>160</v>
      </c>
      <c r="F243" s="257">
        <f t="array" ref="F243">IF(B117=B243,H117)</f>
        <v>350</v>
      </c>
      <c r="G243" s="257">
        <f t="array" ref="G243">IF(B164=B243,H164)</f>
        <v>804</v>
      </c>
      <c r="H243" s="257">
        <f t="array" ref="H243">IF(B214=B243,H214)</f>
        <v>548</v>
      </c>
      <c r="I243" s="257">
        <f t="shared" si="35"/>
        <v>424.2</v>
      </c>
      <c r="J243" s="266">
        <f t="shared" si="36"/>
        <v>471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283</v>
      </c>
      <c r="E244" s="257">
        <f t="array" ref="E244">IF(B63=B244,H63)</f>
        <v>139</v>
      </c>
      <c r="F244" s="257">
        <f t="array" ref="F244">IF(B118=B244,H118)</f>
        <v>367</v>
      </c>
      <c r="G244" s="257">
        <f t="array" ref="G244">IF(B165=B244,H165)</f>
        <v>939</v>
      </c>
      <c r="H244" s="257">
        <f t="array" ref="H244">IF(B215=B244,H215)</f>
        <v>568</v>
      </c>
      <c r="I244" s="257">
        <f t="shared" si="35"/>
        <v>459.2</v>
      </c>
      <c r="J244" s="266">
        <f t="shared" si="36"/>
        <v>530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306</v>
      </c>
      <c r="E245" s="257">
        <f t="array" ref="E245">IF(B64=B245,H64)</f>
        <v>120</v>
      </c>
      <c r="F245" s="257">
        <f t="array" ref="F245">IF(B119=B245,H119)</f>
        <v>385</v>
      </c>
      <c r="G245" s="257">
        <f t="array" ref="G245">IF(B166=B245,H166)</f>
        <v>1082</v>
      </c>
      <c r="H245" s="257">
        <f t="array" ref="H245">IF(B216=B245,H216)</f>
        <v>581</v>
      </c>
      <c r="I245" s="257">
        <f t="shared" si="35"/>
        <v>494.8</v>
      </c>
      <c r="J245" s="266">
        <f t="shared" si="36"/>
        <v>591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330</v>
      </c>
      <c r="E246" s="257">
        <f t="array" ref="E246">IF(B65=B246,H65)</f>
        <v>104</v>
      </c>
      <c r="F246" s="257">
        <f t="array" ref="F246">IF(B120=B246,H120)</f>
        <v>402</v>
      </c>
      <c r="G246" s="257">
        <f t="array" ref="G246">IF(B167=B246,H167)</f>
        <v>1234</v>
      </c>
      <c r="H246" s="257">
        <f t="array" ref="H246">IF(B217=B246,H217)</f>
        <v>589</v>
      </c>
      <c r="I246" s="257">
        <f t="shared" si="35"/>
        <v>531.79999999999995</v>
      </c>
      <c r="J246" s="266">
        <f t="shared" si="36"/>
        <v>655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354</v>
      </c>
      <c r="E247" s="271">
        <f t="array" ref="E247">IF(B66=B247,H66)</f>
        <v>91</v>
      </c>
      <c r="F247" s="271">
        <f t="array" ref="F247">IF(B121=B247,H121)</f>
        <v>419</v>
      </c>
      <c r="G247" s="271">
        <f t="array" ref="G247">IF(B168=B247,H168)</f>
        <v>1395</v>
      </c>
      <c r="H247" s="271">
        <f t="array" ref="H247">IF(B218=B247,H218)</f>
        <v>594</v>
      </c>
      <c r="I247" s="271">
        <f t="shared" si="35"/>
        <v>570.6</v>
      </c>
      <c r="J247" s="273">
        <f t="shared" si="36"/>
        <v>723</v>
      </c>
      <c r="K247" s="272"/>
      <c r="L247" s="203"/>
      <c r="M247" s="203"/>
      <c r="N247" s="203"/>
      <c r="O247" s="203">
        <v>193</v>
      </c>
    </row>
    <row r="248" spans="1:15" ht="15" customHeight="1">
      <c r="A248" s="203"/>
      <c r="B248" s="220">
        <v>2021</v>
      </c>
      <c r="C248" s="221"/>
      <c r="D248" s="257">
        <f t="array" ref="D248">IF(B33=B248,H33)</f>
        <v>377</v>
      </c>
      <c r="E248" s="257">
        <f t="array" ref="E248">IF(B67=B248,H67)</f>
        <v>79</v>
      </c>
      <c r="F248" s="257">
        <f t="array" ref="F248">IF(B122=B248,H122)</f>
        <v>437</v>
      </c>
      <c r="G248" s="257">
        <f t="array" ref="G248">IF(B169=B248,H169)</f>
        <v>1564</v>
      </c>
      <c r="H248" s="257">
        <f t="array" ref="H248">IF(B219=B248,H219)</f>
        <v>596</v>
      </c>
      <c r="I248" s="257">
        <f t="shared" si="35"/>
        <v>610.6</v>
      </c>
      <c r="J248" s="266">
        <f t="shared" si="36"/>
        <v>793</v>
      </c>
      <c r="K248" s="258"/>
      <c r="L248" s="203"/>
      <c r="M248" s="203"/>
      <c r="N248" s="203"/>
      <c r="O248" s="203">
        <f>+O247*0.9</f>
        <v>173.70000000000002</v>
      </c>
    </row>
    <row r="249" spans="1:15" ht="15" customHeight="1">
      <c r="A249" s="203"/>
      <c r="B249" s="220">
        <v>2022</v>
      </c>
      <c r="C249" s="221"/>
      <c r="D249" s="257">
        <f t="array" ref="D249">IF(B34=B249,H34)</f>
        <v>401</v>
      </c>
      <c r="E249" s="257">
        <f t="array" ref="E249">IF(B68=B249,H68)</f>
        <v>68</v>
      </c>
      <c r="F249" s="257">
        <f t="array" ref="F249">IF(B123=B249,H123)</f>
        <v>454</v>
      </c>
      <c r="G249" s="257">
        <f t="array" ref="G249">IF(B170=B249,H170)</f>
        <v>1742</v>
      </c>
      <c r="H249" s="257">
        <f t="array" ref="H249">IF(B220=B249,H220)</f>
        <v>598</v>
      </c>
      <c r="I249" s="257">
        <f t="shared" si="35"/>
        <v>652.6</v>
      </c>
      <c r="J249" s="266">
        <f t="shared" si="36"/>
        <v>866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424</v>
      </c>
      <c r="E250" s="257">
        <f t="array" ref="E250">IF(B69=B250,H69)</f>
        <v>59</v>
      </c>
      <c r="F250" s="257">
        <f t="array" ref="F250">IF(B124=B250,H124)</f>
        <v>471</v>
      </c>
      <c r="G250" s="257">
        <f t="array" ref="G250">IF(B171=B250,H171)</f>
        <v>1928</v>
      </c>
      <c r="H250" s="257">
        <f t="array" ref="H250">IF(B221=B250,H221)</f>
        <v>599</v>
      </c>
      <c r="I250" s="257">
        <f t="shared" si="35"/>
        <v>696.2</v>
      </c>
      <c r="J250" s="266">
        <f t="shared" si="36"/>
        <v>941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448</v>
      </c>
      <c r="E251" s="257">
        <f t="array" ref="E251">IF(B70=B251,H70)</f>
        <v>51</v>
      </c>
      <c r="F251" s="257">
        <f t="array" ref="F251">IF(B125=B251,H125)</f>
        <v>489</v>
      </c>
      <c r="G251" s="257">
        <f t="array" ref="G251">IF(B172=B251,H172)</f>
        <v>2122</v>
      </c>
      <c r="H251" s="257">
        <f t="array" ref="H251">IF(B222=B251,H222)</f>
        <v>600</v>
      </c>
      <c r="I251" s="257">
        <f t="shared" si="35"/>
        <v>742</v>
      </c>
      <c r="J251" s="266">
        <f t="shared" si="36"/>
        <v>1020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472</v>
      </c>
      <c r="E252" s="271">
        <f t="array" ref="E252">IF(B71=B252,H71)</f>
        <v>45</v>
      </c>
      <c r="F252" s="271">
        <f t="array" ref="F252">IF(B126=B252,H126)</f>
        <v>506</v>
      </c>
      <c r="G252" s="271">
        <f t="array" ref="G252">IF(B173=B252,H173)</f>
        <v>2324</v>
      </c>
      <c r="H252" s="271">
        <f t="array" ref="H252">IF(B223=B252,H223)</f>
        <v>600</v>
      </c>
      <c r="I252" s="271">
        <f t="shared" si="35"/>
        <v>789.4</v>
      </c>
      <c r="J252" s="273">
        <f t="shared" si="36"/>
        <v>1101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495</v>
      </c>
      <c r="E253" s="257">
        <f t="array" ref="E253">IF(B72=B253,H72)</f>
        <v>39</v>
      </c>
      <c r="F253" s="257">
        <f t="array" ref="F253">IF(B127=B253,H127)</f>
        <v>523</v>
      </c>
      <c r="G253" s="257">
        <f t="array" ref="G253">IF(B174=B253,H174)</f>
        <v>2534</v>
      </c>
      <c r="H253" s="257">
        <f t="array" ref="H253">IF(B224=B253,H224)</f>
        <v>600</v>
      </c>
      <c r="I253" s="257">
        <f t="shared" si="35"/>
        <v>838.2</v>
      </c>
      <c r="J253" s="266">
        <f t="shared" si="36"/>
        <v>1184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519</v>
      </c>
      <c r="E254" s="257">
        <f t="array" ref="E254">IF(B73=B254,H73)</f>
        <v>34</v>
      </c>
      <c r="F254" s="257">
        <f t="array" ref="F254">IF(B128=B254,H128)</f>
        <v>541</v>
      </c>
      <c r="G254" s="257">
        <f t="array" ref="G254">IF(B175=B254,H175)</f>
        <v>2753</v>
      </c>
      <c r="H254" s="257">
        <f t="array" ref="H254">IF(B225=B254,H225)</f>
        <v>600</v>
      </c>
      <c r="I254" s="257">
        <f t="shared" si="35"/>
        <v>889.4</v>
      </c>
      <c r="J254" s="266">
        <f t="shared" si="36"/>
        <v>1271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542</v>
      </c>
      <c r="E255" s="257">
        <f t="array" ref="E255">IF(B74=B255,H74)</f>
        <v>29</v>
      </c>
      <c r="F255" s="257">
        <f t="array" ref="F255">IF(B129=B255,H129)</f>
        <v>558</v>
      </c>
      <c r="G255" s="257">
        <f t="array" ref="G255">IF(B176=B255,H176)</f>
        <v>2979</v>
      </c>
      <c r="H255" s="257">
        <f t="array" ref="H255">IF(B226=B255,H226)</f>
        <v>600</v>
      </c>
      <c r="I255" s="257">
        <f t="shared" si="35"/>
        <v>941.6</v>
      </c>
      <c r="J255" s="266">
        <f t="shared" si="36"/>
        <v>1360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566</v>
      </c>
      <c r="E256" s="257">
        <f t="array" ref="E256">IF(B75=B256,H75)</f>
        <v>25</v>
      </c>
      <c r="F256" s="257">
        <f t="array" ref="F256">IF(B130=B256,H130)</f>
        <v>575</v>
      </c>
      <c r="G256" s="257">
        <f t="array" ref="G256">IF(B177=B256,H177)</f>
        <v>3212</v>
      </c>
      <c r="H256" s="257">
        <f t="array" ref="H256">IF(B227=B256,H227)</f>
        <v>600</v>
      </c>
      <c r="I256" s="257">
        <f t="shared" si="35"/>
        <v>995.6</v>
      </c>
      <c r="J256" s="266">
        <f t="shared" si="36"/>
        <v>1451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590</v>
      </c>
      <c r="E257" s="271">
        <f t="array" ref="E257">IF(B76=B257,H76)</f>
        <v>22</v>
      </c>
      <c r="F257" s="271">
        <f t="array" ref="F257">IF(B131=B257,H131)</f>
        <v>593</v>
      </c>
      <c r="G257" s="271">
        <f t="array" ref="G257">IF(B178=B257,H178)</f>
        <v>3454</v>
      </c>
      <c r="H257" s="271">
        <f t="array" ref="H257">IF(B228=B257,H228)</f>
        <v>600</v>
      </c>
      <c r="I257" s="271">
        <f t="shared" si="35"/>
        <v>1051.8</v>
      </c>
      <c r="J257" s="273">
        <f t="shared" si="36"/>
        <v>1546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613</v>
      </c>
      <c r="E258" s="257">
        <f t="array" ref="E258">IF(B77=B258,H77)</f>
        <v>19</v>
      </c>
      <c r="F258" s="257">
        <f t="array" ref="F258">IF(B132=B258,H132)</f>
        <v>610</v>
      </c>
      <c r="G258" s="257">
        <f t="array" ref="G258">IF(B179=B258,H179)</f>
        <v>3703</v>
      </c>
      <c r="H258" s="257">
        <f t="array" ref="H258">IF(B229=B258,H229)</f>
        <v>600</v>
      </c>
      <c r="I258" s="257">
        <f t="shared" si="35"/>
        <v>1109</v>
      </c>
      <c r="J258" s="266">
        <f t="shared" si="36"/>
        <v>1642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637</v>
      </c>
      <c r="E259" s="257">
        <f t="array" ref="E259">IF(B78=B259,H78)</f>
        <v>17</v>
      </c>
      <c r="F259" s="257">
        <f t="array" ref="F259">IF(B133=B259,H133)</f>
        <v>627</v>
      </c>
      <c r="G259" s="257">
        <f t="array" ref="G259">IF(B180=B259,H180)</f>
        <v>3960</v>
      </c>
      <c r="H259" s="257">
        <f t="array" ref="H259">IF(B230=B259,H230)</f>
        <v>600</v>
      </c>
      <c r="I259" s="257">
        <f t="shared" si="35"/>
        <v>1168.2</v>
      </c>
      <c r="J259" s="266">
        <f t="shared" si="36"/>
        <v>1741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660</v>
      </c>
      <c r="E260" s="257">
        <f t="array" ref="E260">IF(B79=B260,H79)</f>
        <v>14</v>
      </c>
      <c r="F260" s="257">
        <f t="array" ref="F260">IF(B134=B260,H134)</f>
        <v>645</v>
      </c>
      <c r="G260" s="257">
        <f t="array" ref="G260">IF(B181=B260,H181)</f>
        <v>4224</v>
      </c>
      <c r="H260" s="257">
        <f t="array" ref="H260">IF(B231=B260,H231)</f>
        <v>600</v>
      </c>
      <c r="I260" s="257">
        <f t="shared" si="35"/>
        <v>1228.5999999999999</v>
      </c>
      <c r="J260" s="266">
        <f t="shared" si="36"/>
        <v>1843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684</v>
      </c>
      <c r="E261" s="257">
        <f t="array" ref="E261">IF(B80=B261,H80)</f>
        <v>13</v>
      </c>
      <c r="F261" s="257">
        <f t="array" ref="F261">IF(B135=B261,H135)</f>
        <v>662</v>
      </c>
      <c r="G261" s="257">
        <f t="array" ref="G261">IF(B182=B261,H182)</f>
        <v>4495</v>
      </c>
      <c r="H261" s="257">
        <f t="array" ref="H261">IF(B232=B261,H232)</f>
        <v>600</v>
      </c>
      <c r="I261" s="257">
        <f t="shared" si="35"/>
        <v>1290.8</v>
      </c>
      <c r="J261" s="266">
        <f t="shared" si="36"/>
        <v>1947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708</v>
      </c>
      <c r="E262" s="271">
        <f t="array" ref="E262">IF(B81=B262,H81)</f>
        <v>11</v>
      </c>
      <c r="F262" s="271">
        <f t="array" ref="F262">IF(B136=B262,H136)</f>
        <v>679</v>
      </c>
      <c r="G262" s="271">
        <f t="array" ref="G262">IF(B183=B262,H183)</f>
        <v>4774</v>
      </c>
      <c r="H262" s="271">
        <f t="array" ref="H262">IF(B233=B262,H233)</f>
        <v>600</v>
      </c>
      <c r="I262" s="271">
        <f t="shared" si="35"/>
        <v>1354.4</v>
      </c>
      <c r="J262" s="273">
        <f t="shared" si="36"/>
        <v>2054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86" t="s">
        <v>972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1780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2010</v>
      </c>
      <c r="C7" s="204"/>
      <c r="D7" s="205">
        <f>+'대소면(10년) (사)'!D12</f>
        <v>206</v>
      </c>
      <c r="E7" s="205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204">
        <f>+B7+1</f>
        <v>2011</v>
      </c>
      <c r="C8" s="204"/>
      <c r="D8" s="205">
        <f>+'대소면(10년) (사)'!D13</f>
        <v>574</v>
      </c>
      <c r="E8" s="205"/>
      <c r="F8" s="206">
        <f>D8-D7</f>
        <v>368</v>
      </c>
      <c r="G8" s="206"/>
      <c r="H8" s="207">
        <f>ROUND(F8/D7*100,2)</f>
        <v>178.64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f>+B8+1</f>
        <v>2012</v>
      </c>
      <c r="C9" s="204"/>
      <c r="D9" s="205">
        <f>+'대소면(10년) (사)'!D14</f>
        <v>210</v>
      </c>
      <c r="E9" s="205"/>
      <c r="F9" s="206">
        <f>D9-D8</f>
        <v>-364</v>
      </c>
      <c r="G9" s="206"/>
      <c r="H9" s="207">
        <f>ROUND(F9/D8*100,2)</f>
        <v>-63.41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f>+B9+1</f>
        <v>2013</v>
      </c>
      <c r="C10" s="204"/>
      <c r="D10" s="205">
        <f>+'대소면(10년) (사)'!D15</f>
        <v>226</v>
      </c>
      <c r="E10" s="205"/>
      <c r="F10" s="206">
        <f>D10-D9</f>
        <v>16</v>
      </c>
      <c r="G10" s="206"/>
      <c r="H10" s="207">
        <f>ROUND(F10/D9*100,2)</f>
        <v>7.62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f>+B10+1</f>
        <v>2014</v>
      </c>
      <c r="C11" s="204"/>
      <c r="D11" s="205">
        <f>+'대소면(10년) (사)'!D16</f>
        <v>212</v>
      </c>
      <c r="E11" s="205"/>
      <c r="F11" s="206">
        <f>D11-D10</f>
        <v>-14</v>
      </c>
      <c r="G11" s="206"/>
      <c r="H11" s="207">
        <f>ROUND(F11/D10*100,2)</f>
        <v>-6.19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1428</v>
      </c>
      <c r="E12" s="214"/>
      <c r="F12" s="215"/>
      <c r="G12" s="215"/>
      <c r="H12" s="216">
        <f>SUM(H7:H11)</f>
        <v>116.66</v>
      </c>
      <c r="I12" s="216"/>
      <c r="J12" s="217">
        <f>ROUND(AVERAGE(H7:H11),1)</f>
        <v>23.3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212</v>
      </c>
      <c r="E21" s="221"/>
      <c r="F21" s="221">
        <v>0</v>
      </c>
      <c r="G21" s="221"/>
      <c r="H21" s="221">
        <f t="shared" ref="H21:H42" si="1">ROUND(D21*(1+F21),0)</f>
        <v>212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214</v>
      </c>
      <c r="E22" s="269"/>
      <c r="F22" s="269">
        <v>0</v>
      </c>
      <c r="G22" s="269"/>
      <c r="H22" s="269">
        <f t="shared" si="1"/>
        <v>214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215</v>
      </c>
      <c r="E23" s="221"/>
      <c r="F23" s="221">
        <v>0</v>
      </c>
      <c r="G23" s="221"/>
      <c r="H23" s="221">
        <f t="shared" si="1"/>
        <v>215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217</v>
      </c>
      <c r="E24" s="221"/>
      <c r="F24" s="221">
        <v>0</v>
      </c>
      <c r="G24" s="221"/>
      <c r="H24" s="221">
        <f t="shared" si="1"/>
        <v>217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218</v>
      </c>
      <c r="E25" s="221"/>
      <c r="F25" s="221">
        <v>0</v>
      </c>
      <c r="G25" s="221"/>
      <c r="H25" s="221">
        <f t="shared" si="1"/>
        <v>218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220</v>
      </c>
      <c r="E26" s="221"/>
      <c r="F26" s="221">
        <v>0</v>
      </c>
      <c r="G26" s="221"/>
      <c r="H26" s="221">
        <f t="shared" si="1"/>
        <v>220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221</v>
      </c>
      <c r="E27" s="269"/>
      <c r="F27" s="269">
        <v>0</v>
      </c>
      <c r="G27" s="269"/>
      <c r="H27" s="269">
        <f t="shared" si="1"/>
        <v>221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223</v>
      </c>
      <c r="E28" s="221"/>
      <c r="F28" s="221">
        <v>0</v>
      </c>
      <c r="G28" s="221"/>
      <c r="H28" s="221">
        <f t="shared" si="1"/>
        <v>223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224</v>
      </c>
      <c r="E29" s="221"/>
      <c r="F29" s="221">
        <v>0</v>
      </c>
      <c r="G29" s="221"/>
      <c r="H29" s="221">
        <f t="shared" si="1"/>
        <v>224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226</v>
      </c>
      <c r="E30" s="221"/>
      <c r="F30" s="221">
        <v>0</v>
      </c>
      <c r="G30" s="221"/>
      <c r="H30" s="221">
        <f t="shared" si="1"/>
        <v>226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227</v>
      </c>
      <c r="E31" s="221"/>
      <c r="F31" s="221">
        <v>0</v>
      </c>
      <c r="G31" s="221"/>
      <c r="H31" s="221">
        <f t="shared" si="1"/>
        <v>227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229</v>
      </c>
      <c r="E32" s="269"/>
      <c r="F32" s="269">
        <v>0</v>
      </c>
      <c r="G32" s="269"/>
      <c r="H32" s="269">
        <f t="shared" si="1"/>
        <v>229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230</v>
      </c>
      <c r="E33" s="221"/>
      <c r="F33" s="221">
        <v>0</v>
      </c>
      <c r="G33" s="221"/>
      <c r="H33" s="221">
        <f t="shared" si="1"/>
        <v>230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232</v>
      </c>
      <c r="E34" s="221"/>
      <c r="F34" s="221">
        <v>0</v>
      </c>
      <c r="G34" s="221"/>
      <c r="H34" s="221">
        <f t="shared" si="1"/>
        <v>232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233</v>
      </c>
      <c r="E35" s="221"/>
      <c r="F35" s="221">
        <v>0</v>
      </c>
      <c r="G35" s="221"/>
      <c r="H35" s="221">
        <f t="shared" si="1"/>
        <v>233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235</v>
      </c>
      <c r="E36" s="221"/>
      <c r="F36" s="221">
        <v>0</v>
      </c>
      <c r="G36" s="221"/>
      <c r="H36" s="221">
        <f t="shared" si="1"/>
        <v>235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236</v>
      </c>
      <c r="E37" s="269"/>
      <c r="F37" s="269">
        <v>0</v>
      </c>
      <c r="G37" s="269"/>
      <c r="H37" s="269">
        <f t="shared" si="1"/>
        <v>236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238</v>
      </c>
      <c r="E38" s="221"/>
      <c r="F38" s="221">
        <v>0</v>
      </c>
      <c r="G38" s="221"/>
      <c r="H38" s="221">
        <f t="shared" si="1"/>
        <v>238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239</v>
      </c>
      <c r="E39" s="221"/>
      <c r="F39" s="221">
        <v>0</v>
      </c>
      <c r="G39" s="221"/>
      <c r="H39" s="221">
        <f t="shared" si="1"/>
        <v>239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241</v>
      </c>
      <c r="E40" s="221"/>
      <c r="F40" s="221">
        <v>0</v>
      </c>
      <c r="G40" s="221"/>
      <c r="H40" s="221">
        <f t="shared" si="1"/>
        <v>241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242</v>
      </c>
      <c r="E41" s="221"/>
      <c r="F41" s="221">
        <v>0</v>
      </c>
      <c r="G41" s="221"/>
      <c r="H41" s="221">
        <f t="shared" si="1"/>
        <v>242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244</v>
      </c>
      <c r="E42" s="269"/>
      <c r="F42" s="269">
        <v>0</v>
      </c>
      <c r="G42" s="269"/>
      <c r="H42" s="269">
        <f t="shared" si="1"/>
        <v>244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212</v>
      </c>
      <c r="F43" s="226"/>
      <c r="G43" s="224" t="s">
        <v>162</v>
      </c>
      <c r="H43" s="224">
        <f>ROUND((D$11-D$7)/(COUNT(D$7:D$11)-1),1)</f>
        <v>1.5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212</v>
      </c>
      <c r="E55" s="221"/>
      <c r="F55" s="221">
        <v>0</v>
      </c>
      <c r="G55" s="221"/>
      <c r="H55" s="221">
        <f t="shared" ref="H55:H76" si="3">ROUND(D55*(1+F55),0)</f>
        <v>212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214</v>
      </c>
      <c r="E56" s="269"/>
      <c r="F56" s="269">
        <v>0</v>
      </c>
      <c r="G56" s="269"/>
      <c r="H56" s="269">
        <f t="shared" si="3"/>
        <v>214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215</v>
      </c>
      <c r="E57" s="221"/>
      <c r="F57" s="221">
        <v>0</v>
      </c>
      <c r="G57" s="221"/>
      <c r="H57" s="221">
        <f t="shared" si="3"/>
        <v>215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217</v>
      </c>
      <c r="E58" s="221"/>
      <c r="F58" s="221">
        <v>0</v>
      </c>
      <c r="G58" s="221"/>
      <c r="H58" s="221">
        <f t="shared" si="3"/>
        <v>217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218</v>
      </c>
      <c r="E59" s="221"/>
      <c r="F59" s="221">
        <v>0</v>
      </c>
      <c r="G59" s="221"/>
      <c r="H59" s="221">
        <f t="shared" si="3"/>
        <v>218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220</v>
      </c>
      <c r="E60" s="221"/>
      <c r="F60" s="221">
        <v>0</v>
      </c>
      <c r="G60" s="221"/>
      <c r="H60" s="221">
        <f t="shared" si="3"/>
        <v>220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221</v>
      </c>
      <c r="E61" s="269"/>
      <c r="F61" s="269">
        <v>0</v>
      </c>
      <c r="G61" s="269"/>
      <c r="H61" s="269">
        <f t="shared" si="3"/>
        <v>221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223</v>
      </c>
      <c r="E62" s="221"/>
      <c r="F62" s="221">
        <v>0</v>
      </c>
      <c r="G62" s="221"/>
      <c r="H62" s="221">
        <f t="shared" si="3"/>
        <v>223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225</v>
      </c>
      <c r="E63" s="221"/>
      <c r="F63" s="221">
        <v>0</v>
      </c>
      <c r="G63" s="221"/>
      <c r="H63" s="221">
        <f t="shared" si="3"/>
        <v>225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226</v>
      </c>
      <c r="E64" s="221"/>
      <c r="F64" s="221">
        <v>0</v>
      </c>
      <c r="G64" s="221"/>
      <c r="H64" s="221">
        <f t="shared" si="3"/>
        <v>226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228</v>
      </c>
      <c r="E65" s="221"/>
      <c r="F65" s="221">
        <v>0</v>
      </c>
      <c r="G65" s="221"/>
      <c r="H65" s="221">
        <f t="shared" si="3"/>
        <v>228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229</v>
      </c>
      <c r="E66" s="269"/>
      <c r="F66" s="269">
        <v>0</v>
      </c>
      <c r="G66" s="269"/>
      <c r="H66" s="269">
        <f t="shared" si="3"/>
        <v>229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231</v>
      </c>
      <c r="E67" s="221"/>
      <c r="F67" s="221">
        <v>0</v>
      </c>
      <c r="G67" s="221"/>
      <c r="H67" s="221">
        <f t="shared" si="3"/>
        <v>231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233</v>
      </c>
      <c r="E68" s="221"/>
      <c r="F68" s="221">
        <v>0</v>
      </c>
      <c r="G68" s="221"/>
      <c r="H68" s="221">
        <f t="shared" si="3"/>
        <v>233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234</v>
      </c>
      <c r="E69" s="221"/>
      <c r="F69" s="221">
        <v>0</v>
      </c>
      <c r="G69" s="221"/>
      <c r="H69" s="221">
        <f t="shared" si="3"/>
        <v>234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236</v>
      </c>
      <c r="E70" s="221"/>
      <c r="F70" s="221">
        <v>0</v>
      </c>
      <c r="G70" s="221"/>
      <c r="H70" s="221">
        <f t="shared" si="3"/>
        <v>236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238</v>
      </c>
      <c r="E71" s="269"/>
      <c r="F71" s="269">
        <v>0</v>
      </c>
      <c r="G71" s="269"/>
      <c r="H71" s="269">
        <f t="shared" si="3"/>
        <v>238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240</v>
      </c>
      <c r="E72" s="221"/>
      <c r="F72" s="221">
        <v>0</v>
      </c>
      <c r="G72" s="221"/>
      <c r="H72" s="221">
        <f t="shared" si="3"/>
        <v>240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241</v>
      </c>
      <c r="E73" s="221"/>
      <c r="F73" s="221">
        <v>0</v>
      </c>
      <c r="G73" s="221"/>
      <c r="H73" s="221">
        <f t="shared" si="3"/>
        <v>241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243</v>
      </c>
      <c r="E74" s="221"/>
      <c r="F74" s="221">
        <v>0</v>
      </c>
      <c r="G74" s="221"/>
      <c r="H74" s="221">
        <f t="shared" si="3"/>
        <v>243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245</v>
      </c>
      <c r="E75" s="221"/>
      <c r="F75" s="221">
        <v>0</v>
      </c>
      <c r="G75" s="221"/>
      <c r="H75" s="221">
        <f t="shared" si="3"/>
        <v>245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246</v>
      </c>
      <c r="E76" s="269"/>
      <c r="F76" s="269">
        <v>0</v>
      </c>
      <c r="G76" s="269"/>
      <c r="H76" s="269">
        <f t="shared" si="3"/>
        <v>246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212</v>
      </c>
      <c r="F77" s="226"/>
      <c r="G77" s="224" t="s">
        <v>179</v>
      </c>
      <c r="H77" s="224">
        <f>ROUND((E$77/D$7)^(1/(COUNT(D$7:D$11)-1)),6)</f>
        <v>1.0072030000000001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204">
        <f>B7</f>
        <v>2010</v>
      </c>
      <c r="C94" s="204"/>
      <c r="D94" s="208">
        <f>VLOOKUP(B94,B$7:E$11,3,FALSE)</f>
        <v>206</v>
      </c>
      <c r="E94" s="204">
        <f>((COUNT(B$94:B$98)-1)/2)+(B94-$C$4)</f>
        <v>-2</v>
      </c>
      <c r="F94" s="208">
        <f>E94^2</f>
        <v>4</v>
      </c>
      <c r="G94" s="206"/>
      <c r="H94" s="230">
        <f>ROUND(D94*E94,2)</f>
        <v>-412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204">
        <f>B8</f>
        <v>2011</v>
      </c>
      <c r="C95" s="204"/>
      <c r="D95" s="208">
        <f>VLOOKUP(B95,B$7:E$11,3,FALSE)</f>
        <v>574</v>
      </c>
      <c r="E95" s="204">
        <f>((COUNT(B$94:B$98)-1)/2)+(B95-$C$4)</f>
        <v>-1</v>
      </c>
      <c r="F95" s="208">
        <f>E95^2</f>
        <v>1</v>
      </c>
      <c r="G95" s="206"/>
      <c r="H95" s="230">
        <f>ROUND(D95*E95,2)</f>
        <v>-574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204">
        <f>B9</f>
        <v>2012</v>
      </c>
      <c r="C96" s="204"/>
      <c r="D96" s="208">
        <f>VLOOKUP(B96,B$7:E$11,3,FALSE)</f>
        <v>210</v>
      </c>
      <c r="E96" s="204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204">
        <f>B10</f>
        <v>2013</v>
      </c>
      <c r="C97" s="204"/>
      <c r="D97" s="208">
        <f>VLOOKUP(B97,B$7:E$11,3,FALSE)</f>
        <v>226</v>
      </c>
      <c r="E97" s="204">
        <f>((COUNT(B$94:B$98)-1)/2)+(B97-$C$4)</f>
        <v>1</v>
      </c>
      <c r="F97" s="208">
        <f>E97^2</f>
        <v>1</v>
      </c>
      <c r="G97" s="206"/>
      <c r="H97" s="230">
        <f>ROUND(D97*E97,2)</f>
        <v>226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204">
        <f>B11</f>
        <v>2014</v>
      </c>
      <c r="C98" s="204"/>
      <c r="D98" s="208">
        <f>VLOOKUP(B98,B$7:E$11,3,FALSE)</f>
        <v>212</v>
      </c>
      <c r="E98" s="204">
        <f>((COUNT(B$94:B$98)-1)/2)+(B98-$C$4)</f>
        <v>2</v>
      </c>
      <c r="F98" s="208">
        <f>E98^2</f>
        <v>4</v>
      </c>
      <c r="G98" s="206"/>
      <c r="H98" s="230">
        <f>ROUND(D98*E98,2)</f>
        <v>424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1428</v>
      </c>
      <c r="E99" s="215"/>
      <c r="F99" s="233">
        <f>ROUND(SUM(F94:F98),0)</f>
        <v>10</v>
      </c>
      <c r="G99" s="212"/>
      <c r="H99" s="211">
        <f>SUM(H94:H98)</f>
        <v>-336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-33.6</v>
      </c>
      <c r="H100" s="236" t="s">
        <v>199</v>
      </c>
      <c r="I100" s="201"/>
      <c r="J100" s="201"/>
      <c r="K100" s="201">
        <f>ROUND((F99*D99-H99*E99)/(COUNT(B$94:B$98)*F99-E99*E99),0)</f>
        <v>286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219</v>
      </c>
      <c r="E105" s="221"/>
      <c r="F105" s="221">
        <v>0</v>
      </c>
      <c r="G105" s="221"/>
      <c r="H105" s="221">
        <f t="shared" ref="H105:H126" si="5">ROUND(D105*(1+F105),0)</f>
        <v>219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186</v>
      </c>
      <c r="E106" s="269"/>
      <c r="F106" s="269">
        <v>0</v>
      </c>
      <c r="G106" s="269"/>
      <c r="H106" s="269">
        <f t="shared" si="5"/>
        <v>186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152</v>
      </c>
      <c r="E107" s="221"/>
      <c r="F107" s="221">
        <v>0</v>
      </c>
      <c r="G107" s="221"/>
      <c r="H107" s="221">
        <f t="shared" si="5"/>
        <v>152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118</v>
      </c>
      <c r="E108" s="221"/>
      <c r="F108" s="221">
        <v>0</v>
      </c>
      <c r="G108" s="221"/>
      <c r="H108" s="221">
        <f t="shared" si="5"/>
        <v>118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85</v>
      </c>
      <c r="E109" s="221"/>
      <c r="F109" s="221">
        <v>0</v>
      </c>
      <c r="G109" s="221"/>
      <c r="H109" s="221">
        <f t="shared" si="5"/>
        <v>85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51</v>
      </c>
      <c r="E110" s="221"/>
      <c r="F110" s="221">
        <v>0</v>
      </c>
      <c r="G110" s="221"/>
      <c r="H110" s="221">
        <f t="shared" si="5"/>
        <v>51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18</v>
      </c>
      <c r="E111" s="269"/>
      <c r="F111" s="269">
        <v>0</v>
      </c>
      <c r="G111" s="269"/>
      <c r="H111" s="269">
        <f t="shared" si="5"/>
        <v>18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-17</v>
      </c>
      <c r="E112" s="221"/>
      <c r="F112" s="221">
        <v>0</v>
      </c>
      <c r="G112" s="221"/>
      <c r="H112" s="221">
        <f t="shared" si="5"/>
        <v>-17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-50</v>
      </c>
      <c r="E113" s="221"/>
      <c r="F113" s="221">
        <v>0</v>
      </c>
      <c r="G113" s="221"/>
      <c r="H113" s="221">
        <f t="shared" si="5"/>
        <v>-50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-84</v>
      </c>
      <c r="E114" s="221"/>
      <c r="F114" s="221">
        <v>0</v>
      </c>
      <c r="G114" s="221"/>
      <c r="H114" s="221">
        <f t="shared" si="5"/>
        <v>-84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-118</v>
      </c>
      <c r="E115" s="221"/>
      <c r="F115" s="221">
        <v>0</v>
      </c>
      <c r="G115" s="221"/>
      <c r="H115" s="221">
        <f t="shared" si="5"/>
        <v>-118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-151</v>
      </c>
      <c r="E116" s="269"/>
      <c r="F116" s="269">
        <v>0</v>
      </c>
      <c r="G116" s="269"/>
      <c r="H116" s="269">
        <f t="shared" si="5"/>
        <v>-151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-185</v>
      </c>
      <c r="E117" s="221"/>
      <c r="F117" s="221">
        <v>0</v>
      </c>
      <c r="G117" s="221"/>
      <c r="H117" s="221">
        <f t="shared" si="5"/>
        <v>-185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-218</v>
      </c>
      <c r="E118" s="221"/>
      <c r="F118" s="221">
        <v>0</v>
      </c>
      <c r="G118" s="221"/>
      <c r="H118" s="221">
        <f t="shared" si="5"/>
        <v>-218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-252</v>
      </c>
      <c r="E119" s="221"/>
      <c r="F119" s="221">
        <v>0</v>
      </c>
      <c r="G119" s="221"/>
      <c r="H119" s="221">
        <f t="shared" si="5"/>
        <v>-252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-286</v>
      </c>
      <c r="E120" s="221"/>
      <c r="F120" s="221">
        <v>0</v>
      </c>
      <c r="G120" s="221"/>
      <c r="H120" s="221">
        <f t="shared" si="5"/>
        <v>-286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-319</v>
      </c>
      <c r="E121" s="269"/>
      <c r="F121" s="269">
        <v>0</v>
      </c>
      <c r="G121" s="269"/>
      <c r="H121" s="269">
        <f t="shared" si="5"/>
        <v>-319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-353</v>
      </c>
      <c r="E122" s="221"/>
      <c r="F122" s="221">
        <v>0</v>
      </c>
      <c r="G122" s="221"/>
      <c r="H122" s="221">
        <f t="shared" si="5"/>
        <v>-353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-386</v>
      </c>
      <c r="E123" s="221"/>
      <c r="F123" s="221">
        <v>0</v>
      </c>
      <c r="G123" s="221"/>
      <c r="H123" s="221">
        <f t="shared" si="5"/>
        <v>-386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-420</v>
      </c>
      <c r="E124" s="221"/>
      <c r="F124" s="221">
        <v>0</v>
      </c>
      <c r="G124" s="221"/>
      <c r="H124" s="221">
        <f t="shared" si="5"/>
        <v>-420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-454</v>
      </c>
      <c r="E125" s="221"/>
      <c r="F125" s="221">
        <v>0</v>
      </c>
      <c r="G125" s="221"/>
      <c r="H125" s="221">
        <f t="shared" si="5"/>
        <v>-454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-487</v>
      </c>
      <c r="E126" s="269"/>
      <c r="F126" s="269">
        <v>0</v>
      </c>
      <c r="G126" s="269"/>
      <c r="H126" s="269">
        <f t="shared" si="5"/>
        <v>-487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204">
        <f>B94</f>
        <v>2010</v>
      </c>
      <c r="C136" s="204"/>
      <c r="D136" s="208">
        <f>VLOOKUP(B136,B$7:E$11,3,FALSE)</f>
        <v>206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204">
        <f>B95</f>
        <v>2011</v>
      </c>
      <c r="C137" s="204"/>
      <c r="D137" s="208">
        <f>VLOOKUP(B137,B$7:E$11,3,FALSE)</f>
        <v>574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368</v>
      </c>
      <c r="I137" s="231"/>
      <c r="J137" s="247">
        <f>IF(H137="","",LOG(H137))</f>
        <v>2.5658478186735176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204">
        <f>B96</f>
        <v>2012</v>
      </c>
      <c r="C138" s="204"/>
      <c r="D138" s="208">
        <f>VLOOKUP(B138,B$7:E$11,3,FALSE)</f>
        <v>210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4</v>
      </c>
      <c r="I138" s="231"/>
      <c r="J138" s="247">
        <f>IF(H138="","",LOG(H138))</f>
        <v>0.6020599913279624</v>
      </c>
      <c r="K138" s="247">
        <f>IF(J138="","",J138*F138)</f>
        <v>0.18123811657891309</v>
      </c>
      <c r="L138" s="203"/>
      <c r="M138" s="203"/>
      <c r="N138" s="203"/>
      <c r="O138" s="203"/>
    </row>
    <row r="139" spans="1:15" ht="15" customHeight="1">
      <c r="A139" s="203"/>
      <c r="B139" s="204">
        <f>B97</f>
        <v>2013</v>
      </c>
      <c r="C139" s="204"/>
      <c r="D139" s="208">
        <f>VLOOKUP(B139,B$7:E$11,3,FALSE)</f>
        <v>226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20</v>
      </c>
      <c r="I139" s="231"/>
      <c r="J139" s="247">
        <f>IF(H139="","",LOG(H139))</f>
        <v>1.3010299956639813</v>
      </c>
      <c r="K139" s="247">
        <f>IF(J139="","",J139*F139)</f>
        <v>0.62074906395911567</v>
      </c>
      <c r="L139" s="203"/>
      <c r="M139" s="203"/>
      <c r="N139" s="203"/>
      <c r="O139" s="203"/>
    </row>
    <row r="140" spans="1:15" ht="15" customHeight="1">
      <c r="A140" s="203"/>
      <c r="B140" s="204">
        <f>B98</f>
        <v>2014</v>
      </c>
      <c r="C140" s="204"/>
      <c r="D140" s="208">
        <f>VLOOKUP(B140,B$7:E$11,3,FALSE)</f>
        <v>212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6</v>
      </c>
      <c r="I140" s="231"/>
      <c r="J140" s="247">
        <f>IF(H140="","",LOG(H140))</f>
        <v>0.77815125038364363</v>
      </c>
      <c r="K140" s="247">
        <f>IF(J140="","",J140*F140)</f>
        <v>0.4684937350578196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5.2470890560491057</v>
      </c>
      <c r="K141" s="253">
        <f>IF(K140="","",SUM(K136:K140))</f>
        <v>1.2704809155958483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35.794583165069596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-2.64086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 t="e">
        <f>IF(J$142=0,0,ROUNDUP(D$140+E$142*(B147-B$140)^J$142,0))</f>
        <v>#DIV/0!</v>
      </c>
      <c r="E147" s="257"/>
      <c r="F147" s="205">
        <v>0</v>
      </c>
      <c r="G147" s="205"/>
      <c r="H147" s="205" t="e">
        <f t="shared" ref="H147:H168" si="6">ROUND(D147*(1+F147),0)</f>
        <v>#DIV/0!</v>
      </c>
      <c r="I147" s="205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ref="D148:D168" si="7">IF(J$142=0,0,ROUNDUP(D$136+E$142*(B148-B$136)^J$142,0))</f>
        <v>207</v>
      </c>
      <c r="E148" s="271"/>
      <c r="F148" s="272">
        <v>0</v>
      </c>
      <c r="G148" s="272"/>
      <c r="H148" s="272">
        <f t="shared" si="6"/>
        <v>207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7"/>
        <v>207</v>
      </c>
      <c r="E149" s="257"/>
      <c r="F149" s="258">
        <v>0</v>
      </c>
      <c r="G149" s="258"/>
      <c r="H149" s="258">
        <f t="shared" si="6"/>
        <v>207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7"/>
        <v>207</v>
      </c>
      <c r="E150" s="257"/>
      <c r="F150" s="258">
        <v>0</v>
      </c>
      <c r="G150" s="258"/>
      <c r="H150" s="258">
        <f t="shared" si="6"/>
        <v>207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7"/>
        <v>207</v>
      </c>
      <c r="E151" s="257"/>
      <c r="F151" s="258">
        <v>0</v>
      </c>
      <c r="G151" s="258"/>
      <c r="H151" s="258">
        <f t="shared" si="6"/>
        <v>207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7"/>
        <v>207</v>
      </c>
      <c r="E152" s="257"/>
      <c r="F152" s="258">
        <v>0</v>
      </c>
      <c r="G152" s="258"/>
      <c r="H152" s="258">
        <f t="shared" si="6"/>
        <v>207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7"/>
        <v>207</v>
      </c>
      <c r="E153" s="271"/>
      <c r="F153" s="272">
        <v>0</v>
      </c>
      <c r="G153" s="272"/>
      <c r="H153" s="272">
        <f t="shared" si="6"/>
        <v>207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7"/>
        <v>207</v>
      </c>
      <c r="E154" s="257"/>
      <c r="F154" s="258">
        <v>0</v>
      </c>
      <c r="G154" s="258"/>
      <c r="H154" s="258">
        <f t="shared" si="6"/>
        <v>207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7"/>
        <v>207</v>
      </c>
      <c r="E155" s="257"/>
      <c r="F155" s="258">
        <v>0</v>
      </c>
      <c r="G155" s="258"/>
      <c r="H155" s="258">
        <f t="shared" si="6"/>
        <v>207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7"/>
        <v>207</v>
      </c>
      <c r="E156" s="257"/>
      <c r="F156" s="258">
        <v>0</v>
      </c>
      <c r="G156" s="258"/>
      <c r="H156" s="258">
        <f t="shared" si="6"/>
        <v>207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7"/>
        <v>207</v>
      </c>
      <c r="E157" s="257"/>
      <c r="F157" s="258">
        <v>0</v>
      </c>
      <c r="G157" s="258"/>
      <c r="H157" s="258">
        <f t="shared" si="6"/>
        <v>207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7"/>
        <v>207</v>
      </c>
      <c r="E158" s="271"/>
      <c r="F158" s="272">
        <v>0</v>
      </c>
      <c r="G158" s="272"/>
      <c r="H158" s="272">
        <f t="shared" si="6"/>
        <v>207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7"/>
        <v>207</v>
      </c>
      <c r="E159" s="257"/>
      <c r="F159" s="258">
        <v>0</v>
      </c>
      <c r="G159" s="258"/>
      <c r="H159" s="258">
        <f t="shared" si="6"/>
        <v>207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7"/>
        <v>207</v>
      </c>
      <c r="E160" s="257"/>
      <c r="F160" s="258">
        <v>0</v>
      </c>
      <c r="G160" s="258"/>
      <c r="H160" s="258">
        <f t="shared" si="6"/>
        <v>207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7"/>
        <v>207</v>
      </c>
      <c r="E161" s="257"/>
      <c r="F161" s="258">
        <v>0</v>
      </c>
      <c r="G161" s="258"/>
      <c r="H161" s="258">
        <f t="shared" si="6"/>
        <v>207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7"/>
        <v>207</v>
      </c>
      <c r="E162" s="257"/>
      <c r="F162" s="258">
        <v>0</v>
      </c>
      <c r="G162" s="258"/>
      <c r="H162" s="258">
        <f t="shared" si="6"/>
        <v>207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7"/>
        <v>207</v>
      </c>
      <c r="E163" s="271"/>
      <c r="F163" s="272">
        <v>0</v>
      </c>
      <c r="G163" s="272"/>
      <c r="H163" s="272">
        <f t="shared" si="6"/>
        <v>207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7"/>
        <v>207</v>
      </c>
      <c r="E164" s="257"/>
      <c r="F164" s="258">
        <v>0</v>
      </c>
      <c r="G164" s="258"/>
      <c r="H164" s="258">
        <f t="shared" si="6"/>
        <v>207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7"/>
        <v>207</v>
      </c>
      <c r="E165" s="257"/>
      <c r="F165" s="258">
        <v>0</v>
      </c>
      <c r="G165" s="258"/>
      <c r="H165" s="258">
        <f t="shared" si="6"/>
        <v>207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7"/>
        <v>207</v>
      </c>
      <c r="E166" s="257"/>
      <c r="F166" s="258">
        <v>0</v>
      </c>
      <c r="G166" s="258"/>
      <c r="H166" s="258">
        <f t="shared" si="6"/>
        <v>207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7"/>
        <v>207</v>
      </c>
      <c r="E167" s="257"/>
      <c r="F167" s="258">
        <v>0</v>
      </c>
      <c r="G167" s="258"/>
      <c r="H167" s="258">
        <f t="shared" si="6"/>
        <v>207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7"/>
        <v>207</v>
      </c>
      <c r="E168" s="271"/>
      <c r="F168" s="272">
        <v>0</v>
      </c>
      <c r="G168" s="272"/>
      <c r="H168" s="272">
        <f t="shared" si="6"/>
        <v>207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600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204">
        <f>B136</f>
        <v>2010</v>
      </c>
      <c r="C180" s="204"/>
      <c r="D180" s="208">
        <f>VLOOKUP(B180,B$7:E$11,3,FALSE)</f>
        <v>206</v>
      </c>
      <c r="E180" s="244">
        <f>((COUNT(B$180:B$184)-1)/2)+(B180-$C$4)</f>
        <v>-2</v>
      </c>
      <c r="F180" s="206">
        <f>E180^2</f>
        <v>4</v>
      </c>
      <c r="G180" s="205">
        <f>E$177-D180</f>
        <v>394</v>
      </c>
      <c r="H180" s="259">
        <f>LOG(D180)</f>
        <v>2.3138672203691533</v>
      </c>
      <c r="I180" s="245">
        <f>LOG(G180)</f>
        <v>2.5954962218255742</v>
      </c>
      <c r="J180" s="246">
        <f>H180-I180</f>
        <v>-0.28162900145642089</v>
      </c>
      <c r="K180" s="246">
        <f>E180*J180</f>
        <v>0.56325800291284178</v>
      </c>
      <c r="L180" s="203"/>
      <c r="M180" s="203"/>
      <c r="N180" s="203"/>
      <c r="O180" s="203"/>
    </row>
    <row r="181" spans="1:15" ht="15" customHeight="1">
      <c r="A181" s="203"/>
      <c r="B181" s="204">
        <f>B137</f>
        <v>2011</v>
      </c>
      <c r="C181" s="204"/>
      <c r="D181" s="208">
        <f>VLOOKUP(B181,B$7:E$11,3,FALSE)</f>
        <v>574</v>
      </c>
      <c r="E181" s="244">
        <f>((COUNT(B$180:B$184)-1)/2)+(B181-$C$4)</f>
        <v>-1</v>
      </c>
      <c r="F181" s="206">
        <f>E181^2</f>
        <v>1</v>
      </c>
      <c r="G181" s="205">
        <f>E$177-D181</f>
        <v>26</v>
      </c>
      <c r="H181" s="259">
        <f>LOG(D181)</f>
        <v>2.7589118923979736</v>
      </c>
      <c r="I181" s="245">
        <f>LOG(G181)</f>
        <v>1.414973347970818</v>
      </c>
      <c r="J181" s="246">
        <f>H181-I181</f>
        <v>1.3439385444271557</v>
      </c>
      <c r="K181" s="246">
        <f>E181*J181</f>
        <v>-1.3439385444271557</v>
      </c>
      <c r="L181" s="203"/>
      <c r="M181" s="203"/>
      <c r="N181" s="203"/>
      <c r="O181" s="203"/>
    </row>
    <row r="182" spans="1:15" ht="15" customHeight="1">
      <c r="A182" s="203"/>
      <c r="B182" s="204">
        <f>B138</f>
        <v>2012</v>
      </c>
      <c r="C182" s="204"/>
      <c r="D182" s="208">
        <f>VLOOKUP(B182,B$7:E$11,3,FALSE)</f>
        <v>210</v>
      </c>
      <c r="E182" s="244">
        <f>((COUNT(B$180:B$184)-1)/2)+(B182-$C$4)</f>
        <v>0</v>
      </c>
      <c r="F182" s="206">
        <f>E182^2</f>
        <v>0</v>
      </c>
      <c r="G182" s="205">
        <f>E$177-D182</f>
        <v>390</v>
      </c>
      <c r="H182" s="259">
        <f>LOG(D182)</f>
        <v>2.3222192947339191</v>
      </c>
      <c r="I182" s="245">
        <f>LOG(G182)</f>
        <v>2.5910646070264991</v>
      </c>
      <c r="J182" s="246">
        <f>H182-I182</f>
        <v>-0.26884531229258002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204">
        <f>B139</f>
        <v>2013</v>
      </c>
      <c r="C183" s="204"/>
      <c r="D183" s="208">
        <f>VLOOKUP(B183,B$7:E$11,3,FALSE)</f>
        <v>226</v>
      </c>
      <c r="E183" s="244">
        <f>((COUNT(B$180:B$184)-1)/2)+(B183-$C$4)</f>
        <v>1</v>
      </c>
      <c r="F183" s="206">
        <f>E183^2</f>
        <v>1</v>
      </c>
      <c r="G183" s="205">
        <f>E$177-D183</f>
        <v>374</v>
      </c>
      <c r="H183" s="259">
        <f>LOG(D183)</f>
        <v>2.3541084391474008</v>
      </c>
      <c r="I183" s="245">
        <f>LOG(G183)</f>
        <v>2.5728716022004803</v>
      </c>
      <c r="J183" s="246">
        <f>H183-I183</f>
        <v>-0.21876316305307952</v>
      </c>
      <c r="K183" s="246">
        <f>E183*J183</f>
        <v>-0.21876316305307952</v>
      </c>
      <c r="L183" s="203"/>
      <c r="M183" s="203"/>
      <c r="N183" s="203"/>
      <c r="O183" s="203"/>
    </row>
    <row r="184" spans="1:15" ht="15" customHeight="1">
      <c r="A184" s="203"/>
      <c r="B184" s="204">
        <f>B140</f>
        <v>2014</v>
      </c>
      <c r="C184" s="204"/>
      <c r="D184" s="208">
        <f>VLOOKUP(B184,B$7:E$11,3,FALSE)</f>
        <v>212</v>
      </c>
      <c r="E184" s="244">
        <f>((COUNT(B$180:B$184)-1)/2)+(B184-$C$4)</f>
        <v>2</v>
      </c>
      <c r="F184" s="206">
        <f>E184^2</f>
        <v>4</v>
      </c>
      <c r="G184" s="205">
        <f>E$177-D184</f>
        <v>388</v>
      </c>
      <c r="H184" s="259">
        <f>LOG(D184)</f>
        <v>2.3263358609287512</v>
      </c>
      <c r="I184" s="245">
        <f>LOG(G184)</f>
        <v>2.5888317255942073</v>
      </c>
      <c r="J184" s="246">
        <f>H184-I184</f>
        <v>-0.26249586466545605</v>
      </c>
      <c r="K184" s="246">
        <f>E184*J184</f>
        <v>-0.52499172933091209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1428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0.31220520295961918</v>
      </c>
      <c r="K185" s="263">
        <f>SUM(K180:K184)</f>
        <v>-1.5244354338983055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-0.14377999999999999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-0.35101399999999999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116</v>
      </c>
      <c r="E192" s="208"/>
      <c r="F192" s="208">
        <v>0</v>
      </c>
      <c r="G192" s="208"/>
      <c r="H192" s="208">
        <f t="shared" ref="H192:H213" si="9">ROUND(D192*(1+F192),0)</f>
        <v>116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87</v>
      </c>
      <c r="E193" s="269"/>
      <c r="F193" s="269">
        <v>0</v>
      </c>
      <c r="G193" s="269"/>
      <c r="H193" s="269">
        <f t="shared" si="9"/>
        <v>87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64</v>
      </c>
      <c r="E194" s="221"/>
      <c r="F194" s="221">
        <v>0</v>
      </c>
      <c r="G194" s="221"/>
      <c r="H194" s="221">
        <f t="shared" si="9"/>
        <v>64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46</v>
      </c>
      <c r="E195" s="221"/>
      <c r="F195" s="221">
        <v>0</v>
      </c>
      <c r="G195" s="221"/>
      <c r="H195" s="221">
        <f t="shared" si="9"/>
        <v>46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34</v>
      </c>
      <c r="E196" s="221"/>
      <c r="F196" s="221">
        <v>0</v>
      </c>
      <c r="G196" s="221"/>
      <c r="H196" s="221">
        <f t="shared" si="9"/>
        <v>34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24</v>
      </c>
      <c r="E197" s="221"/>
      <c r="F197" s="221">
        <v>0</v>
      </c>
      <c r="G197" s="221"/>
      <c r="H197" s="221">
        <f t="shared" si="9"/>
        <v>24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17</v>
      </c>
      <c r="E198" s="269"/>
      <c r="F198" s="269">
        <v>0</v>
      </c>
      <c r="G198" s="269"/>
      <c r="H198" s="269">
        <f t="shared" si="9"/>
        <v>17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12</v>
      </c>
      <c r="E199" s="221"/>
      <c r="F199" s="221">
        <v>0</v>
      </c>
      <c r="G199" s="221"/>
      <c r="H199" s="221">
        <f t="shared" si="9"/>
        <v>12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9</v>
      </c>
      <c r="E200" s="221"/>
      <c r="F200" s="221">
        <v>0</v>
      </c>
      <c r="G200" s="221"/>
      <c r="H200" s="221">
        <f t="shared" si="9"/>
        <v>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7</v>
      </c>
      <c r="E201" s="221"/>
      <c r="F201" s="221">
        <v>0</v>
      </c>
      <c r="G201" s="221"/>
      <c r="H201" s="221">
        <f t="shared" si="9"/>
        <v>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5</v>
      </c>
      <c r="E202" s="221"/>
      <c r="F202" s="221">
        <v>0</v>
      </c>
      <c r="G202" s="221"/>
      <c r="H202" s="221">
        <f t="shared" si="9"/>
        <v>5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3</v>
      </c>
      <c r="E203" s="269"/>
      <c r="F203" s="269">
        <v>0</v>
      </c>
      <c r="G203" s="269"/>
      <c r="H203" s="269">
        <f t="shared" si="9"/>
        <v>3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3</v>
      </c>
      <c r="E204" s="221"/>
      <c r="F204" s="221">
        <v>0</v>
      </c>
      <c r="G204" s="221"/>
      <c r="H204" s="221">
        <f t="shared" si="9"/>
        <v>3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2</v>
      </c>
      <c r="E205" s="221"/>
      <c r="F205" s="221">
        <v>0</v>
      </c>
      <c r="G205" s="221"/>
      <c r="H205" s="221">
        <f t="shared" si="9"/>
        <v>2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2</v>
      </c>
      <c r="E206" s="221"/>
      <c r="F206" s="221">
        <v>0</v>
      </c>
      <c r="G206" s="221"/>
      <c r="H206" s="221">
        <f t="shared" si="9"/>
        <v>2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1</v>
      </c>
      <c r="E207" s="221"/>
      <c r="F207" s="221">
        <v>0</v>
      </c>
      <c r="G207" s="221"/>
      <c r="H207" s="221">
        <f t="shared" si="9"/>
        <v>1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1</v>
      </c>
      <c r="E208" s="269"/>
      <c r="F208" s="269">
        <v>0</v>
      </c>
      <c r="G208" s="269"/>
      <c r="H208" s="269">
        <f t="shared" si="9"/>
        <v>1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1</v>
      </c>
      <c r="E209" s="221"/>
      <c r="F209" s="221">
        <v>0</v>
      </c>
      <c r="G209" s="221"/>
      <c r="H209" s="221">
        <f t="shared" si="9"/>
        <v>1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1</v>
      </c>
      <c r="E210" s="221"/>
      <c r="F210" s="221">
        <v>0</v>
      </c>
      <c r="G210" s="221"/>
      <c r="H210" s="221">
        <f t="shared" si="9"/>
        <v>1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1</v>
      </c>
      <c r="E211" s="221"/>
      <c r="F211" s="221">
        <v>0</v>
      </c>
      <c r="G211" s="221"/>
      <c r="H211" s="221">
        <f t="shared" si="9"/>
        <v>1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1</v>
      </c>
      <c r="E212" s="221"/>
      <c r="F212" s="221">
        <v>0</v>
      </c>
      <c r="G212" s="221"/>
      <c r="H212" s="221">
        <f t="shared" si="9"/>
        <v>1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1</v>
      </c>
      <c r="E213" s="269"/>
      <c r="F213" s="269">
        <v>0</v>
      </c>
      <c r="G213" s="269"/>
      <c r="H213" s="269">
        <f t="shared" si="9"/>
        <v>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212</v>
      </c>
      <c r="E221" s="257">
        <f t="array" ref="E221">IF(B55=B221,H55)</f>
        <v>212</v>
      </c>
      <c r="F221" s="257">
        <f t="array" ref="F221">IF(B105=B221,H105)</f>
        <v>219</v>
      </c>
      <c r="G221" s="257" t="e">
        <f t="array" ref="G221">IF(B147=B221,H147)</f>
        <v>#DIV/0!</v>
      </c>
      <c r="H221" s="257">
        <f t="array" ref="H221">IF(B192=B221,H192)</f>
        <v>116</v>
      </c>
      <c r="I221" s="257" t="e">
        <f t="shared" ref="I221:I242" si="10">IF(G221=0,AVERAGE(D221,E221,F221,H221),AVERAGE(D221:H221))</f>
        <v>#DIV/0!</v>
      </c>
      <c r="J221" s="266" t="e">
        <f t="shared" ref="J221:J242" si="11">ROUND(AVERAGE(D221,F221:G221),0)</f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214</v>
      </c>
      <c r="E222" s="271">
        <f t="array" ref="E222">IF(B56=B222,H56)</f>
        <v>214</v>
      </c>
      <c r="F222" s="271">
        <f t="array" ref="F222">IF(B106=B222,H106)</f>
        <v>186</v>
      </c>
      <c r="G222" s="271">
        <f t="array" ref="G222">IF(B148=B222,H148)</f>
        <v>207</v>
      </c>
      <c r="H222" s="271">
        <f t="array" ref="H222">IF(B193=B222,H193)</f>
        <v>87</v>
      </c>
      <c r="I222" s="271">
        <f t="shared" si="10"/>
        <v>181.6</v>
      </c>
      <c r="J222" s="273">
        <f t="shared" si="11"/>
        <v>202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215</v>
      </c>
      <c r="E223" s="257">
        <f t="array" ref="E223">IF(B57=B223,H57)</f>
        <v>215</v>
      </c>
      <c r="F223" s="257">
        <f t="array" ref="F223">IF(B107=B223,H107)</f>
        <v>152</v>
      </c>
      <c r="G223" s="257">
        <f t="array" ref="G223">IF(B149=B223,H149)</f>
        <v>207</v>
      </c>
      <c r="H223" s="257">
        <f t="array" ref="H223">IF(B194=B223,H194)</f>
        <v>64</v>
      </c>
      <c r="I223" s="257">
        <f t="shared" si="10"/>
        <v>170.6</v>
      </c>
      <c r="J223" s="266">
        <f t="shared" si="11"/>
        <v>191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217</v>
      </c>
      <c r="E224" s="257">
        <f t="array" ref="E224">IF(B58=B224,H58)</f>
        <v>217</v>
      </c>
      <c r="F224" s="257">
        <f t="array" ref="F224">IF(B108=B224,H108)</f>
        <v>118</v>
      </c>
      <c r="G224" s="257">
        <f t="array" ref="G224">IF(B150=B224,H150)</f>
        <v>207</v>
      </c>
      <c r="H224" s="257">
        <f t="array" ref="H224">IF(B195=B224,H195)</f>
        <v>46</v>
      </c>
      <c r="I224" s="257">
        <f t="shared" si="10"/>
        <v>161</v>
      </c>
      <c r="J224" s="266">
        <f t="shared" si="11"/>
        <v>181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218</v>
      </c>
      <c r="E225" s="257">
        <f t="array" ref="E225">IF(B59=B225,H59)</f>
        <v>218</v>
      </c>
      <c r="F225" s="257">
        <f t="array" ref="F225">IF(B109=B225,H109)</f>
        <v>85</v>
      </c>
      <c r="G225" s="257">
        <f t="array" ref="G225">IF(B151=B225,H151)</f>
        <v>207</v>
      </c>
      <c r="H225" s="257">
        <f t="array" ref="H225">IF(B196=B225,H196)</f>
        <v>34</v>
      </c>
      <c r="I225" s="257">
        <f t="shared" si="10"/>
        <v>152.4</v>
      </c>
      <c r="J225" s="266">
        <f t="shared" si="11"/>
        <v>170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220</v>
      </c>
      <c r="E226" s="257">
        <f t="array" ref="E226">IF(B60=B226,H60)</f>
        <v>220</v>
      </c>
      <c r="F226" s="257">
        <f t="array" ref="F226">IF(B110=B226,H110)</f>
        <v>51</v>
      </c>
      <c r="G226" s="257">
        <f t="array" ref="G226">IF(B152=B226,H152)</f>
        <v>207</v>
      </c>
      <c r="H226" s="257">
        <f t="array" ref="H226">IF(B197=B226,H197)</f>
        <v>24</v>
      </c>
      <c r="I226" s="257">
        <f t="shared" si="10"/>
        <v>144.4</v>
      </c>
      <c r="J226" s="266">
        <f t="shared" si="11"/>
        <v>159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221</v>
      </c>
      <c r="E227" s="271">
        <f t="array" ref="E227">IF(B61=B227,H61)</f>
        <v>221</v>
      </c>
      <c r="F227" s="271">
        <f t="array" ref="F227">IF(B111=B227,H111)</f>
        <v>18</v>
      </c>
      <c r="G227" s="271">
        <f t="array" ref="G227">IF(B153=B227,H153)</f>
        <v>207</v>
      </c>
      <c r="H227" s="271">
        <f t="array" ref="H227">IF(B198=B227,H198)</f>
        <v>17</v>
      </c>
      <c r="I227" s="271">
        <f t="shared" si="10"/>
        <v>136.80000000000001</v>
      </c>
      <c r="J227" s="273">
        <f t="shared" si="11"/>
        <v>149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223</v>
      </c>
      <c r="E228" s="257">
        <f t="array" ref="E228">IF(B62=B228,H62)</f>
        <v>223</v>
      </c>
      <c r="F228" s="257">
        <f t="array" ref="F228">IF(B112=B228,H112)</f>
        <v>-17</v>
      </c>
      <c r="G228" s="257">
        <f t="array" ref="G228">IF(B154=B228,H154)</f>
        <v>207</v>
      </c>
      <c r="H228" s="257">
        <f t="array" ref="H228">IF(B199=B228,H199)</f>
        <v>12</v>
      </c>
      <c r="I228" s="257">
        <f t="shared" si="10"/>
        <v>129.6</v>
      </c>
      <c r="J228" s="266">
        <f t="shared" si="11"/>
        <v>138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224</v>
      </c>
      <c r="E229" s="257">
        <f t="array" ref="E229">IF(B63=B229,H63)</f>
        <v>225</v>
      </c>
      <c r="F229" s="257">
        <f t="array" ref="F229">IF(B113=B229,H113)</f>
        <v>-50</v>
      </c>
      <c r="G229" s="257">
        <f t="array" ref="G229">IF(B155=B229,H155)</f>
        <v>207</v>
      </c>
      <c r="H229" s="257">
        <f t="array" ref="H229">IF(B200=B229,H200)</f>
        <v>9</v>
      </c>
      <c r="I229" s="257">
        <f t="shared" si="10"/>
        <v>123</v>
      </c>
      <c r="J229" s="266">
        <f t="shared" si="11"/>
        <v>127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226</v>
      </c>
      <c r="E230" s="257">
        <f t="array" ref="E230">IF(B64=B230,H64)</f>
        <v>226</v>
      </c>
      <c r="F230" s="257">
        <f t="array" ref="F230">IF(B114=B230,H114)</f>
        <v>-84</v>
      </c>
      <c r="G230" s="257">
        <f t="array" ref="G230">IF(B156=B230,H156)</f>
        <v>207</v>
      </c>
      <c r="H230" s="257">
        <f t="array" ref="H230">IF(B201=B230,H201)</f>
        <v>7</v>
      </c>
      <c r="I230" s="257">
        <f t="shared" si="10"/>
        <v>116.4</v>
      </c>
      <c r="J230" s="266">
        <f t="shared" si="11"/>
        <v>116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227</v>
      </c>
      <c r="E231" s="257">
        <f t="array" ref="E231">IF(B65=B231,H65)</f>
        <v>228</v>
      </c>
      <c r="F231" s="257">
        <f t="array" ref="F231">IF(B115=B231,H115)</f>
        <v>-118</v>
      </c>
      <c r="G231" s="257">
        <f t="array" ref="G231">IF(B157=B231,H157)</f>
        <v>207</v>
      </c>
      <c r="H231" s="257">
        <f t="array" ref="H231">IF(B202=B231,H202)</f>
        <v>5</v>
      </c>
      <c r="I231" s="257">
        <f t="shared" si="10"/>
        <v>109.8</v>
      </c>
      <c r="J231" s="266">
        <f t="shared" si="11"/>
        <v>105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229</v>
      </c>
      <c r="E232" s="271">
        <f t="array" ref="E232">IF(B66=B232,H66)</f>
        <v>229</v>
      </c>
      <c r="F232" s="271">
        <f t="array" ref="F232">IF(B116=B232,H116)</f>
        <v>-151</v>
      </c>
      <c r="G232" s="271">
        <f t="array" ref="G232">IF(B158=B232,H158)</f>
        <v>207</v>
      </c>
      <c r="H232" s="271">
        <f t="array" ref="H232">IF(B203=B232,H203)</f>
        <v>3</v>
      </c>
      <c r="I232" s="271">
        <f t="shared" si="10"/>
        <v>103.4</v>
      </c>
      <c r="J232" s="273">
        <f t="shared" si="11"/>
        <v>95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230</v>
      </c>
      <c r="E233" s="257">
        <f t="array" ref="E233">IF(B67=B233,H67)</f>
        <v>231</v>
      </c>
      <c r="F233" s="257">
        <f t="array" ref="F233">IF(B117=B233,H117)</f>
        <v>-185</v>
      </c>
      <c r="G233" s="257">
        <f t="array" ref="G233">IF(B159=B233,H159)</f>
        <v>207</v>
      </c>
      <c r="H233" s="257">
        <f t="array" ref="H233">IF(B204=B233,H204)</f>
        <v>3</v>
      </c>
      <c r="I233" s="257">
        <f t="shared" si="10"/>
        <v>97.2</v>
      </c>
      <c r="J233" s="266">
        <f t="shared" si="11"/>
        <v>84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232</v>
      </c>
      <c r="E234" s="257">
        <f t="array" ref="E234">IF(B68=B234,H68)</f>
        <v>233</v>
      </c>
      <c r="F234" s="257">
        <f t="array" ref="F234">IF(B118=B234,H118)</f>
        <v>-218</v>
      </c>
      <c r="G234" s="257">
        <f t="array" ref="G234">IF(B160=B234,H160)</f>
        <v>207</v>
      </c>
      <c r="H234" s="257">
        <f t="array" ref="H234">IF(B205=B234,H205)</f>
        <v>2</v>
      </c>
      <c r="I234" s="257">
        <f t="shared" si="10"/>
        <v>91.2</v>
      </c>
      <c r="J234" s="266">
        <f t="shared" si="11"/>
        <v>74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233</v>
      </c>
      <c r="E235" s="257">
        <f t="array" ref="E235">IF(B69=B235,H69)</f>
        <v>234</v>
      </c>
      <c r="F235" s="257">
        <f t="array" ref="F235">IF(B119=B235,H119)</f>
        <v>-252</v>
      </c>
      <c r="G235" s="257">
        <f t="array" ref="G235">IF(B161=B235,H161)</f>
        <v>207</v>
      </c>
      <c r="H235" s="257">
        <f t="array" ref="H235">IF(B206=B235,H206)</f>
        <v>2</v>
      </c>
      <c r="I235" s="257">
        <f t="shared" si="10"/>
        <v>84.8</v>
      </c>
      <c r="J235" s="266">
        <f t="shared" si="11"/>
        <v>63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235</v>
      </c>
      <c r="E236" s="257">
        <f t="array" ref="E236">IF(B70=B236,H70)</f>
        <v>236</v>
      </c>
      <c r="F236" s="257">
        <f t="array" ref="F236">IF(B120=B236,H120)</f>
        <v>-286</v>
      </c>
      <c r="G236" s="257">
        <f t="array" ref="G236">IF(B162=B236,H162)</f>
        <v>207</v>
      </c>
      <c r="H236" s="257">
        <f t="array" ref="H236">IF(B207=B236,H207)</f>
        <v>1</v>
      </c>
      <c r="I236" s="257">
        <f t="shared" si="10"/>
        <v>78.599999999999994</v>
      </c>
      <c r="J236" s="266">
        <f t="shared" si="11"/>
        <v>52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236</v>
      </c>
      <c r="E237" s="271">
        <f t="array" ref="E237">IF(B71=B237,H71)</f>
        <v>238</v>
      </c>
      <c r="F237" s="271">
        <f t="array" ref="F237">IF(B121=B237,H121)</f>
        <v>-319</v>
      </c>
      <c r="G237" s="271">
        <f t="array" ref="G237">IF(B163=B237,H163)</f>
        <v>207</v>
      </c>
      <c r="H237" s="271">
        <f t="array" ref="H237">IF(B208=B237,H208)</f>
        <v>1</v>
      </c>
      <c r="I237" s="271">
        <f t="shared" si="10"/>
        <v>72.599999999999994</v>
      </c>
      <c r="J237" s="273">
        <f t="shared" si="11"/>
        <v>41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238</v>
      </c>
      <c r="E238" s="257">
        <f t="array" ref="E238">IF(B72=B238,H72)</f>
        <v>240</v>
      </c>
      <c r="F238" s="257">
        <f t="array" ref="F238">IF(B122=B238,H122)</f>
        <v>-353</v>
      </c>
      <c r="G238" s="257">
        <f t="array" ref="G238">IF(B164=B238,H164)</f>
        <v>207</v>
      </c>
      <c r="H238" s="257">
        <f t="array" ref="H238">IF(B209=B238,H209)</f>
        <v>1</v>
      </c>
      <c r="I238" s="257">
        <f t="shared" si="10"/>
        <v>66.599999999999994</v>
      </c>
      <c r="J238" s="266">
        <f t="shared" si="11"/>
        <v>31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239</v>
      </c>
      <c r="E239" s="257">
        <f t="array" ref="E239">IF(B73=B239,H73)</f>
        <v>241</v>
      </c>
      <c r="F239" s="257">
        <f t="array" ref="F239">IF(B123=B239,H123)</f>
        <v>-386</v>
      </c>
      <c r="G239" s="257">
        <f t="array" ref="G239">IF(B165=B239,H165)</f>
        <v>207</v>
      </c>
      <c r="H239" s="257">
        <f t="array" ref="H239">IF(B210=B239,H210)</f>
        <v>1</v>
      </c>
      <c r="I239" s="257">
        <f t="shared" si="10"/>
        <v>60.4</v>
      </c>
      <c r="J239" s="266">
        <f t="shared" si="11"/>
        <v>20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241</v>
      </c>
      <c r="E240" s="257">
        <f t="array" ref="E240">IF(B74=B240,H74)</f>
        <v>243</v>
      </c>
      <c r="F240" s="257">
        <f t="array" ref="F240">IF(B124=B240,H124)</f>
        <v>-420</v>
      </c>
      <c r="G240" s="257">
        <f t="array" ref="G240">IF(B166=B240,H166)</f>
        <v>207</v>
      </c>
      <c r="H240" s="257">
        <f t="array" ref="H240">IF(B211=B240,H211)</f>
        <v>1</v>
      </c>
      <c r="I240" s="257">
        <f t="shared" si="10"/>
        <v>54.4</v>
      </c>
      <c r="J240" s="266">
        <f t="shared" si="11"/>
        <v>9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242</v>
      </c>
      <c r="E241" s="257">
        <f t="array" ref="E241">IF(B75=B241,H75)</f>
        <v>245</v>
      </c>
      <c r="F241" s="257">
        <f t="array" ref="F241">IF(B125=B241,H125)</f>
        <v>-454</v>
      </c>
      <c r="G241" s="257">
        <f t="array" ref="G241">IF(B167=B241,H167)</f>
        <v>207</v>
      </c>
      <c r="H241" s="257">
        <f t="array" ref="H241">IF(B212=B241,H212)</f>
        <v>1</v>
      </c>
      <c r="I241" s="257">
        <f t="shared" si="10"/>
        <v>48.2</v>
      </c>
      <c r="J241" s="266">
        <f t="shared" si="11"/>
        <v>-2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244</v>
      </c>
      <c r="E242" s="271">
        <f t="array" ref="E242">IF(B76=B242,H76)</f>
        <v>246</v>
      </c>
      <c r="F242" s="271">
        <f t="array" ref="F242">IF(B126=B242,H126)</f>
        <v>-487</v>
      </c>
      <c r="G242" s="271">
        <f t="array" ref="G242">IF(B168=B242,H168)</f>
        <v>207</v>
      </c>
      <c r="H242" s="271">
        <f t="array" ref="H242">IF(B213=B242,H213)</f>
        <v>1</v>
      </c>
      <c r="I242" s="271">
        <f t="shared" si="10"/>
        <v>42.2</v>
      </c>
      <c r="J242" s="273">
        <f t="shared" si="11"/>
        <v>-12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1325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1781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2005</v>
      </c>
      <c r="C7" s="840"/>
      <c r="D7" s="844">
        <f>상수도사용원단위!I4</f>
        <v>0</v>
      </c>
      <c r="E7" s="844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2006</v>
      </c>
      <c r="C8" s="840"/>
      <c r="D8" s="844">
        <f>상수도사용원단위!I5</f>
        <v>0</v>
      </c>
      <c r="E8" s="844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ref="B9:B16" si="1">+B8+1</f>
        <v>2007</v>
      </c>
      <c r="C9" s="840"/>
      <c r="D9" s="844">
        <f>상수도사용원단위!I6</f>
        <v>70</v>
      </c>
      <c r="E9" s="844"/>
      <c r="F9" s="206">
        <f t="shared" si="0"/>
        <v>70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1"/>
        <v>2008</v>
      </c>
      <c r="C10" s="840"/>
      <c r="D10" s="844">
        <f>상수도사용원단위!I7</f>
        <v>76</v>
      </c>
      <c r="E10" s="844"/>
      <c r="F10" s="206">
        <f t="shared" si="0"/>
        <v>6</v>
      </c>
      <c r="G10" s="206"/>
      <c r="H10" s="207">
        <f t="shared" ref="H10:H16" si="2">ROUND(F10/D9*100,2)</f>
        <v>8.57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1"/>
        <v>2009</v>
      </c>
      <c r="C11" s="840"/>
      <c r="D11" s="844">
        <f>상수도사용원단위!I8</f>
        <v>73</v>
      </c>
      <c r="E11" s="844"/>
      <c r="F11" s="206">
        <f t="shared" si="0"/>
        <v>-3</v>
      </c>
      <c r="G11" s="206"/>
      <c r="H11" s="207">
        <f t="shared" si="2"/>
        <v>-3.95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1"/>
        <v>2010</v>
      </c>
      <c r="C12" s="840"/>
      <c r="D12" s="844">
        <f>상수도사용원단위!I9</f>
        <v>96</v>
      </c>
      <c r="E12" s="844"/>
      <c r="F12" s="206">
        <f t="shared" si="0"/>
        <v>23</v>
      </c>
      <c r="G12" s="206"/>
      <c r="H12" s="207">
        <f t="shared" si="2"/>
        <v>31.51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840">
        <f t="shared" si="1"/>
        <v>2011</v>
      </c>
      <c r="C13" s="840"/>
      <c r="D13" s="844">
        <f>상수도사용원단위!I10</f>
        <v>123</v>
      </c>
      <c r="E13" s="844"/>
      <c r="F13" s="206">
        <f t="shared" si="0"/>
        <v>27</v>
      </c>
      <c r="G13" s="206"/>
      <c r="H13" s="207">
        <f t="shared" si="2"/>
        <v>28.13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840">
        <f t="shared" si="1"/>
        <v>2012</v>
      </c>
      <c r="C14" s="840"/>
      <c r="D14" s="844">
        <f>상수도사용원단위!I11</f>
        <v>240</v>
      </c>
      <c r="E14" s="844"/>
      <c r="F14" s="206">
        <f t="shared" si="0"/>
        <v>117</v>
      </c>
      <c r="G14" s="206"/>
      <c r="H14" s="207">
        <f t="shared" si="2"/>
        <v>95.12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840">
        <f t="shared" si="1"/>
        <v>2013</v>
      </c>
      <c r="C15" s="840"/>
      <c r="D15" s="844">
        <f>상수도사용원단위!I12</f>
        <v>214</v>
      </c>
      <c r="E15" s="844"/>
      <c r="F15" s="206">
        <f t="shared" si="0"/>
        <v>-26</v>
      </c>
      <c r="G15" s="206"/>
      <c r="H15" s="207">
        <f t="shared" si="2"/>
        <v>-10.83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840">
        <f t="shared" si="1"/>
        <v>2014</v>
      </c>
      <c r="C16" s="840"/>
      <c r="D16" s="844">
        <f>상수도사용원단위!I13</f>
        <v>187</v>
      </c>
      <c r="E16" s="844"/>
      <c r="F16" s="206">
        <f t="shared" si="0"/>
        <v>-27</v>
      </c>
      <c r="G16" s="206"/>
      <c r="H16" s="207">
        <f t="shared" si="2"/>
        <v>-12.62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1079</v>
      </c>
      <c r="E17" s="214"/>
      <c r="F17" s="215"/>
      <c r="G17" s="215"/>
      <c r="H17" s="216">
        <f>SUM(H7:H16)</f>
        <v>135.92999999999998</v>
      </c>
      <c r="I17" s="216"/>
      <c r="J17" s="217">
        <f>ROUND(AVERAGE(H8:H16),1)</f>
        <v>15.1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3">ROUND(E$48+H$48*(B26-$C$4),0)</f>
        <v>187</v>
      </c>
      <c r="E26" s="221"/>
      <c r="F26" s="221">
        <v>0</v>
      </c>
      <c r="G26" s="221"/>
      <c r="H26" s="221">
        <f t="shared" ref="H26:H47" si="4">ROUND(D26*(1+F26),0)</f>
        <v>187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3"/>
        <v>208</v>
      </c>
      <c r="E27" s="269"/>
      <c r="F27" s="269">
        <v>0</v>
      </c>
      <c r="G27" s="269"/>
      <c r="H27" s="269">
        <f t="shared" si="4"/>
        <v>208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3"/>
        <v>229</v>
      </c>
      <c r="E28" s="221"/>
      <c r="F28" s="221">
        <v>0</v>
      </c>
      <c r="G28" s="221"/>
      <c r="H28" s="221">
        <f t="shared" si="4"/>
        <v>229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3"/>
        <v>249</v>
      </c>
      <c r="E29" s="221"/>
      <c r="F29" s="221">
        <v>0</v>
      </c>
      <c r="G29" s="221"/>
      <c r="H29" s="221">
        <f t="shared" si="4"/>
        <v>249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3"/>
        <v>270</v>
      </c>
      <c r="E30" s="221"/>
      <c r="F30" s="221">
        <v>0</v>
      </c>
      <c r="G30" s="221"/>
      <c r="H30" s="221">
        <f t="shared" si="4"/>
        <v>270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3"/>
        <v>291</v>
      </c>
      <c r="E31" s="221"/>
      <c r="F31" s="221">
        <v>0</v>
      </c>
      <c r="G31" s="221"/>
      <c r="H31" s="221">
        <f t="shared" si="4"/>
        <v>291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3"/>
        <v>312</v>
      </c>
      <c r="E32" s="269"/>
      <c r="F32" s="269">
        <v>0</v>
      </c>
      <c r="G32" s="269"/>
      <c r="H32" s="269">
        <f t="shared" si="4"/>
        <v>312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3"/>
        <v>333</v>
      </c>
      <c r="E33" s="221"/>
      <c r="F33" s="221">
        <v>0</v>
      </c>
      <c r="G33" s="221"/>
      <c r="H33" s="221">
        <f t="shared" si="4"/>
        <v>333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3"/>
        <v>353</v>
      </c>
      <c r="E34" s="221"/>
      <c r="F34" s="221">
        <v>0</v>
      </c>
      <c r="G34" s="221"/>
      <c r="H34" s="221">
        <f t="shared" si="4"/>
        <v>353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3"/>
        <v>374</v>
      </c>
      <c r="E35" s="221"/>
      <c r="F35" s="221">
        <v>0</v>
      </c>
      <c r="G35" s="221"/>
      <c r="H35" s="221">
        <f t="shared" si="4"/>
        <v>374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3"/>
        <v>395</v>
      </c>
      <c r="E36" s="221"/>
      <c r="F36" s="221">
        <v>0</v>
      </c>
      <c r="G36" s="221"/>
      <c r="H36" s="221">
        <f t="shared" si="4"/>
        <v>395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3"/>
        <v>416</v>
      </c>
      <c r="E37" s="269"/>
      <c r="F37" s="269">
        <v>0</v>
      </c>
      <c r="G37" s="269"/>
      <c r="H37" s="269">
        <f t="shared" si="4"/>
        <v>416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3"/>
        <v>437</v>
      </c>
      <c r="E38" s="221"/>
      <c r="F38" s="221">
        <v>0</v>
      </c>
      <c r="G38" s="221"/>
      <c r="H38" s="221">
        <f t="shared" si="4"/>
        <v>437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3"/>
        <v>457</v>
      </c>
      <c r="E39" s="221"/>
      <c r="F39" s="221">
        <v>0</v>
      </c>
      <c r="G39" s="221"/>
      <c r="H39" s="221">
        <f t="shared" si="4"/>
        <v>457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3"/>
        <v>478</v>
      </c>
      <c r="E40" s="221"/>
      <c r="F40" s="221">
        <v>0</v>
      </c>
      <c r="G40" s="221"/>
      <c r="H40" s="221">
        <f t="shared" si="4"/>
        <v>478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3"/>
        <v>499</v>
      </c>
      <c r="E41" s="221"/>
      <c r="F41" s="221">
        <v>0</v>
      </c>
      <c r="G41" s="221"/>
      <c r="H41" s="221">
        <f t="shared" si="4"/>
        <v>499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3"/>
        <v>520</v>
      </c>
      <c r="E42" s="269"/>
      <c r="F42" s="269">
        <v>0</v>
      </c>
      <c r="G42" s="269"/>
      <c r="H42" s="269">
        <f t="shared" si="4"/>
        <v>520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3"/>
        <v>541</v>
      </c>
      <c r="E43" s="221"/>
      <c r="F43" s="221">
        <v>0</v>
      </c>
      <c r="G43" s="221"/>
      <c r="H43" s="221">
        <f t="shared" si="4"/>
        <v>541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3"/>
        <v>561</v>
      </c>
      <c r="E44" s="221"/>
      <c r="F44" s="221">
        <v>0</v>
      </c>
      <c r="G44" s="221"/>
      <c r="H44" s="221">
        <f t="shared" si="4"/>
        <v>561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3"/>
        <v>582</v>
      </c>
      <c r="E45" s="221"/>
      <c r="F45" s="221">
        <v>0</v>
      </c>
      <c r="G45" s="221"/>
      <c r="H45" s="221">
        <f t="shared" si="4"/>
        <v>582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3"/>
        <v>603</v>
      </c>
      <c r="E46" s="221"/>
      <c r="F46" s="221">
        <v>0</v>
      </c>
      <c r="G46" s="221"/>
      <c r="H46" s="221">
        <f t="shared" si="4"/>
        <v>603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3"/>
        <v>624</v>
      </c>
      <c r="E47" s="269"/>
      <c r="F47" s="269">
        <v>0</v>
      </c>
      <c r="G47" s="269"/>
      <c r="H47" s="269">
        <f t="shared" si="4"/>
        <v>624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187</v>
      </c>
      <c r="F48" s="226"/>
      <c r="G48" s="224" t="s">
        <v>162</v>
      </c>
      <c r="H48" s="224">
        <f>ROUND((D$16-D$7)/(COUNT(D$7:D$16)-1),1)</f>
        <v>20.8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5">ROUND(E$82*H$82^(B60-$C$4),0)</f>
        <v>187</v>
      </c>
      <c r="E60" s="221"/>
      <c r="F60" s="221">
        <v>0</v>
      </c>
      <c r="G60" s="221"/>
      <c r="H60" s="221">
        <f t="shared" ref="H60:H81" si="6">ROUND(D60*(1+F60),0)</f>
        <v>187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5"/>
        <v>215</v>
      </c>
      <c r="E61" s="269"/>
      <c r="F61" s="269">
        <v>0</v>
      </c>
      <c r="G61" s="269"/>
      <c r="H61" s="269">
        <f t="shared" si="6"/>
        <v>215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5"/>
        <v>248</v>
      </c>
      <c r="E62" s="221"/>
      <c r="F62" s="221">
        <v>0</v>
      </c>
      <c r="G62" s="221"/>
      <c r="H62" s="221">
        <f t="shared" si="6"/>
        <v>248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5"/>
        <v>285</v>
      </c>
      <c r="E63" s="221"/>
      <c r="F63" s="221">
        <v>0</v>
      </c>
      <c r="G63" s="221"/>
      <c r="H63" s="221">
        <f t="shared" si="6"/>
        <v>285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5"/>
        <v>328</v>
      </c>
      <c r="E64" s="221"/>
      <c r="F64" s="221">
        <v>0</v>
      </c>
      <c r="G64" s="221"/>
      <c r="H64" s="221">
        <f t="shared" si="6"/>
        <v>328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5"/>
        <v>377</v>
      </c>
      <c r="E65" s="221"/>
      <c r="F65" s="221">
        <v>0</v>
      </c>
      <c r="G65" s="221"/>
      <c r="H65" s="221">
        <f t="shared" si="6"/>
        <v>377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5"/>
        <v>434</v>
      </c>
      <c r="E66" s="269"/>
      <c r="F66" s="269">
        <v>0</v>
      </c>
      <c r="G66" s="269"/>
      <c r="H66" s="269">
        <f t="shared" si="6"/>
        <v>434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5"/>
        <v>500</v>
      </c>
      <c r="E67" s="221"/>
      <c r="F67" s="221">
        <v>0</v>
      </c>
      <c r="G67" s="221"/>
      <c r="H67" s="221">
        <f t="shared" si="6"/>
        <v>500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5"/>
        <v>575</v>
      </c>
      <c r="E68" s="221"/>
      <c r="F68" s="221">
        <v>0</v>
      </c>
      <c r="G68" s="221"/>
      <c r="H68" s="221">
        <f t="shared" si="6"/>
        <v>575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5"/>
        <v>661</v>
      </c>
      <c r="E69" s="221"/>
      <c r="F69" s="221">
        <v>0</v>
      </c>
      <c r="G69" s="221"/>
      <c r="H69" s="221">
        <f t="shared" si="6"/>
        <v>661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5"/>
        <v>761</v>
      </c>
      <c r="E70" s="221"/>
      <c r="F70" s="221">
        <v>0</v>
      </c>
      <c r="G70" s="221"/>
      <c r="H70" s="221">
        <f t="shared" si="6"/>
        <v>761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5"/>
        <v>876</v>
      </c>
      <c r="E71" s="269"/>
      <c r="F71" s="269">
        <v>0</v>
      </c>
      <c r="G71" s="269"/>
      <c r="H71" s="269">
        <f t="shared" si="6"/>
        <v>876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5"/>
        <v>1008</v>
      </c>
      <c r="E72" s="221"/>
      <c r="F72" s="221">
        <v>0</v>
      </c>
      <c r="G72" s="221"/>
      <c r="H72" s="221">
        <f t="shared" si="6"/>
        <v>1008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5"/>
        <v>1160</v>
      </c>
      <c r="E73" s="221"/>
      <c r="F73" s="221">
        <v>0</v>
      </c>
      <c r="G73" s="221"/>
      <c r="H73" s="221">
        <f t="shared" si="6"/>
        <v>1160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5"/>
        <v>1335</v>
      </c>
      <c r="E74" s="221"/>
      <c r="F74" s="221">
        <v>0</v>
      </c>
      <c r="G74" s="221"/>
      <c r="H74" s="221">
        <f t="shared" si="6"/>
        <v>1335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5"/>
        <v>1536</v>
      </c>
      <c r="E75" s="221"/>
      <c r="F75" s="221">
        <v>0</v>
      </c>
      <c r="G75" s="221"/>
      <c r="H75" s="221">
        <f t="shared" si="6"/>
        <v>1536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5"/>
        <v>1767</v>
      </c>
      <c r="E76" s="269"/>
      <c r="F76" s="269">
        <v>0</v>
      </c>
      <c r="G76" s="269"/>
      <c r="H76" s="269">
        <f t="shared" si="6"/>
        <v>1767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5"/>
        <v>2033</v>
      </c>
      <c r="E77" s="221"/>
      <c r="F77" s="221">
        <v>0</v>
      </c>
      <c r="G77" s="221"/>
      <c r="H77" s="221">
        <f t="shared" si="6"/>
        <v>2033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5"/>
        <v>2340</v>
      </c>
      <c r="E78" s="221"/>
      <c r="F78" s="221">
        <v>0</v>
      </c>
      <c r="G78" s="221"/>
      <c r="H78" s="221">
        <f t="shared" si="6"/>
        <v>2340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5"/>
        <v>2692</v>
      </c>
      <c r="E79" s="221"/>
      <c r="F79" s="221">
        <v>0</v>
      </c>
      <c r="G79" s="221"/>
      <c r="H79" s="221">
        <f t="shared" si="6"/>
        <v>2692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5"/>
        <v>3098</v>
      </c>
      <c r="E80" s="221"/>
      <c r="F80" s="221">
        <v>0</v>
      </c>
      <c r="G80" s="221"/>
      <c r="H80" s="221">
        <f t="shared" si="6"/>
        <v>3098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5"/>
        <v>3565</v>
      </c>
      <c r="E81" s="269"/>
      <c r="F81" s="269">
        <v>0</v>
      </c>
      <c r="G81" s="269"/>
      <c r="H81" s="269">
        <f t="shared" si="6"/>
        <v>3565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187</v>
      </c>
      <c r="F82" s="226"/>
      <c r="G82" s="224" t="s">
        <v>179</v>
      </c>
      <c r="H82" s="224">
        <f>ROUND((E$82/D$9)^(1/(COUNT(D$9:D$16)-1)),6)</f>
        <v>1.150703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840">
        <f t="shared" ref="B99:B108" si="7">B7</f>
        <v>2005</v>
      </c>
      <c r="C99" s="840"/>
      <c r="D99" s="208">
        <f t="shared" ref="D99:D108" si="8">VLOOKUP(B99,B$7:E$16,3,FALSE)</f>
        <v>0</v>
      </c>
      <c r="E99" s="229">
        <f t="shared" ref="E99:E108" si="9">((COUNT(B$99:B$108)-1)/2)+(B99-$C$4)</f>
        <v>-4.5</v>
      </c>
      <c r="F99" s="208">
        <f t="shared" ref="F99:F108" si="10">E99^2</f>
        <v>20.25</v>
      </c>
      <c r="G99" s="206"/>
      <c r="H99" s="230">
        <f t="shared" ref="H99:H108" si="11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840">
        <f t="shared" si="7"/>
        <v>2006</v>
      </c>
      <c r="C100" s="840"/>
      <c r="D100" s="208">
        <f t="shared" si="8"/>
        <v>0</v>
      </c>
      <c r="E100" s="229">
        <f t="shared" si="9"/>
        <v>-3.5</v>
      </c>
      <c r="F100" s="208">
        <f t="shared" si="10"/>
        <v>12.25</v>
      </c>
      <c r="G100" s="206"/>
      <c r="H100" s="230">
        <f t="shared" si="11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840">
        <f t="shared" si="7"/>
        <v>2007</v>
      </c>
      <c r="C101" s="840"/>
      <c r="D101" s="208">
        <f t="shared" si="8"/>
        <v>70</v>
      </c>
      <c r="E101" s="229">
        <f t="shared" si="9"/>
        <v>-2.5</v>
      </c>
      <c r="F101" s="208">
        <f>E101^2</f>
        <v>6.25</v>
      </c>
      <c r="G101" s="206"/>
      <c r="H101" s="230">
        <f t="shared" si="11"/>
        <v>-175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840">
        <f t="shared" si="7"/>
        <v>2008</v>
      </c>
      <c r="C102" s="840"/>
      <c r="D102" s="208">
        <f t="shared" si="8"/>
        <v>76</v>
      </c>
      <c r="E102" s="229">
        <f t="shared" si="9"/>
        <v>-1.5</v>
      </c>
      <c r="F102" s="208">
        <f t="shared" si="10"/>
        <v>2.25</v>
      </c>
      <c r="G102" s="206"/>
      <c r="H102" s="230">
        <f t="shared" si="11"/>
        <v>-114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840">
        <f t="shared" si="7"/>
        <v>2009</v>
      </c>
      <c r="C103" s="840"/>
      <c r="D103" s="208">
        <f t="shared" si="8"/>
        <v>73</v>
      </c>
      <c r="E103" s="229">
        <f t="shared" si="9"/>
        <v>-0.5</v>
      </c>
      <c r="F103" s="208">
        <f t="shared" si="10"/>
        <v>0.25</v>
      </c>
      <c r="G103" s="206"/>
      <c r="H103" s="230">
        <f t="shared" si="11"/>
        <v>-36.5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840">
        <f t="shared" si="7"/>
        <v>2010</v>
      </c>
      <c r="C104" s="840"/>
      <c r="D104" s="208">
        <f t="shared" si="8"/>
        <v>96</v>
      </c>
      <c r="E104" s="229">
        <f t="shared" si="9"/>
        <v>0.5</v>
      </c>
      <c r="F104" s="208">
        <f t="shared" si="10"/>
        <v>0.25</v>
      </c>
      <c r="G104" s="206"/>
      <c r="H104" s="230">
        <f t="shared" si="11"/>
        <v>48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840">
        <f t="shared" si="7"/>
        <v>2011</v>
      </c>
      <c r="C105" s="840"/>
      <c r="D105" s="208">
        <f t="shared" si="8"/>
        <v>123</v>
      </c>
      <c r="E105" s="229">
        <f t="shared" si="9"/>
        <v>1.5</v>
      </c>
      <c r="F105" s="208">
        <f t="shared" si="10"/>
        <v>2.25</v>
      </c>
      <c r="G105" s="206"/>
      <c r="H105" s="230">
        <f t="shared" si="11"/>
        <v>184.5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840">
        <f t="shared" si="7"/>
        <v>2012</v>
      </c>
      <c r="C106" s="840"/>
      <c r="D106" s="208">
        <f t="shared" si="8"/>
        <v>240</v>
      </c>
      <c r="E106" s="229">
        <f t="shared" si="9"/>
        <v>2.5</v>
      </c>
      <c r="F106" s="208">
        <f t="shared" si="10"/>
        <v>6.25</v>
      </c>
      <c r="G106" s="206"/>
      <c r="H106" s="230">
        <f t="shared" si="11"/>
        <v>600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840">
        <f t="shared" si="7"/>
        <v>2013</v>
      </c>
      <c r="C107" s="840"/>
      <c r="D107" s="208">
        <f t="shared" si="8"/>
        <v>214</v>
      </c>
      <c r="E107" s="229">
        <f t="shared" si="9"/>
        <v>3.5</v>
      </c>
      <c r="F107" s="208">
        <f t="shared" si="10"/>
        <v>12.25</v>
      </c>
      <c r="G107" s="206"/>
      <c r="H107" s="230">
        <f t="shared" si="11"/>
        <v>749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840">
        <f t="shared" si="7"/>
        <v>2014</v>
      </c>
      <c r="C108" s="840"/>
      <c r="D108" s="208">
        <f t="shared" si="8"/>
        <v>187</v>
      </c>
      <c r="E108" s="229">
        <f t="shared" si="9"/>
        <v>4.5</v>
      </c>
      <c r="F108" s="208">
        <f t="shared" si="10"/>
        <v>20.25</v>
      </c>
      <c r="G108" s="206"/>
      <c r="H108" s="230">
        <f t="shared" si="11"/>
        <v>841.5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1079</v>
      </c>
      <c r="E109" s="215"/>
      <c r="F109" s="233">
        <f>ROUND(SUM(F99:F108),0)</f>
        <v>83</v>
      </c>
      <c r="G109" s="212"/>
      <c r="H109" s="234">
        <f>SUM(H99:H108)</f>
        <v>2097.5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25.271084337349397</v>
      </c>
      <c r="H110" s="236" t="s">
        <v>199</v>
      </c>
      <c r="I110" s="201"/>
      <c r="J110" s="201"/>
      <c r="K110" s="201">
        <f>ROUND((F109*D109-H109*E109)/(COUNT(B$99:B$108)*F109-E109*E109),0)</f>
        <v>108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2">ROUNDUP(G$110*(B115-B$108+E$108)+K$110,0)</f>
        <v>222</v>
      </c>
      <c r="E115" s="221"/>
      <c r="F115" s="221">
        <v>0</v>
      </c>
      <c r="G115" s="221"/>
      <c r="H115" s="221">
        <f t="shared" ref="H115:H136" si="13">ROUND(D115*(1+F115),0)</f>
        <v>222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2"/>
        <v>247</v>
      </c>
      <c r="E116" s="269"/>
      <c r="F116" s="269">
        <v>0</v>
      </c>
      <c r="G116" s="269"/>
      <c r="H116" s="269">
        <f t="shared" si="13"/>
        <v>247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2"/>
        <v>273</v>
      </c>
      <c r="E117" s="221"/>
      <c r="F117" s="221">
        <v>0</v>
      </c>
      <c r="G117" s="221"/>
      <c r="H117" s="221">
        <f t="shared" si="13"/>
        <v>273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2"/>
        <v>298</v>
      </c>
      <c r="E118" s="221"/>
      <c r="F118" s="221">
        <v>0</v>
      </c>
      <c r="G118" s="221"/>
      <c r="H118" s="221">
        <f t="shared" si="13"/>
        <v>298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2"/>
        <v>323</v>
      </c>
      <c r="E119" s="221"/>
      <c r="F119" s="221">
        <v>0</v>
      </c>
      <c r="G119" s="221"/>
      <c r="H119" s="221">
        <f t="shared" si="13"/>
        <v>323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2"/>
        <v>349</v>
      </c>
      <c r="E120" s="221"/>
      <c r="F120" s="221">
        <v>0</v>
      </c>
      <c r="G120" s="221"/>
      <c r="H120" s="221">
        <f t="shared" si="13"/>
        <v>349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2"/>
        <v>374</v>
      </c>
      <c r="E121" s="269"/>
      <c r="F121" s="269">
        <v>0</v>
      </c>
      <c r="G121" s="269"/>
      <c r="H121" s="269">
        <f t="shared" si="13"/>
        <v>374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2"/>
        <v>399</v>
      </c>
      <c r="E122" s="221"/>
      <c r="F122" s="221">
        <v>0</v>
      </c>
      <c r="G122" s="221"/>
      <c r="H122" s="221">
        <f t="shared" si="13"/>
        <v>399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2"/>
        <v>424</v>
      </c>
      <c r="E123" s="221"/>
      <c r="F123" s="221">
        <v>0</v>
      </c>
      <c r="G123" s="221"/>
      <c r="H123" s="221">
        <f t="shared" si="13"/>
        <v>424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2"/>
        <v>450</v>
      </c>
      <c r="E124" s="221"/>
      <c r="F124" s="221">
        <v>0</v>
      </c>
      <c r="G124" s="221"/>
      <c r="H124" s="221">
        <f t="shared" si="13"/>
        <v>450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2"/>
        <v>475</v>
      </c>
      <c r="E125" s="221"/>
      <c r="F125" s="221">
        <v>0</v>
      </c>
      <c r="G125" s="221"/>
      <c r="H125" s="221">
        <f t="shared" si="13"/>
        <v>475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2"/>
        <v>500</v>
      </c>
      <c r="E126" s="269"/>
      <c r="F126" s="269">
        <v>0</v>
      </c>
      <c r="G126" s="269"/>
      <c r="H126" s="269">
        <f t="shared" si="13"/>
        <v>500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2"/>
        <v>525</v>
      </c>
      <c r="E127" s="221"/>
      <c r="F127" s="221">
        <v>0</v>
      </c>
      <c r="G127" s="221"/>
      <c r="H127" s="221">
        <f t="shared" si="13"/>
        <v>525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2"/>
        <v>551</v>
      </c>
      <c r="E128" s="221"/>
      <c r="F128" s="221">
        <v>0</v>
      </c>
      <c r="G128" s="221"/>
      <c r="H128" s="221">
        <f t="shared" si="13"/>
        <v>551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2"/>
        <v>576</v>
      </c>
      <c r="E129" s="221"/>
      <c r="F129" s="221">
        <v>0</v>
      </c>
      <c r="G129" s="221"/>
      <c r="H129" s="221">
        <f t="shared" si="13"/>
        <v>576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2"/>
        <v>601</v>
      </c>
      <c r="E130" s="221"/>
      <c r="F130" s="221">
        <v>0</v>
      </c>
      <c r="G130" s="221"/>
      <c r="H130" s="221">
        <f t="shared" si="13"/>
        <v>601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2"/>
        <v>627</v>
      </c>
      <c r="E131" s="269"/>
      <c r="F131" s="269">
        <v>0</v>
      </c>
      <c r="G131" s="269"/>
      <c r="H131" s="269">
        <f t="shared" si="13"/>
        <v>627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2"/>
        <v>652</v>
      </c>
      <c r="E132" s="221"/>
      <c r="F132" s="221">
        <v>0</v>
      </c>
      <c r="G132" s="221"/>
      <c r="H132" s="221">
        <f t="shared" si="13"/>
        <v>652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2"/>
        <v>677</v>
      </c>
      <c r="E133" s="221"/>
      <c r="F133" s="221">
        <v>0</v>
      </c>
      <c r="G133" s="221"/>
      <c r="H133" s="221">
        <f t="shared" si="13"/>
        <v>677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2"/>
        <v>702</v>
      </c>
      <c r="E134" s="221"/>
      <c r="F134" s="221">
        <v>0</v>
      </c>
      <c r="G134" s="221"/>
      <c r="H134" s="221">
        <f t="shared" si="13"/>
        <v>702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2"/>
        <v>728</v>
      </c>
      <c r="E135" s="221"/>
      <c r="F135" s="221">
        <v>0</v>
      </c>
      <c r="G135" s="221"/>
      <c r="H135" s="221">
        <f t="shared" si="13"/>
        <v>728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2"/>
        <v>753</v>
      </c>
      <c r="E136" s="269"/>
      <c r="F136" s="269">
        <v>0</v>
      </c>
      <c r="G136" s="269"/>
      <c r="H136" s="269">
        <f t="shared" si="13"/>
        <v>753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840">
        <f t="shared" ref="B146:B155" si="14">B99</f>
        <v>2005</v>
      </c>
      <c r="C146" s="840"/>
      <c r="D146" s="208">
        <f t="shared" ref="D146:D155" si="15">VLOOKUP(B146,B$7:E$16,3,FALSE)</f>
        <v>0</v>
      </c>
      <c r="E146" s="244">
        <f t="shared" ref="E146:E155" si="16">IF(G$140=FALSE,"",((COUNT(B$99:B$108)-1))+(B146-$C$4))</f>
        <v>0</v>
      </c>
      <c r="F146" s="245">
        <f>IF(E146=0,0,"")</f>
        <v>0</v>
      </c>
      <c r="G146" s="246">
        <f t="shared" ref="G146:G155" si="17">IF(F146="","",F146^2)</f>
        <v>0</v>
      </c>
      <c r="H146" s="231">
        <f t="shared" ref="H146:H155" si="18">IF(G146="","",ABS(D146-D$146))</f>
        <v>0</v>
      </c>
      <c r="I146" s="231"/>
      <c r="J146" s="245">
        <f>IF(H146=0,0,"")</f>
        <v>0</v>
      </c>
      <c r="K146" s="247">
        <f t="shared" ref="K146:K155" si="19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840">
        <f t="shared" si="14"/>
        <v>2006</v>
      </c>
      <c r="C147" s="840"/>
      <c r="D147" s="208">
        <f t="shared" si="15"/>
        <v>0</v>
      </c>
      <c r="E147" s="244">
        <f t="shared" si="16"/>
        <v>1</v>
      </c>
      <c r="F147" s="245">
        <f t="shared" ref="F147:F155" si="20">IF(E147="","",LOG(E147))</f>
        <v>0</v>
      </c>
      <c r="G147" s="246">
        <f t="shared" si="17"/>
        <v>0</v>
      </c>
      <c r="H147" s="231">
        <f t="shared" si="18"/>
        <v>0</v>
      </c>
      <c r="I147" s="231"/>
      <c r="J147" s="245">
        <f>IF(H147=0,0,"")</f>
        <v>0</v>
      </c>
      <c r="K147" s="247">
        <f t="shared" si="19"/>
        <v>0</v>
      </c>
      <c r="L147" s="203"/>
      <c r="M147" s="203"/>
      <c r="N147" s="203"/>
      <c r="O147" s="203"/>
    </row>
    <row r="148" spans="1:15" ht="15" customHeight="1">
      <c r="A148" s="203"/>
      <c r="B148" s="840">
        <f t="shared" si="14"/>
        <v>2007</v>
      </c>
      <c r="C148" s="840"/>
      <c r="D148" s="208">
        <f t="shared" si="15"/>
        <v>70</v>
      </c>
      <c r="E148" s="244">
        <f t="shared" si="16"/>
        <v>2</v>
      </c>
      <c r="F148" s="245">
        <f t="shared" si="20"/>
        <v>0.3010299956639812</v>
      </c>
      <c r="G148" s="246">
        <f t="shared" si="17"/>
        <v>9.0619058289456544E-2</v>
      </c>
      <c r="H148" s="231">
        <f t="shared" si="18"/>
        <v>70</v>
      </c>
      <c r="I148" s="231"/>
      <c r="J148" s="247">
        <f t="shared" ref="J148:J155" si="21">IF(H148="","",LOG(H148))</f>
        <v>1.8450980400142569</v>
      </c>
      <c r="K148" s="247">
        <f t="shared" si="19"/>
        <v>0.55542985498511199</v>
      </c>
      <c r="L148" s="203"/>
      <c r="M148" s="203"/>
      <c r="N148" s="203"/>
      <c r="O148" s="203"/>
    </row>
    <row r="149" spans="1:15" ht="15" customHeight="1">
      <c r="A149" s="203"/>
      <c r="B149" s="840">
        <f t="shared" si="14"/>
        <v>2008</v>
      </c>
      <c r="C149" s="840"/>
      <c r="D149" s="208">
        <f t="shared" si="15"/>
        <v>76</v>
      </c>
      <c r="E149" s="244">
        <f t="shared" si="16"/>
        <v>3</v>
      </c>
      <c r="F149" s="245">
        <f t="shared" si="20"/>
        <v>0.47712125471966244</v>
      </c>
      <c r="G149" s="246">
        <f t="shared" si="17"/>
        <v>0.227644691705265</v>
      </c>
      <c r="H149" s="231">
        <f t="shared" si="18"/>
        <v>76</v>
      </c>
      <c r="I149" s="231"/>
      <c r="J149" s="247">
        <f t="shared" si="21"/>
        <v>1.8808135922807914</v>
      </c>
      <c r="K149" s="247">
        <f t="shared" si="19"/>
        <v>0.89737614104280683</v>
      </c>
      <c r="L149" s="203"/>
      <c r="M149" s="203"/>
      <c r="N149" s="203"/>
      <c r="O149" s="203"/>
    </row>
    <row r="150" spans="1:15" ht="15" customHeight="1">
      <c r="A150" s="203"/>
      <c r="B150" s="840">
        <f t="shared" si="14"/>
        <v>2009</v>
      </c>
      <c r="C150" s="840"/>
      <c r="D150" s="208">
        <f t="shared" si="15"/>
        <v>73</v>
      </c>
      <c r="E150" s="244">
        <f t="shared" si="16"/>
        <v>4</v>
      </c>
      <c r="F150" s="245">
        <f t="shared" si="20"/>
        <v>0.6020599913279624</v>
      </c>
      <c r="G150" s="246">
        <f t="shared" si="17"/>
        <v>0.36247623315782618</v>
      </c>
      <c r="H150" s="231">
        <f t="shared" si="18"/>
        <v>73</v>
      </c>
      <c r="I150" s="231"/>
      <c r="J150" s="247">
        <f t="shared" si="21"/>
        <v>1.8633228601204559</v>
      </c>
      <c r="K150" s="247">
        <f t="shared" si="19"/>
        <v>1.1218321450053157</v>
      </c>
      <c r="L150" s="203"/>
      <c r="M150" s="203"/>
      <c r="N150" s="203"/>
      <c r="O150" s="203"/>
    </row>
    <row r="151" spans="1:15" ht="15" customHeight="1">
      <c r="A151" s="203"/>
      <c r="B151" s="840">
        <f t="shared" si="14"/>
        <v>2010</v>
      </c>
      <c r="C151" s="840"/>
      <c r="D151" s="208">
        <f t="shared" si="15"/>
        <v>96</v>
      </c>
      <c r="E151" s="244">
        <f t="shared" si="16"/>
        <v>5</v>
      </c>
      <c r="F151" s="245">
        <f t="shared" si="20"/>
        <v>0.69897000433601886</v>
      </c>
      <c r="G151" s="246">
        <f t="shared" si="17"/>
        <v>0.4885590669614942</v>
      </c>
      <c r="H151" s="231">
        <f t="shared" si="18"/>
        <v>96</v>
      </c>
      <c r="I151" s="231"/>
      <c r="J151" s="247">
        <f t="shared" si="21"/>
        <v>1.9822712330395684</v>
      </c>
      <c r="K151" s="247">
        <f t="shared" si="19"/>
        <v>1.3855481323528327</v>
      </c>
      <c r="L151" s="203"/>
      <c r="M151" s="203"/>
      <c r="N151" s="203"/>
      <c r="O151" s="203"/>
    </row>
    <row r="152" spans="1:15" ht="15" customHeight="1">
      <c r="A152" s="203"/>
      <c r="B152" s="840">
        <f t="shared" si="14"/>
        <v>2011</v>
      </c>
      <c r="C152" s="840"/>
      <c r="D152" s="208">
        <f t="shared" si="15"/>
        <v>123</v>
      </c>
      <c r="E152" s="244">
        <f t="shared" si="16"/>
        <v>6</v>
      </c>
      <c r="F152" s="245">
        <f t="shared" si="20"/>
        <v>0.77815125038364363</v>
      </c>
      <c r="G152" s="246">
        <f t="shared" si="17"/>
        <v>0.60551936847362808</v>
      </c>
      <c r="H152" s="231">
        <f t="shared" si="18"/>
        <v>123</v>
      </c>
      <c r="I152" s="231"/>
      <c r="J152" s="247">
        <f t="shared" si="21"/>
        <v>2.0899051114393981</v>
      </c>
      <c r="K152" s="247">
        <f t="shared" si="19"/>
        <v>1.6262622756497356</v>
      </c>
      <c r="L152" s="203"/>
      <c r="M152" s="203"/>
      <c r="N152" s="203"/>
      <c r="O152" s="203"/>
    </row>
    <row r="153" spans="1:15" ht="15" customHeight="1">
      <c r="A153" s="203"/>
      <c r="B153" s="840">
        <f t="shared" si="14"/>
        <v>2012</v>
      </c>
      <c r="C153" s="840"/>
      <c r="D153" s="208">
        <f t="shared" si="15"/>
        <v>240</v>
      </c>
      <c r="E153" s="244">
        <f t="shared" si="16"/>
        <v>7</v>
      </c>
      <c r="F153" s="245">
        <f t="shared" si="20"/>
        <v>0.84509804001425681</v>
      </c>
      <c r="G153" s="246">
        <f t="shared" si="17"/>
        <v>0.71419069723593842</v>
      </c>
      <c r="H153" s="231">
        <f t="shared" si="18"/>
        <v>240</v>
      </c>
      <c r="I153" s="231"/>
      <c r="J153" s="247">
        <f t="shared" si="21"/>
        <v>2.3802112417116059</v>
      </c>
      <c r="K153" s="247">
        <f t="shared" si="19"/>
        <v>2.0115118551903786</v>
      </c>
      <c r="L153" s="203"/>
      <c r="M153" s="203"/>
      <c r="N153" s="203"/>
      <c r="O153" s="203"/>
    </row>
    <row r="154" spans="1:15" ht="15" customHeight="1">
      <c r="A154" s="203"/>
      <c r="B154" s="840">
        <f t="shared" si="14"/>
        <v>2013</v>
      </c>
      <c r="C154" s="840"/>
      <c r="D154" s="208">
        <f t="shared" si="15"/>
        <v>214</v>
      </c>
      <c r="E154" s="244">
        <f t="shared" si="16"/>
        <v>8</v>
      </c>
      <c r="F154" s="245">
        <f t="shared" si="20"/>
        <v>0.90308998699194354</v>
      </c>
      <c r="G154" s="246">
        <f t="shared" si="17"/>
        <v>0.81557152460510873</v>
      </c>
      <c r="H154" s="231">
        <f t="shared" si="18"/>
        <v>214</v>
      </c>
      <c r="I154" s="231"/>
      <c r="J154" s="247">
        <f t="shared" si="21"/>
        <v>2.330413773349191</v>
      </c>
      <c r="K154" s="247">
        <f t="shared" si="19"/>
        <v>2.1045733442597667</v>
      </c>
      <c r="L154" s="203"/>
      <c r="M154" s="203"/>
      <c r="N154" s="203"/>
      <c r="O154" s="203"/>
    </row>
    <row r="155" spans="1:15" ht="15" customHeight="1">
      <c r="A155" s="203"/>
      <c r="B155" s="840">
        <f t="shared" si="14"/>
        <v>2014</v>
      </c>
      <c r="C155" s="840"/>
      <c r="D155" s="208">
        <f t="shared" si="15"/>
        <v>187</v>
      </c>
      <c r="E155" s="244">
        <f t="shared" si="16"/>
        <v>9</v>
      </c>
      <c r="F155" s="245">
        <f t="shared" si="20"/>
        <v>0.95424250943932487</v>
      </c>
      <c r="G155" s="246">
        <f t="shared" si="17"/>
        <v>0.91057876682105998</v>
      </c>
      <c r="H155" s="231">
        <f t="shared" si="18"/>
        <v>187</v>
      </c>
      <c r="I155" s="231"/>
      <c r="J155" s="247">
        <f t="shared" si="21"/>
        <v>2.271841606536499</v>
      </c>
      <c r="K155" s="247">
        <f t="shared" si="19"/>
        <v>2.1678878356700562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16.643877458491765</v>
      </c>
      <c r="K156" s="253">
        <f>IF(K155="","",SUM(K146:K155))</f>
        <v>11.870421584156004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3.909399022165045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2.0351400000000002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2">IF(J$157=0,0,ROUNDUP(D$146+E$157*(B162-B$146)^J$157,0))</f>
        <v>343</v>
      </c>
      <c r="E162" s="257"/>
      <c r="F162" s="844">
        <v>0</v>
      </c>
      <c r="G162" s="844"/>
      <c r="H162" s="844">
        <f t="shared" ref="H162:H183" si="23">ROUND(D162*(1+F162),0)</f>
        <v>343</v>
      </c>
      <c r="I162" s="844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2"/>
        <v>424</v>
      </c>
      <c r="E163" s="271"/>
      <c r="F163" s="272">
        <v>0</v>
      </c>
      <c r="G163" s="272"/>
      <c r="H163" s="272">
        <f t="shared" si="23"/>
        <v>424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2"/>
        <v>515</v>
      </c>
      <c r="E164" s="257"/>
      <c r="F164" s="258">
        <v>0</v>
      </c>
      <c r="G164" s="258"/>
      <c r="H164" s="258">
        <f t="shared" si="23"/>
        <v>515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2"/>
        <v>615</v>
      </c>
      <c r="E165" s="257"/>
      <c r="F165" s="258">
        <v>0</v>
      </c>
      <c r="G165" s="258"/>
      <c r="H165" s="258">
        <f t="shared" si="23"/>
        <v>615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2"/>
        <v>724</v>
      </c>
      <c r="E166" s="257"/>
      <c r="F166" s="258">
        <v>0</v>
      </c>
      <c r="G166" s="258"/>
      <c r="H166" s="258">
        <f t="shared" si="23"/>
        <v>724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2"/>
        <v>841</v>
      </c>
      <c r="E167" s="257"/>
      <c r="F167" s="258">
        <v>0</v>
      </c>
      <c r="G167" s="258"/>
      <c r="H167" s="258">
        <f t="shared" si="23"/>
        <v>841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2"/>
        <v>968</v>
      </c>
      <c r="E168" s="271"/>
      <c r="F168" s="272">
        <v>0</v>
      </c>
      <c r="G168" s="272"/>
      <c r="H168" s="272">
        <f t="shared" si="23"/>
        <v>968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2"/>
        <v>1104</v>
      </c>
      <c r="E169" s="257"/>
      <c r="F169" s="258">
        <v>0</v>
      </c>
      <c r="G169" s="258"/>
      <c r="H169" s="258">
        <f t="shared" si="23"/>
        <v>1104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2"/>
        <v>1249</v>
      </c>
      <c r="E170" s="257"/>
      <c r="F170" s="258">
        <v>0</v>
      </c>
      <c r="G170" s="258"/>
      <c r="H170" s="258">
        <f t="shared" si="23"/>
        <v>1249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2"/>
        <v>1403</v>
      </c>
      <c r="E171" s="257"/>
      <c r="F171" s="258">
        <v>0</v>
      </c>
      <c r="G171" s="258"/>
      <c r="H171" s="258">
        <f t="shared" si="23"/>
        <v>1403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2"/>
        <v>1566</v>
      </c>
      <c r="E172" s="257"/>
      <c r="F172" s="258">
        <v>0</v>
      </c>
      <c r="G172" s="258"/>
      <c r="H172" s="258">
        <f t="shared" si="23"/>
        <v>1566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2"/>
        <v>1738</v>
      </c>
      <c r="E173" s="271"/>
      <c r="F173" s="272">
        <v>0</v>
      </c>
      <c r="G173" s="272"/>
      <c r="H173" s="272">
        <f t="shared" si="23"/>
        <v>1738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2"/>
        <v>1919</v>
      </c>
      <c r="E174" s="257"/>
      <c r="F174" s="258">
        <v>0</v>
      </c>
      <c r="G174" s="258"/>
      <c r="H174" s="258">
        <f t="shared" si="23"/>
        <v>1919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2"/>
        <v>2110</v>
      </c>
      <c r="E175" s="257"/>
      <c r="F175" s="258">
        <v>0</v>
      </c>
      <c r="G175" s="258"/>
      <c r="H175" s="258">
        <f t="shared" si="23"/>
        <v>2110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2"/>
        <v>2309</v>
      </c>
      <c r="E176" s="257"/>
      <c r="F176" s="258">
        <v>0</v>
      </c>
      <c r="G176" s="258"/>
      <c r="H176" s="258">
        <f t="shared" si="23"/>
        <v>2309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2"/>
        <v>2518</v>
      </c>
      <c r="E177" s="257"/>
      <c r="F177" s="258">
        <v>0</v>
      </c>
      <c r="G177" s="258"/>
      <c r="H177" s="258">
        <f t="shared" si="23"/>
        <v>2518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2"/>
        <v>2736</v>
      </c>
      <c r="E178" s="271"/>
      <c r="F178" s="272">
        <v>0</v>
      </c>
      <c r="G178" s="272"/>
      <c r="H178" s="272">
        <f t="shared" si="23"/>
        <v>2736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2"/>
        <v>2964</v>
      </c>
      <c r="E179" s="257"/>
      <c r="F179" s="258">
        <v>0</v>
      </c>
      <c r="G179" s="258"/>
      <c r="H179" s="258">
        <f t="shared" si="23"/>
        <v>2964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2"/>
        <v>3200</v>
      </c>
      <c r="E180" s="257"/>
      <c r="F180" s="258">
        <v>0</v>
      </c>
      <c r="G180" s="258"/>
      <c r="H180" s="258">
        <f t="shared" si="23"/>
        <v>3200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2"/>
        <v>3446</v>
      </c>
      <c r="E181" s="257"/>
      <c r="F181" s="258">
        <v>0</v>
      </c>
      <c r="G181" s="258"/>
      <c r="H181" s="258">
        <f t="shared" si="23"/>
        <v>3446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2"/>
        <v>3701</v>
      </c>
      <c r="E182" s="257"/>
      <c r="F182" s="258">
        <v>0</v>
      </c>
      <c r="G182" s="258"/>
      <c r="H182" s="258">
        <f t="shared" si="23"/>
        <v>3701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2"/>
        <v>3966</v>
      </c>
      <c r="E183" s="271"/>
      <c r="F183" s="272">
        <v>0</v>
      </c>
      <c r="G183" s="272"/>
      <c r="H183" s="272">
        <f t="shared" si="23"/>
        <v>3966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600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840">
        <f t="shared" ref="B195:B204" si="24">B146</f>
        <v>2005</v>
      </c>
      <c r="C195" s="840"/>
      <c r="D195" s="208">
        <f t="shared" ref="D195:D204" si="25">VLOOKUP(B195,B$7:E$16,3,FALSE)</f>
        <v>0</v>
      </c>
      <c r="E195" s="244">
        <f t="shared" ref="E195:E204" si="26">((COUNT(B$195:B$204)-1)/2)+(B195-$C$4)</f>
        <v>-4.5</v>
      </c>
      <c r="F195" s="206">
        <f t="shared" ref="F195:F204" si="27">E195^2</f>
        <v>20.25</v>
      </c>
      <c r="G195" s="844">
        <f t="shared" ref="G195:G204" si="28">E$192-D195</f>
        <v>600</v>
      </c>
      <c r="H195" s="259">
        <v>0</v>
      </c>
      <c r="I195" s="245">
        <f t="shared" ref="I195:I204" si="29">LOG(G195)</f>
        <v>2.7781512503836434</v>
      </c>
      <c r="J195" s="246">
        <f>ROUND(H195-I195,6)</f>
        <v>-2.7781509999999998</v>
      </c>
      <c r="K195" s="246">
        <f t="shared" ref="K195:K204" si="30">E195*J195</f>
        <v>12.5016795</v>
      </c>
      <c r="L195" s="203"/>
      <c r="M195" s="203"/>
      <c r="N195" s="203"/>
      <c r="O195" s="203"/>
    </row>
    <row r="196" spans="1:15" ht="15" customHeight="1">
      <c r="A196" s="203"/>
      <c r="B196" s="840">
        <f t="shared" si="24"/>
        <v>2006</v>
      </c>
      <c r="C196" s="840"/>
      <c r="D196" s="208">
        <f t="shared" si="25"/>
        <v>0</v>
      </c>
      <c r="E196" s="244">
        <f t="shared" si="26"/>
        <v>-3.5</v>
      </c>
      <c r="F196" s="206">
        <f t="shared" si="27"/>
        <v>12.25</v>
      </c>
      <c r="G196" s="844">
        <f t="shared" si="28"/>
        <v>600</v>
      </c>
      <c r="H196" s="259">
        <v>0</v>
      </c>
      <c r="I196" s="245">
        <f t="shared" si="29"/>
        <v>2.7781512503836434</v>
      </c>
      <c r="J196" s="246">
        <f t="shared" ref="J196:J204" si="31">H196-I196</f>
        <v>-2.7781512503836434</v>
      </c>
      <c r="K196" s="246">
        <f t="shared" si="30"/>
        <v>9.7235293763427517</v>
      </c>
      <c r="L196" s="203"/>
      <c r="M196" s="203"/>
      <c r="N196" s="203"/>
      <c r="O196" s="203"/>
    </row>
    <row r="197" spans="1:15" ht="15" customHeight="1">
      <c r="A197" s="203"/>
      <c r="B197" s="840">
        <f t="shared" si="24"/>
        <v>2007</v>
      </c>
      <c r="C197" s="840"/>
      <c r="D197" s="208">
        <f t="shared" si="25"/>
        <v>70</v>
      </c>
      <c r="E197" s="244">
        <f t="shared" si="26"/>
        <v>-2.5</v>
      </c>
      <c r="F197" s="206">
        <f t="shared" si="27"/>
        <v>6.25</v>
      </c>
      <c r="G197" s="844">
        <f t="shared" si="28"/>
        <v>530</v>
      </c>
      <c r="H197" s="259">
        <f t="shared" ref="H197:H204" si="32">LOG(D197)</f>
        <v>1.8450980400142569</v>
      </c>
      <c r="I197" s="245">
        <f t="shared" si="29"/>
        <v>2.7242758696007892</v>
      </c>
      <c r="J197" s="246">
        <f t="shared" si="31"/>
        <v>-0.87917782958653223</v>
      </c>
      <c r="K197" s="246">
        <f t="shared" si="30"/>
        <v>2.1979445739663306</v>
      </c>
      <c r="L197" s="203"/>
      <c r="M197" s="203"/>
      <c r="N197" s="203"/>
      <c r="O197" s="203"/>
    </row>
    <row r="198" spans="1:15" ht="15" customHeight="1">
      <c r="A198" s="203"/>
      <c r="B198" s="840">
        <f t="shared" si="24"/>
        <v>2008</v>
      </c>
      <c r="C198" s="840"/>
      <c r="D198" s="208">
        <f t="shared" si="25"/>
        <v>76</v>
      </c>
      <c r="E198" s="244">
        <f t="shared" si="26"/>
        <v>-1.5</v>
      </c>
      <c r="F198" s="206">
        <f t="shared" si="27"/>
        <v>2.25</v>
      </c>
      <c r="G198" s="844">
        <f t="shared" si="28"/>
        <v>524</v>
      </c>
      <c r="H198" s="259">
        <f t="shared" si="32"/>
        <v>1.8808135922807914</v>
      </c>
      <c r="I198" s="245">
        <f t="shared" si="29"/>
        <v>2.7193312869837265</v>
      </c>
      <c r="J198" s="246">
        <f t="shared" si="31"/>
        <v>-0.83851769470293513</v>
      </c>
      <c r="K198" s="246">
        <f t="shared" si="30"/>
        <v>1.2577765420544027</v>
      </c>
      <c r="L198" s="203"/>
      <c r="M198" s="203"/>
      <c r="N198" s="203"/>
      <c r="O198" s="203"/>
    </row>
    <row r="199" spans="1:15" ht="15" customHeight="1">
      <c r="A199" s="203"/>
      <c r="B199" s="840">
        <f t="shared" si="24"/>
        <v>2009</v>
      </c>
      <c r="C199" s="840"/>
      <c r="D199" s="208">
        <f t="shared" si="25"/>
        <v>73</v>
      </c>
      <c r="E199" s="244">
        <f t="shared" si="26"/>
        <v>-0.5</v>
      </c>
      <c r="F199" s="206">
        <f t="shared" si="27"/>
        <v>0.25</v>
      </c>
      <c r="G199" s="844">
        <f t="shared" si="28"/>
        <v>527</v>
      </c>
      <c r="H199" s="259">
        <f t="shared" si="32"/>
        <v>1.8633228601204559</v>
      </c>
      <c r="I199" s="245">
        <f t="shared" si="29"/>
        <v>2.7218106152125467</v>
      </c>
      <c r="J199" s="246">
        <f t="shared" si="31"/>
        <v>-0.85848775509209085</v>
      </c>
      <c r="K199" s="246">
        <f t="shared" si="30"/>
        <v>0.42924387754604543</v>
      </c>
      <c r="L199" s="203"/>
      <c r="M199" s="203"/>
      <c r="N199" s="203"/>
      <c r="O199" s="203"/>
    </row>
    <row r="200" spans="1:15" ht="15" customHeight="1">
      <c r="A200" s="203"/>
      <c r="B200" s="840">
        <f t="shared" si="24"/>
        <v>2010</v>
      </c>
      <c r="C200" s="840"/>
      <c r="D200" s="208">
        <f t="shared" si="25"/>
        <v>96</v>
      </c>
      <c r="E200" s="244">
        <f t="shared" si="26"/>
        <v>0.5</v>
      </c>
      <c r="F200" s="206">
        <f t="shared" si="27"/>
        <v>0.25</v>
      </c>
      <c r="G200" s="844">
        <f t="shared" si="28"/>
        <v>504</v>
      </c>
      <c r="H200" s="259">
        <f t="shared" si="32"/>
        <v>1.9822712330395684</v>
      </c>
      <c r="I200" s="245">
        <f t="shared" si="29"/>
        <v>2.7024305364455254</v>
      </c>
      <c r="J200" s="246">
        <f t="shared" si="31"/>
        <v>-0.72015930340595702</v>
      </c>
      <c r="K200" s="246">
        <f t="shared" si="30"/>
        <v>-0.36007965170297851</v>
      </c>
      <c r="L200" s="203"/>
      <c r="M200" s="203"/>
      <c r="N200" s="203"/>
      <c r="O200" s="203"/>
    </row>
    <row r="201" spans="1:15" ht="15" customHeight="1">
      <c r="A201" s="203"/>
      <c r="B201" s="840">
        <f t="shared" si="24"/>
        <v>2011</v>
      </c>
      <c r="C201" s="840"/>
      <c r="D201" s="208">
        <f t="shared" si="25"/>
        <v>123</v>
      </c>
      <c r="E201" s="244">
        <f t="shared" si="26"/>
        <v>1.5</v>
      </c>
      <c r="F201" s="206">
        <f t="shared" si="27"/>
        <v>2.25</v>
      </c>
      <c r="G201" s="844">
        <f t="shared" si="28"/>
        <v>477</v>
      </c>
      <c r="H201" s="259">
        <f t="shared" si="32"/>
        <v>2.0899051114393981</v>
      </c>
      <c r="I201" s="245">
        <f t="shared" si="29"/>
        <v>2.6785183790401139</v>
      </c>
      <c r="J201" s="246">
        <f t="shared" si="31"/>
        <v>-0.58861326760071586</v>
      </c>
      <c r="K201" s="246">
        <f t="shared" si="30"/>
        <v>-0.88291990140107379</v>
      </c>
      <c r="L201" s="203"/>
      <c r="M201" s="203"/>
      <c r="N201" s="203"/>
      <c r="O201" s="203"/>
    </row>
    <row r="202" spans="1:15" ht="15" customHeight="1">
      <c r="A202" s="203"/>
      <c r="B202" s="840">
        <f t="shared" si="24"/>
        <v>2012</v>
      </c>
      <c r="C202" s="840"/>
      <c r="D202" s="208">
        <f t="shared" si="25"/>
        <v>240</v>
      </c>
      <c r="E202" s="244">
        <f t="shared" si="26"/>
        <v>2.5</v>
      </c>
      <c r="F202" s="206">
        <f t="shared" si="27"/>
        <v>6.25</v>
      </c>
      <c r="G202" s="844">
        <f t="shared" si="28"/>
        <v>360</v>
      </c>
      <c r="H202" s="259">
        <f t="shared" si="32"/>
        <v>2.3802112417116059</v>
      </c>
      <c r="I202" s="245">
        <f t="shared" si="29"/>
        <v>2.5563025007672873</v>
      </c>
      <c r="J202" s="246">
        <f t="shared" si="31"/>
        <v>-0.17609125905568135</v>
      </c>
      <c r="K202" s="246">
        <f t="shared" si="30"/>
        <v>-0.44022814763920337</v>
      </c>
      <c r="L202" s="203"/>
      <c r="M202" s="203"/>
      <c r="N202" s="203"/>
      <c r="O202" s="203"/>
    </row>
    <row r="203" spans="1:15" ht="15" customHeight="1">
      <c r="A203" s="203"/>
      <c r="B203" s="840">
        <f t="shared" si="24"/>
        <v>2013</v>
      </c>
      <c r="C203" s="840"/>
      <c r="D203" s="208">
        <f t="shared" si="25"/>
        <v>214</v>
      </c>
      <c r="E203" s="244">
        <f t="shared" si="26"/>
        <v>3.5</v>
      </c>
      <c r="F203" s="206">
        <f t="shared" si="27"/>
        <v>12.25</v>
      </c>
      <c r="G203" s="844">
        <f t="shared" si="28"/>
        <v>386</v>
      </c>
      <c r="H203" s="259">
        <f t="shared" si="32"/>
        <v>2.330413773349191</v>
      </c>
      <c r="I203" s="245">
        <f t="shared" si="29"/>
        <v>2.5865873046717551</v>
      </c>
      <c r="J203" s="246">
        <f t="shared" si="31"/>
        <v>-0.25617353132256415</v>
      </c>
      <c r="K203" s="246">
        <f t="shared" si="30"/>
        <v>-0.89660735962897453</v>
      </c>
      <c r="L203" s="203"/>
      <c r="M203" s="203"/>
      <c r="N203" s="203"/>
      <c r="O203" s="203"/>
    </row>
    <row r="204" spans="1:15" ht="15" customHeight="1">
      <c r="A204" s="203"/>
      <c r="B204" s="840">
        <f t="shared" si="24"/>
        <v>2014</v>
      </c>
      <c r="C204" s="840"/>
      <c r="D204" s="208">
        <f t="shared" si="25"/>
        <v>187</v>
      </c>
      <c r="E204" s="244">
        <f t="shared" si="26"/>
        <v>4.5</v>
      </c>
      <c r="F204" s="206">
        <f t="shared" si="27"/>
        <v>20.25</v>
      </c>
      <c r="G204" s="844">
        <f t="shared" si="28"/>
        <v>413</v>
      </c>
      <c r="H204" s="259">
        <f t="shared" si="32"/>
        <v>2.271841606536499</v>
      </c>
      <c r="I204" s="245">
        <f t="shared" si="29"/>
        <v>2.6159500516564012</v>
      </c>
      <c r="J204" s="246">
        <f t="shared" si="31"/>
        <v>-0.34410844511990213</v>
      </c>
      <c r="K204" s="246">
        <f t="shared" si="30"/>
        <v>-1.5484880030395596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1079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-10.217631336270022</v>
      </c>
      <c r="K205" s="263">
        <f>SUM(K195:K204)</f>
        <v>21.981850806497743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2.3527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0.60982000000000003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3">ROUNDUP(E$192/(1+EXP(1)^(H$207-K$208*(B212-B$200+0.5))),0)</f>
        <v>358</v>
      </c>
      <c r="E212" s="208"/>
      <c r="F212" s="208">
        <v>0</v>
      </c>
      <c r="G212" s="208"/>
      <c r="H212" s="208">
        <f t="shared" ref="H212:H233" si="34">ROUND(D212*(1+F212),0)</f>
        <v>358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3"/>
        <v>439</v>
      </c>
      <c r="E213" s="269"/>
      <c r="F213" s="269">
        <v>0</v>
      </c>
      <c r="G213" s="269"/>
      <c r="H213" s="269">
        <f t="shared" si="34"/>
        <v>439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3"/>
        <v>501</v>
      </c>
      <c r="E214" s="221"/>
      <c r="F214" s="221">
        <v>0</v>
      </c>
      <c r="G214" s="221"/>
      <c r="H214" s="221">
        <f t="shared" si="34"/>
        <v>501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3"/>
        <v>542</v>
      </c>
      <c r="E215" s="221"/>
      <c r="F215" s="221">
        <v>0</v>
      </c>
      <c r="G215" s="221"/>
      <c r="H215" s="221">
        <f t="shared" si="34"/>
        <v>542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3"/>
        <v>567</v>
      </c>
      <c r="E216" s="221"/>
      <c r="F216" s="221">
        <v>0</v>
      </c>
      <c r="G216" s="221"/>
      <c r="H216" s="221">
        <f t="shared" si="34"/>
        <v>567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3"/>
        <v>582</v>
      </c>
      <c r="E217" s="221"/>
      <c r="F217" s="221">
        <v>0</v>
      </c>
      <c r="G217" s="221"/>
      <c r="H217" s="221">
        <f t="shared" si="34"/>
        <v>582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3"/>
        <v>590</v>
      </c>
      <c r="E218" s="269"/>
      <c r="F218" s="269">
        <v>0</v>
      </c>
      <c r="G218" s="269"/>
      <c r="H218" s="269">
        <f t="shared" si="34"/>
        <v>590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3"/>
        <v>595</v>
      </c>
      <c r="E219" s="221"/>
      <c r="F219" s="221">
        <v>0</v>
      </c>
      <c r="G219" s="221"/>
      <c r="H219" s="221">
        <f t="shared" si="34"/>
        <v>595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3"/>
        <v>597</v>
      </c>
      <c r="E220" s="221"/>
      <c r="F220" s="221">
        <v>0</v>
      </c>
      <c r="G220" s="221"/>
      <c r="H220" s="221">
        <f t="shared" si="34"/>
        <v>597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3"/>
        <v>599</v>
      </c>
      <c r="E221" s="221"/>
      <c r="F221" s="221">
        <v>0</v>
      </c>
      <c r="G221" s="221"/>
      <c r="H221" s="221">
        <f t="shared" si="34"/>
        <v>599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3"/>
        <v>600</v>
      </c>
      <c r="E222" s="221"/>
      <c r="F222" s="221">
        <v>0</v>
      </c>
      <c r="G222" s="221"/>
      <c r="H222" s="221">
        <f t="shared" si="34"/>
        <v>600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3"/>
        <v>600</v>
      </c>
      <c r="E223" s="269"/>
      <c r="F223" s="269">
        <v>0</v>
      </c>
      <c r="G223" s="269"/>
      <c r="H223" s="269">
        <f t="shared" si="34"/>
        <v>600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3"/>
        <v>600</v>
      </c>
      <c r="E224" s="221"/>
      <c r="F224" s="221">
        <v>0</v>
      </c>
      <c r="G224" s="221"/>
      <c r="H224" s="221">
        <f t="shared" si="34"/>
        <v>600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3"/>
        <v>600</v>
      </c>
      <c r="E225" s="221"/>
      <c r="F225" s="221">
        <v>0</v>
      </c>
      <c r="G225" s="221"/>
      <c r="H225" s="221">
        <f t="shared" si="34"/>
        <v>600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3"/>
        <v>600</v>
      </c>
      <c r="E226" s="221"/>
      <c r="F226" s="221">
        <v>0</v>
      </c>
      <c r="G226" s="221"/>
      <c r="H226" s="221">
        <f t="shared" si="34"/>
        <v>600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3"/>
        <v>600</v>
      </c>
      <c r="E227" s="221"/>
      <c r="F227" s="221">
        <v>0</v>
      </c>
      <c r="G227" s="221"/>
      <c r="H227" s="221">
        <f t="shared" si="34"/>
        <v>600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3"/>
        <v>600</v>
      </c>
      <c r="E228" s="269"/>
      <c r="F228" s="269">
        <v>0</v>
      </c>
      <c r="G228" s="269"/>
      <c r="H228" s="269">
        <f t="shared" si="34"/>
        <v>600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3"/>
        <v>600</v>
      </c>
      <c r="E229" s="221"/>
      <c r="F229" s="221">
        <v>0</v>
      </c>
      <c r="G229" s="221"/>
      <c r="H229" s="221">
        <f t="shared" si="34"/>
        <v>600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3"/>
        <v>600</v>
      </c>
      <c r="E230" s="221"/>
      <c r="F230" s="221">
        <v>0</v>
      </c>
      <c r="G230" s="221"/>
      <c r="H230" s="221">
        <f t="shared" si="34"/>
        <v>600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3"/>
        <v>600</v>
      </c>
      <c r="E231" s="221"/>
      <c r="F231" s="221">
        <v>0</v>
      </c>
      <c r="G231" s="221"/>
      <c r="H231" s="221">
        <f t="shared" si="34"/>
        <v>600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3"/>
        <v>600</v>
      </c>
      <c r="E232" s="221"/>
      <c r="F232" s="221">
        <v>0</v>
      </c>
      <c r="G232" s="221"/>
      <c r="H232" s="221">
        <f t="shared" si="34"/>
        <v>600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3"/>
        <v>600</v>
      </c>
      <c r="E233" s="269"/>
      <c r="F233" s="269">
        <v>0</v>
      </c>
      <c r="G233" s="269"/>
      <c r="H233" s="269">
        <f t="shared" si="34"/>
        <v>600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187</v>
      </c>
      <c r="E241" s="257">
        <f t="array" ref="E241">IF(B60=B241,H60)</f>
        <v>187</v>
      </c>
      <c r="F241" s="257">
        <f t="array" ref="F241">IF(B115=B241,H115)</f>
        <v>222</v>
      </c>
      <c r="G241" s="257">
        <f t="array" ref="G241">IF(B162=B241,H162)</f>
        <v>343</v>
      </c>
      <c r="H241" s="257">
        <f t="array" ref="H241">IF(B212=B241,H212)</f>
        <v>358</v>
      </c>
      <c r="I241" s="257">
        <f t="shared" ref="I241:I262" si="35">IF(G241=0,AVERAGE(D241,E241,F241,H241),AVERAGE(D241:H241))</f>
        <v>259.39999999999998</v>
      </c>
      <c r="J241" s="266">
        <f t="shared" ref="J241:J262" si="36">ROUND(AVERAGE(D241,F241:G241),0)</f>
        <v>251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208</v>
      </c>
      <c r="E242" s="271">
        <f t="array" ref="E242">IF(B61=B242,H61)</f>
        <v>215</v>
      </c>
      <c r="F242" s="271">
        <f t="array" ref="F242">IF(B116=B242,H116)</f>
        <v>247</v>
      </c>
      <c r="G242" s="271">
        <f t="array" ref="G242">IF(B163=B242,H163)</f>
        <v>424</v>
      </c>
      <c r="H242" s="271">
        <f t="array" ref="H242">IF(B213=B242,H213)</f>
        <v>439</v>
      </c>
      <c r="I242" s="271">
        <f t="shared" si="35"/>
        <v>306.60000000000002</v>
      </c>
      <c r="J242" s="273">
        <f t="shared" si="36"/>
        <v>293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229</v>
      </c>
      <c r="E243" s="257">
        <f t="array" ref="E243">IF(B62=B243,H62)</f>
        <v>248</v>
      </c>
      <c r="F243" s="257">
        <f t="array" ref="F243">IF(B117=B243,H117)</f>
        <v>273</v>
      </c>
      <c r="G243" s="257">
        <f t="array" ref="G243">IF(B164=B243,H164)</f>
        <v>515</v>
      </c>
      <c r="H243" s="257">
        <f t="array" ref="H243">IF(B214=B243,H214)</f>
        <v>501</v>
      </c>
      <c r="I243" s="257">
        <f t="shared" si="35"/>
        <v>353.2</v>
      </c>
      <c r="J243" s="266">
        <f t="shared" si="36"/>
        <v>339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249</v>
      </c>
      <c r="E244" s="257">
        <f t="array" ref="E244">IF(B63=B244,H63)</f>
        <v>285</v>
      </c>
      <c r="F244" s="257">
        <f t="array" ref="F244">IF(B118=B244,H118)</f>
        <v>298</v>
      </c>
      <c r="G244" s="257">
        <f t="array" ref="G244">IF(B165=B244,H165)</f>
        <v>615</v>
      </c>
      <c r="H244" s="257">
        <f t="array" ref="H244">IF(B215=B244,H215)</f>
        <v>542</v>
      </c>
      <c r="I244" s="257">
        <f t="shared" si="35"/>
        <v>397.8</v>
      </c>
      <c r="J244" s="266">
        <f t="shared" si="36"/>
        <v>387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270</v>
      </c>
      <c r="E245" s="257">
        <f t="array" ref="E245">IF(B64=B245,H64)</f>
        <v>328</v>
      </c>
      <c r="F245" s="257">
        <f t="array" ref="F245">IF(B119=B245,H119)</f>
        <v>323</v>
      </c>
      <c r="G245" s="257">
        <f t="array" ref="G245">IF(B166=B245,H166)</f>
        <v>724</v>
      </c>
      <c r="H245" s="257">
        <f t="array" ref="H245">IF(B216=B245,H216)</f>
        <v>567</v>
      </c>
      <c r="I245" s="257">
        <f t="shared" si="35"/>
        <v>442.4</v>
      </c>
      <c r="J245" s="266">
        <f t="shared" si="36"/>
        <v>439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291</v>
      </c>
      <c r="E246" s="257">
        <f t="array" ref="E246">IF(B65=B246,H65)</f>
        <v>377</v>
      </c>
      <c r="F246" s="257">
        <f t="array" ref="F246">IF(B120=B246,H120)</f>
        <v>349</v>
      </c>
      <c r="G246" s="257">
        <f t="array" ref="G246">IF(B167=B246,H167)</f>
        <v>841</v>
      </c>
      <c r="H246" s="257">
        <f t="array" ref="H246">IF(B217=B246,H217)</f>
        <v>582</v>
      </c>
      <c r="I246" s="257">
        <f t="shared" si="35"/>
        <v>488</v>
      </c>
      <c r="J246" s="266">
        <f t="shared" si="36"/>
        <v>494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312</v>
      </c>
      <c r="E247" s="271">
        <f t="array" ref="E247">IF(B66=B247,H66)</f>
        <v>434</v>
      </c>
      <c r="F247" s="271">
        <f t="array" ref="F247">IF(B121=B247,H121)</f>
        <v>374</v>
      </c>
      <c r="G247" s="271">
        <f t="array" ref="G247">IF(B168=B247,H168)</f>
        <v>968</v>
      </c>
      <c r="H247" s="271">
        <f t="array" ref="H247">IF(B218=B247,H218)</f>
        <v>590</v>
      </c>
      <c r="I247" s="271">
        <f t="shared" si="35"/>
        <v>535.6</v>
      </c>
      <c r="J247" s="273">
        <f t="shared" si="36"/>
        <v>551</v>
      </c>
      <c r="K247" s="272"/>
      <c r="L247" s="203"/>
      <c r="M247" s="203"/>
      <c r="N247" s="203"/>
      <c r="O247" s="203">
        <v>193</v>
      </c>
    </row>
    <row r="248" spans="1:15" ht="15" customHeight="1">
      <c r="A248" s="203"/>
      <c r="B248" s="220">
        <v>2021</v>
      </c>
      <c r="C248" s="221"/>
      <c r="D248" s="257">
        <f t="array" ref="D248">IF(B33=B248,H33)</f>
        <v>333</v>
      </c>
      <c r="E248" s="257">
        <f t="array" ref="E248">IF(B67=B248,H67)</f>
        <v>500</v>
      </c>
      <c r="F248" s="257">
        <f t="array" ref="F248">IF(B122=B248,H122)</f>
        <v>399</v>
      </c>
      <c r="G248" s="257">
        <f t="array" ref="G248">IF(B169=B248,H169)</f>
        <v>1104</v>
      </c>
      <c r="H248" s="257">
        <f t="array" ref="H248">IF(B219=B248,H219)</f>
        <v>595</v>
      </c>
      <c r="I248" s="257">
        <f t="shared" si="35"/>
        <v>586.20000000000005</v>
      </c>
      <c r="J248" s="266">
        <f t="shared" si="36"/>
        <v>612</v>
      </c>
      <c r="K248" s="258"/>
      <c r="L248" s="203"/>
      <c r="M248" s="203"/>
      <c r="N248" s="203"/>
      <c r="O248" s="203">
        <f>+O247*0.9</f>
        <v>173.70000000000002</v>
      </c>
    </row>
    <row r="249" spans="1:15" ht="15" customHeight="1">
      <c r="A249" s="203"/>
      <c r="B249" s="220">
        <v>2022</v>
      </c>
      <c r="C249" s="221"/>
      <c r="D249" s="257">
        <f t="array" ref="D249">IF(B34=B249,H34)</f>
        <v>353</v>
      </c>
      <c r="E249" s="257">
        <f t="array" ref="E249">IF(B68=B249,H68)</f>
        <v>575</v>
      </c>
      <c r="F249" s="257">
        <f t="array" ref="F249">IF(B123=B249,H123)</f>
        <v>424</v>
      </c>
      <c r="G249" s="257">
        <f t="array" ref="G249">IF(B170=B249,H170)</f>
        <v>1249</v>
      </c>
      <c r="H249" s="257">
        <f t="array" ref="H249">IF(B220=B249,H220)</f>
        <v>597</v>
      </c>
      <c r="I249" s="257">
        <f t="shared" si="35"/>
        <v>639.6</v>
      </c>
      <c r="J249" s="266">
        <f t="shared" si="36"/>
        <v>675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374</v>
      </c>
      <c r="E250" s="257">
        <f t="array" ref="E250">IF(B69=B250,H69)</f>
        <v>661</v>
      </c>
      <c r="F250" s="257">
        <f t="array" ref="F250">IF(B124=B250,H124)</f>
        <v>450</v>
      </c>
      <c r="G250" s="257">
        <f t="array" ref="G250">IF(B171=B250,H171)</f>
        <v>1403</v>
      </c>
      <c r="H250" s="257">
        <f t="array" ref="H250">IF(B221=B250,H221)</f>
        <v>599</v>
      </c>
      <c r="I250" s="257">
        <f t="shared" si="35"/>
        <v>697.4</v>
      </c>
      <c r="J250" s="266">
        <f t="shared" si="36"/>
        <v>742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395</v>
      </c>
      <c r="E251" s="257">
        <f t="array" ref="E251">IF(B70=B251,H70)</f>
        <v>761</v>
      </c>
      <c r="F251" s="257">
        <f t="array" ref="F251">IF(B125=B251,H125)</f>
        <v>475</v>
      </c>
      <c r="G251" s="257">
        <f t="array" ref="G251">IF(B172=B251,H172)</f>
        <v>1566</v>
      </c>
      <c r="H251" s="257">
        <f t="array" ref="H251">IF(B222=B251,H222)</f>
        <v>600</v>
      </c>
      <c r="I251" s="257">
        <f t="shared" si="35"/>
        <v>759.4</v>
      </c>
      <c r="J251" s="266">
        <f t="shared" si="36"/>
        <v>812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416</v>
      </c>
      <c r="E252" s="271">
        <f t="array" ref="E252">IF(B71=B252,H71)</f>
        <v>876</v>
      </c>
      <c r="F252" s="271">
        <f t="array" ref="F252">IF(B126=B252,H126)</f>
        <v>500</v>
      </c>
      <c r="G252" s="271">
        <f t="array" ref="G252">IF(B173=B252,H173)</f>
        <v>1738</v>
      </c>
      <c r="H252" s="271">
        <f t="array" ref="H252">IF(B223=B252,H223)</f>
        <v>600</v>
      </c>
      <c r="I252" s="271">
        <f t="shared" si="35"/>
        <v>826</v>
      </c>
      <c r="J252" s="273">
        <f t="shared" si="36"/>
        <v>885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437</v>
      </c>
      <c r="E253" s="257">
        <f t="array" ref="E253">IF(B72=B253,H72)</f>
        <v>1008</v>
      </c>
      <c r="F253" s="257">
        <f t="array" ref="F253">IF(B127=B253,H127)</f>
        <v>525</v>
      </c>
      <c r="G253" s="257">
        <f t="array" ref="G253">IF(B174=B253,H174)</f>
        <v>1919</v>
      </c>
      <c r="H253" s="257">
        <f t="array" ref="H253">IF(B224=B253,H224)</f>
        <v>600</v>
      </c>
      <c r="I253" s="257">
        <f t="shared" si="35"/>
        <v>897.8</v>
      </c>
      <c r="J253" s="266">
        <f t="shared" si="36"/>
        <v>960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457</v>
      </c>
      <c r="E254" s="257">
        <f t="array" ref="E254">IF(B73=B254,H73)</f>
        <v>1160</v>
      </c>
      <c r="F254" s="257">
        <f t="array" ref="F254">IF(B128=B254,H128)</f>
        <v>551</v>
      </c>
      <c r="G254" s="257">
        <f t="array" ref="G254">IF(B175=B254,H175)</f>
        <v>2110</v>
      </c>
      <c r="H254" s="257">
        <f t="array" ref="H254">IF(B225=B254,H225)</f>
        <v>600</v>
      </c>
      <c r="I254" s="257">
        <f t="shared" si="35"/>
        <v>975.6</v>
      </c>
      <c r="J254" s="266">
        <f t="shared" si="36"/>
        <v>1039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478</v>
      </c>
      <c r="E255" s="257">
        <f t="array" ref="E255">IF(B74=B255,H74)</f>
        <v>1335</v>
      </c>
      <c r="F255" s="257">
        <f t="array" ref="F255">IF(B129=B255,H129)</f>
        <v>576</v>
      </c>
      <c r="G255" s="257">
        <f t="array" ref="G255">IF(B176=B255,H176)</f>
        <v>2309</v>
      </c>
      <c r="H255" s="257">
        <f t="array" ref="H255">IF(B226=B255,H226)</f>
        <v>600</v>
      </c>
      <c r="I255" s="257">
        <f t="shared" si="35"/>
        <v>1059.5999999999999</v>
      </c>
      <c r="J255" s="266">
        <f t="shared" si="36"/>
        <v>1121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499</v>
      </c>
      <c r="E256" s="257">
        <f t="array" ref="E256">IF(B75=B256,H75)</f>
        <v>1536</v>
      </c>
      <c r="F256" s="257">
        <f t="array" ref="F256">IF(B130=B256,H130)</f>
        <v>601</v>
      </c>
      <c r="G256" s="257">
        <f t="array" ref="G256">IF(B177=B256,H177)</f>
        <v>2518</v>
      </c>
      <c r="H256" s="257">
        <f t="array" ref="H256">IF(B227=B256,H227)</f>
        <v>600</v>
      </c>
      <c r="I256" s="257">
        <f t="shared" si="35"/>
        <v>1150.8</v>
      </c>
      <c r="J256" s="266">
        <f t="shared" si="36"/>
        <v>1206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520</v>
      </c>
      <c r="E257" s="271">
        <f t="array" ref="E257">IF(B76=B257,H76)</f>
        <v>1767</v>
      </c>
      <c r="F257" s="271">
        <f t="array" ref="F257">IF(B131=B257,H131)</f>
        <v>627</v>
      </c>
      <c r="G257" s="271">
        <f t="array" ref="G257">IF(B178=B257,H178)</f>
        <v>2736</v>
      </c>
      <c r="H257" s="271">
        <f t="array" ref="H257">IF(B228=B257,H228)</f>
        <v>600</v>
      </c>
      <c r="I257" s="271">
        <f t="shared" si="35"/>
        <v>1250</v>
      </c>
      <c r="J257" s="273">
        <f t="shared" si="36"/>
        <v>1294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541</v>
      </c>
      <c r="E258" s="257">
        <f t="array" ref="E258">IF(B77=B258,H77)</f>
        <v>2033</v>
      </c>
      <c r="F258" s="257">
        <f t="array" ref="F258">IF(B132=B258,H132)</f>
        <v>652</v>
      </c>
      <c r="G258" s="257">
        <f t="array" ref="G258">IF(B179=B258,H179)</f>
        <v>2964</v>
      </c>
      <c r="H258" s="257">
        <f t="array" ref="H258">IF(B229=B258,H229)</f>
        <v>600</v>
      </c>
      <c r="I258" s="257">
        <f t="shared" si="35"/>
        <v>1358</v>
      </c>
      <c r="J258" s="266">
        <f t="shared" si="36"/>
        <v>1386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561</v>
      </c>
      <c r="E259" s="257">
        <f t="array" ref="E259">IF(B78=B259,H78)</f>
        <v>2340</v>
      </c>
      <c r="F259" s="257">
        <f t="array" ref="F259">IF(B133=B259,H133)</f>
        <v>677</v>
      </c>
      <c r="G259" s="257">
        <f t="array" ref="G259">IF(B180=B259,H180)</f>
        <v>3200</v>
      </c>
      <c r="H259" s="257">
        <f t="array" ref="H259">IF(B230=B259,H230)</f>
        <v>600</v>
      </c>
      <c r="I259" s="257">
        <f t="shared" si="35"/>
        <v>1475.6</v>
      </c>
      <c r="J259" s="266">
        <f t="shared" si="36"/>
        <v>1479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582</v>
      </c>
      <c r="E260" s="257">
        <f t="array" ref="E260">IF(B79=B260,H79)</f>
        <v>2692</v>
      </c>
      <c r="F260" s="257">
        <f t="array" ref="F260">IF(B134=B260,H134)</f>
        <v>702</v>
      </c>
      <c r="G260" s="257">
        <f t="array" ref="G260">IF(B181=B260,H181)</f>
        <v>3446</v>
      </c>
      <c r="H260" s="257">
        <f t="array" ref="H260">IF(B231=B260,H231)</f>
        <v>600</v>
      </c>
      <c r="I260" s="257">
        <f t="shared" si="35"/>
        <v>1604.4</v>
      </c>
      <c r="J260" s="266">
        <f t="shared" si="36"/>
        <v>1577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603</v>
      </c>
      <c r="E261" s="257">
        <f t="array" ref="E261">IF(B80=B261,H80)</f>
        <v>3098</v>
      </c>
      <c r="F261" s="257">
        <f t="array" ref="F261">IF(B135=B261,H135)</f>
        <v>728</v>
      </c>
      <c r="G261" s="257">
        <f t="array" ref="G261">IF(B182=B261,H182)</f>
        <v>3701</v>
      </c>
      <c r="H261" s="257">
        <f t="array" ref="H261">IF(B232=B261,H232)</f>
        <v>600</v>
      </c>
      <c r="I261" s="257">
        <f t="shared" si="35"/>
        <v>1746</v>
      </c>
      <c r="J261" s="266">
        <f t="shared" si="36"/>
        <v>1677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624</v>
      </c>
      <c r="E262" s="271">
        <f t="array" ref="E262">IF(B81=B262,H81)</f>
        <v>3565</v>
      </c>
      <c r="F262" s="271">
        <f t="array" ref="F262">IF(B136=B262,H136)</f>
        <v>753</v>
      </c>
      <c r="G262" s="271">
        <f t="array" ref="G262">IF(B183=B262,H183)</f>
        <v>3966</v>
      </c>
      <c r="H262" s="271">
        <f t="array" ref="H262">IF(B233=B262,H233)</f>
        <v>600</v>
      </c>
      <c r="I262" s="271">
        <f t="shared" si="35"/>
        <v>1901.6</v>
      </c>
      <c r="J262" s="273">
        <f t="shared" si="36"/>
        <v>1781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1325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1781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2010</v>
      </c>
      <c r="C7" s="840"/>
      <c r="D7" s="844">
        <f>+'삼성면(10년) (사)'!D12</f>
        <v>96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2011</v>
      </c>
      <c r="C8" s="840"/>
      <c r="D8" s="844">
        <f>+'삼성면(10년) (사)'!D13</f>
        <v>123</v>
      </c>
      <c r="E8" s="844"/>
      <c r="F8" s="206">
        <f>D8-D7</f>
        <v>27</v>
      </c>
      <c r="G8" s="206"/>
      <c r="H8" s="207">
        <f>ROUND(F8/D7*100,2)</f>
        <v>28.13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2012</v>
      </c>
      <c r="C9" s="840"/>
      <c r="D9" s="844">
        <f>+'삼성면(10년) (사)'!D14</f>
        <v>240</v>
      </c>
      <c r="E9" s="844"/>
      <c r="F9" s="206">
        <f>D9-D8</f>
        <v>117</v>
      </c>
      <c r="G9" s="206"/>
      <c r="H9" s="207">
        <f>ROUND(F9/D8*100,2)</f>
        <v>95.12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2013</v>
      </c>
      <c r="C10" s="840"/>
      <c r="D10" s="844">
        <f>+'삼성면(10년) (사)'!D15</f>
        <v>214</v>
      </c>
      <c r="E10" s="844"/>
      <c r="F10" s="206">
        <f>D10-D9</f>
        <v>-26</v>
      </c>
      <c r="G10" s="206"/>
      <c r="H10" s="207">
        <f>ROUND(F10/D9*100,2)</f>
        <v>-10.83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2014</v>
      </c>
      <c r="C11" s="840"/>
      <c r="D11" s="844">
        <f>+'삼성면(10년) (사)'!D16</f>
        <v>187</v>
      </c>
      <c r="E11" s="844"/>
      <c r="F11" s="206">
        <f>D11-D10</f>
        <v>-27</v>
      </c>
      <c r="G11" s="206"/>
      <c r="H11" s="207">
        <f>ROUND(F11/D10*100,2)</f>
        <v>-12.62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860</v>
      </c>
      <c r="E12" s="214"/>
      <c r="F12" s="215"/>
      <c r="G12" s="215"/>
      <c r="H12" s="216">
        <f>SUM(H7:H11)</f>
        <v>99.8</v>
      </c>
      <c r="I12" s="216"/>
      <c r="J12" s="217">
        <f>ROUND(AVERAGE(H7:H11),1)</f>
        <v>20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187</v>
      </c>
      <c r="E21" s="221"/>
      <c r="F21" s="221">
        <v>0</v>
      </c>
      <c r="G21" s="221"/>
      <c r="H21" s="221">
        <f t="shared" ref="H21:H42" si="1">ROUND(D21*(1+F21),0)</f>
        <v>187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210</v>
      </c>
      <c r="E22" s="269"/>
      <c r="F22" s="269">
        <v>0</v>
      </c>
      <c r="G22" s="269"/>
      <c r="H22" s="269">
        <f t="shared" si="1"/>
        <v>210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233</v>
      </c>
      <c r="E23" s="221"/>
      <c r="F23" s="221">
        <v>0</v>
      </c>
      <c r="G23" s="221"/>
      <c r="H23" s="221">
        <f t="shared" si="1"/>
        <v>233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255</v>
      </c>
      <c r="E24" s="221"/>
      <c r="F24" s="221">
        <v>0</v>
      </c>
      <c r="G24" s="221"/>
      <c r="H24" s="221">
        <f t="shared" si="1"/>
        <v>255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278</v>
      </c>
      <c r="E25" s="221"/>
      <c r="F25" s="221">
        <v>0</v>
      </c>
      <c r="G25" s="221"/>
      <c r="H25" s="221">
        <f t="shared" si="1"/>
        <v>278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301</v>
      </c>
      <c r="E26" s="221"/>
      <c r="F26" s="221">
        <v>0</v>
      </c>
      <c r="G26" s="221"/>
      <c r="H26" s="221">
        <f t="shared" si="1"/>
        <v>301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324</v>
      </c>
      <c r="E27" s="269"/>
      <c r="F27" s="269">
        <v>0</v>
      </c>
      <c r="G27" s="269"/>
      <c r="H27" s="269">
        <f t="shared" si="1"/>
        <v>324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347</v>
      </c>
      <c r="E28" s="221"/>
      <c r="F28" s="221">
        <v>0</v>
      </c>
      <c r="G28" s="221"/>
      <c r="H28" s="221">
        <f t="shared" si="1"/>
        <v>347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369</v>
      </c>
      <c r="E29" s="221"/>
      <c r="F29" s="221">
        <v>0</v>
      </c>
      <c r="G29" s="221"/>
      <c r="H29" s="221">
        <f t="shared" si="1"/>
        <v>369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392</v>
      </c>
      <c r="E30" s="221"/>
      <c r="F30" s="221">
        <v>0</v>
      </c>
      <c r="G30" s="221"/>
      <c r="H30" s="221">
        <f t="shared" si="1"/>
        <v>392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415</v>
      </c>
      <c r="E31" s="221"/>
      <c r="F31" s="221">
        <v>0</v>
      </c>
      <c r="G31" s="221"/>
      <c r="H31" s="221">
        <f t="shared" si="1"/>
        <v>415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438</v>
      </c>
      <c r="E32" s="269"/>
      <c r="F32" s="269">
        <v>0</v>
      </c>
      <c r="G32" s="269"/>
      <c r="H32" s="269">
        <f t="shared" si="1"/>
        <v>438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461</v>
      </c>
      <c r="E33" s="221"/>
      <c r="F33" s="221">
        <v>0</v>
      </c>
      <c r="G33" s="221"/>
      <c r="H33" s="221">
        <f t="shared" si="1"/>
        <v>461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483</v>
      </c>
      <c r="E34" s="221"/>
      <c r="F34" s="221">
        <v>0</v>
      </c>
      <c r="G34" s="221"/>
      <c r="H34" s="221">
        <f t="shared" si="1"/>
        <v>483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506</v>
      </c>
      <c r="E35" s="221"/>
      <c r="F35" s="221">
        <v>0</v>
      </c>
      <c r="G35" s="221"/>
      <c r="H35" s="221">
        <f t="shared" si="1"/>
        <v>506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529</v>
      </c>
      <c r="E36" s="221"/>
      <c r="F36" s="221">
        <v>0</v>
      </c>
      <c r="G36" s="221"/>
      <c r="H36" s="221">
        <f t="shared" si="1"/>
        <v>529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552</v>
      </c>
      <c r="E37" s="269"/>
      <c r="F37" s="269">
        <v>0</v>
      </c>
      <c r="G37" s="269"/>
      <c r="H37" s="269">
        <f t="shared" si="1"/>
        <v>552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575</v>
      </c>
      <c r="E38" s="221"/>
      <c r="F38" s="221">
        <v>0</v>
      </c>
      <c r="G38" s="221"/>
      <c r="H38" s="221">
        <f t="shared" si="1"/>
        <v>575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597</v>
      </c>
      <c r="E39" s="221"/>
      <c r="F39" s="221">
        <v>0</v>
      </c>
      <c r="G39" s="221"/>
      <c r="H39" s="221">
        <f t="shared" si="1"/>
        <v>597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620</v>
      </c>
      <c r="E40" s="221"/>
      <c r="F40" s="221">
        <v>0</v>
      </c>
      <c r="G40" s="221"/>
      <c r="H40" s="221">
        <f t="shared" si="1"/>
        <v>620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643</v>
      </c>
      <c r="E41" s="221"/>
      <c r="F41" s="221">
        <v>0</v>
      </c>
      <c r="G41" s="221"/>
      <c r="H41" s="221">
        <f t="shared" si="1"/>
        <v>643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666</v>
      </c>
      <c r="E42" s="269"/>
      <c r="F42" s="269">
        <v>0</v>
      </c>
      <c r="G42" s="269"/>
      <c r="H42" s="269">
        <f t="shared" si="1"/>
        <v>666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187</v>
      </c>
      <c r="F43" s="226"/>
      <c r="G43" s="224" t="s">
        <v>162</v>
      </c>
      <c r="H43" s="224">
        <f>ROUND((D$11-D$7)/(COUNT(D$7:D$11)-1),1)</f>
        <v>22.8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187</v>
      </c>
      <c r="E55" s="221"/>
      <c r="F55" s="221">
        <v>0</v>
      </c>
      <c r="G55" s="221"/>
      <c r="H55" s="221">
        <f t="shared" ref="H55:H76" si="3">ROUND(D55*(1+F55),0)</f>
        <v>187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221</v>
      </c>
      <c r="E56" s="269"/>
      <c r="F56" s="269">
        <v>0</v>
      </c>
      <c r="G56" s="269"/>
      <c r="H56" s="269">
        <f t="shared" si="3"/>
        <v>221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261</v>
      </c>
      <c r="E57" s="221"/>
      <c r="F57" s="221">
        <v>0</v>
      </c>
      <c r="G57" s="221"/>
      <c r="H57" s="221">
        <f t="shared" si="3"/>
        <v>261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308</v>
      </c>
      <c r="E58" s="221"/>
      <c r="F58" s="221">
        <v>0</v>
      </c>
      <c r="G58" s="221"/>
      <c r="H58" s="221">
        <f t="shared" si="3"/>
        <v>308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364</v>
      </c>
      <c r="E59" s="221"/>
      <c r="F59" s="221">
        <v>0</v>
      </c>
      <c r="G59" s="221"/>
      <c r="H59" s="221">
        <f t="shared" si="3"/>
        <v>364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430</v>
      </c>
      <c r="E60" s="221"/>
      <c r="F60" s="221">
        <v>0</v>
      </c>
      <c r="G60" s="221"/>
      <c r="H60" s="221">
        <f t="shared" si="3"/>
        <v>430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508</v>
      </c>
      <c r="E61" s="269"/>
      <c r="F61" s="269">
        <v>0</v>
      </c>
      <c r="G61" s="269"/>
      <c r="H61" s="269">
        <f t="shared" si="3"/>
        <v>508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601</v>
      </c>
      <c r="E62" s="221"/>
      <c r="F62" s="221">
        <v>0</v>
      </c>
      <c r="G62" s="221"/>
      <c r="H62" s="221">
        <f t="shared" si="3"/>
        <v>601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710</v>
      </c>
      <c r="E63" s="221"/>
      <c r="F63" s="221">
        <v>0</v>
      </c>
      <c r="G63" s="221"/>
      <c r="H63" s="221">
        <f t="shared" si="3"/>
        <v>710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838</v>
      </c>
      <c r="E64" s="221"/>
      <c r="F64" s="221">
        <v>0</v>
      </c>
      <c r="G64" s="221"/>
      <c r="H64" s="221">
        <f t="shared" si="3"/>
        <v>838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990</v>
      </c>
      <c r="E65" s="221"/>
      <c r="F65" s="221">
        <v>0</v>
      </c>
      <c r="G65" s="221"/>
      <c r="H65" s="221">
        <f t="shared" si="3"/>
        <v>990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1170</v>
      </c>
      <c r="E66" s="269"/>
      <c r="F66" s="269">
        <v>0</v>
      </c>
      <c r="G66" s="269"/>
      <c r="H66" s="269">
        <f t="shared" si="3"/>
        <v>1170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1382</v>
      </c>
      <c r="E67" s="221"/>
      <c r="F67" s="221">
        <v>0</v>
      </c>
      <c r="G67" s="221"/>
      <c r="H67" s="221">
        <f t="shared" si="3"/>
        <v>1382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1633</v>
      </c>
      <c r="E68" s="221"/>
      <c r="F68" s="221">
        <v>0</v>
      </c>
      <c r="G68" s="221"/>
      <c r="H68" s="221">
        <f t="shared" si="3"/>
        <v>1633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1929</v>
      </c>
      <c r="E69" s="221"/>
      <c r="F69" s="221">
        <v>0</v>
      </c>
      <c r="G69" s="221"/>
      <c r="H69" s="221">
        <f t="shared" si="3"/>
        <v>1929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2279</v>
      </c>
      <c r="E70" s="221"/>
      <c r="F70" s="221">
        <v>0</v>
      </c>
      <c r="G70" s="221"/>
      <c r="H70" s="221">
        <f t="shared" si="3"/>
        <v>2279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2692</v>
      </c>
      <c r="E71" s="269"/>
      <c r="F71" s="269">
        <v>0</v>
      </c>
      <c r="G71" s="269"/>
      <c r="H71" s="269">
        <f t="shared" si="3"/>
        <v>2692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3181</v>
      </c>
      <c r="E72" s="221"/>
      <c r="F72" s="221">
        <v>0</v>
      </c>
      <c r="G72" s="221"/>
      <c r="H72" s="221">
        <f t="shared" si="3"/>
        <v>3181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3758</v>
      </c>
      <c r="E73" s="221"/>
      <c r="F73" s="221">
        <v>0</v>
      </c>
      <c r="G73" s="221"/>
      <c r="H73" s="221">
        <f t="shared" si="3"/>
        <v>3758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4439</v>
      </c>
      <c r="E74" s="221"/>
      <c r="F74" s="221">
        <v>0</v>
      </c>
      <c r="G74" s="221"/>
      <c r="H74" s="221">
        <f t="shared" si="3"/>
        <v>4439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5244</v>
      </c>
      <c r="E75" s="221"/>
      <c r="F75" s="221">
        <v>0</v>
      </c>
      <c r="G75" s="221"/>
      <c r="H75" s="221">
        <f t="shared" si="3"/>
        <v>5244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6196</v>
      </c>
      <c r="E76" s="269"/>
      <c r="F76" s="269">
        <v>0</v>
      </c>
      <c r="G76" s="269"/>
      <c r="H76" s="269">
        <f t="shared" si="3"/>
        <v>6196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187</v>
      </c>
      <c r="F77" s="226"/>
      <c r="G77" s="224" t="s">
        <v>179</v>
      </c>
      <c r="H77" s="224">
        <f>ROUND((E$77/D$7)^(1/(COUNT(D$7:D$11)-1)),6)</f>
        <v>1.1813880000000001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840">
        <f>B7</f>
        <v>2010</v>
      </c>
      <c r="C94" s="840"/>
      <c r="D94" s="208">
        <f>VLOOKUP(B94,B$7:E$11,3,FALSE)</f>
        <v>96</v>
      </c>
      <c r="E94" s="840">
        <f>((COUNT(B$94:B$98)-1)/2)+(B94-$C$4)</f>
        <v>-2</v>
      </c>
      <c r="F94" s="208">
        <f>E94^2</f>
        <v>4</v>
      </c>
      <c r="G94" s="206"/>
      <c r="H94" s="230">
        <f>ROUND(D94*E94,2)</f>
        <v>-192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>B8</f>
        <v>2011</v>
      </c>
      <c r="C95" s="840"/>
      <c r="D95" s="208">
        <f>VLOOKUP(B95,B$7:E$11,3,FALSE)</f>
        <v>123</v>
      </c>
      <c r="E95" s="840">
        <f>((COUNT(B$94:B$98)-1)/2)+(B95-$C$4)</f>
        <v>-1</v>
      </c>
      <c r="F95" s="208">
        <f>E95^2</f>
        <v>1</v>
      </c>
      <c r="G95" s="206"/>
      <c r="H95" s="230">
        <f>ROUND(D95*E95,2)</f>
        <v>-123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>B9</f>
        <v>2012</v>
      </c>
      <c r="C96" s="840"/>
      <c r="D96" s="208">
        <f>VLOOKUP(B96,B$7:E$11,3,FALSE)</f>
        <v>240</v>
      </c>
      <c r="E96" s="840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840">
        <f>B10</f>
        <v>2013</v>
      </c>
      <c r="C97" s="840"/>
      <c r="D97" s="208">
        <f>VLOOKUP(B97,B$7:E$11,3,FALSE)</f>
        <v>214</v>
      </c>
      <c r="E97" s="840">
        <f>((COUNT(B$94:B$98)-1)/2)+(B97-$C$4)</f>
        <v>1</v>
      </c>
      <c r="F97" s="208">
        <f>E97^2</f>
        <v>1</v>
      </c>
      <c r="G97" s="206"/>
      <c r="H97" s="230">
        <f>ROUND(D97*E97,2)</f>
        <v>214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840">
        <f>B11</f>
        <v>2014</v>
      </c>
      <c r="C98" s="840"/>
      <c r="D98" s="208">
        <f>VLOOKUP(B98,B$7:E$11,3,FALSE)</f>
        <v>187</v>
      </c>
      <c r="E98" s="840">
        <f>((COUNT(B$94:B$98)-1)/2)+(B98-$C$4)</f>
        <v>2</v>
      </c>
      <c r="F98" s="208">
        <f>E98^2</f>
        <v>4</v>
      </c>
      <c r="G98" s="206"/>
      <c r="H98" s="230">
        <f>ROUND(D98*E98,2)</f>
        <v>374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860</v>
      </c>
      <c r="E99" s="215"/>
      <c r="F99" s="233">
        <f>ROUND(SUM(F94:F98),0)</f>
        <v>10</v>
      </c>
      <c r="G99" s="212"/>
      <c r="H99" s="211">
        <f>SUM(H94:H98)</f>
        <v>273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27.3</v>
      </c>
      <c r="H100" s="236" t="s">
        <v>199</v>
      </c>
      <c r="I100" s="201"/>
      <c r="J100" s="201"/>
      <c r="K100" s="201">
        <f>ROUND((F99*D99-H99*E99)/(COUNT(B$94:B$98)*F99-E99*E99),0)</f>
        <v>172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227</v>
      </c>
      <c r="E105" s="221"/>
      <c r="F105" s="221">
        <v>0</v>
      </c>
      <c r="G105" s="221"/>
      <c r="H105" s="221">
        <f t="shared" ref="H105:H126" si="5">ROUND(D105*(1+F105),0)</f>
        <v>227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254</v>
      </c>
      <c r="E106" s="269"/>
      <c r="F106" s="269">
        <v>0</v>
      </c>
      <c r="G106" s="269"/>
      <c r="H106" s="269">
        <f t="shared" si="5"/>
        <v>254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282</v>
      </c>
      <c r="E107" s="221"/>
      <c r="F107" s="221">
        <v>0</v>
      </c>
      <c r="G107" s="221"/>
      <c r="H107" s="221">
        <f t="shared" si="5"/>
        <v>282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309</v>
      </c>
      <c r="E108" s="221"/>
      <c r="F108" s="221">
        <v>0</v>
      </c>
      <c r="G108" s="221"/>
      <c r="H108" s="221">
        <f t="shared" si="5"/>
        <v>309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336</v>
      </c>
      <c r="E109" s="221"/>
      <c r="F109" s="221">
        <v>0</v>
      </c>
      <c r="G109" s="221"/>
      <c r="H109" s="221">
        <f t="shared" si="5"/>
        <v>336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364</v>
      </c>
      <c r="E110" s="221"/>
      <c r="F110" s="221">
        <v>0</v>
      </c>
      <c r="G110" s="221"/>
      <c r="H110" s="221">
        <f t="shared" si="5"/>
        <v>364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391</v>
      </c>
      <c r="E111" s="269"/>
      <c r="F111" s="269">
        <v>0</v>
      </c>
      <c r="G111" s="269"/>
      <c r="H111" s="269">
        <f t="shared" si="5"/>
        <v>391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418</v>
      </c>
      <c r="E112" s="221"/>
      <c r="F112" s="221">
        <v>0</v>
      </c>
      <c r="G112" s="221"/>
      <c r="H112" s="221">
        <f t="shared" si="5"/>
        <v>418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445</v>
      </c>
      <c r="E113" s="221"/>
      <c r="F113" s="221">
        <v>0</v>
      </c>
      <c r="G113" s="221"/>
      <c r="H113" s="221">
        <f t="shared" si="5"/>
        <v>445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473</v>
      </c>
      <c r="E114" s="221"/>
      <c r="F114" s="221">
        <v>0</v>
      </c>
      <c r="G114" s="221"/>
      <c r="H114" s="221">
        <f t="shared" si="5"/>
        <v>473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500</v>
      </c>
      <c r="E115" s="221"/>
      <c r="F115" s="221">
        <v>0</v>
      </c>
      <c r="G115" s="221"/>
      <c r="H115" s="221">
        <f t="shared" si="5"/>
        <v>500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527</v>
      </c>
      <c r="E116" s="269"/>
      <c r="F116" s="269">
        <v>0</v>
      </c>
      <c r="G116" s="269"/>
      <c r="H116" s="269">
        <f t="shared" si="5"/>
        <v>527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555</v>
      </c>
      <c r="E117" s="221"/>
      <c r="F117" s="221">
        <v>0</v>
      </c>
      <c r="G117" s="221"/>
      <c r="H117" s="221">
        <f t="shared" si="5"/>
        <v>555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582</v>
      </c>
      <c r="E118" s="221"/>
      <c r="F118" s="221">
        <v>0</v>
      </c>
      <c r="G118" s="221"/>
      <c r="H118" s="221">
        <f t="shared" si="5"/>
        <v>582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609</v>
      </c>
      <c r="E119" s="221"/>
      <c r="F119" s="221">
        <v>0</v>
      </c>
      <c r="G119" s="221"/>
      <c r="H119" s="221">
        <f t="shared" si="5"/>
        <v>609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637</v>
      </c>
      <c r="E120" s="221"/>
      <c r="F120" s="221">
        <v>0</v>
      </c>
      <c r="G120" s="221"/>
      <c r="H120" s="221">
        <f t="shared" si="5"/>
        <v>637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664</v>
      </c>
      <c r="E121" s="269"/>
      <c r="F121" s="269">
        <v>0</v>
      </c>
      <c r="G121" s="269"/>
      <c r="H121" s="269">
        <f t="shared" si="5"/>
        <v>664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691</v>
      </c>
      <c r="E122" s="221"/>
      <c r="F122" s="221">
        <v>0</v>
      </c>
      <c r="G122" s="221"/>
      <c r="H122" s="221">
        <f t="shared" si="5"/>
        <v>691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718</v>
      </c>
      <c r="E123" s="221"/>
      <c r="F123" s="221">
        <v>0</v>
      </c>
      <c r="G123" s="221"/>
      <c r="H123" s="221">
        <f t="shared" si="5"/>
        <v>718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746</v>
      </c>
      <c r="E124" s="221"/>
      <c r="F124" s="221">
        <v>0</v>
      </c>
      <c r="G124" s="221"/>
      <c r="H124" s="221">
        <f t="shared" si="5"/>
        <v>746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773</v>
      </c>
      <c r="E125" s="221"/>
      <c r="F125" s="221">
        <v>0</v>
      </c>
      <c r="G125" s="221"/>
      <c r="H125" s="221">
        <f t="shared" si="5"/>
        <v>773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800</v>
      </c>
      <c r="E126" s="269"/>
      <c r="F126" s="269">
        <v>0</v>
      </c>
      <c r="G126" s="269"/>
      <c r="H126" s="269">
        <f t="shared" si="5"/>
        <v>800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840">
        <f>B94</f>
        <v>2010</v>
      </c>
      <c r="C136" s="840"/>
      <c r="D136" s="208">
        <f>VLOOKUP(B136,B$7:E$11,3,FALSE)</f>
        <v>96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840">
        <f>B95</f>
        <v>2011</v>
      </c>
      <c r="C137" s="840"/>
      <c r="D137" s="208">
        <f>VLOOKUP(B137,B$7:E$11,3,FALSE)</f>
        <v>123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27</v>
      </c>
      <c r="I137" s="231"/>
      <c r="J137" s="247">
        <f>IF(H137="","",LOG(H137))</f>
        <v>1.4313637641589874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840">
        <f>B96</f>
        <v>2012</v>
      </c>
      <c r="C138" s="840"/>
      <c r="D138" s="208">
        <f>VLOOKUP(B138,B$7:E$11,3,FALSE)</f>
        <v>240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144</v>
      </c>
      <c r="I138" s="231"/>
      <c r="J138" s="247">
        <f>IF(H138="","",LOG(H138))</f>
        <v>2.1583624920952498</v>
      </c>
      <c r="K138" s="247">
        <f>IF(J138="","",J138*F138)</f>
        <v>0.64973185163673264</v>
      </c>
      <c r="L138" s="203"/>
      <c r="M138" s="203"/>
      <c r="N138" s="203"/>
      <c r="O138" s="203"/>
    </row>
    <row r="139" spans="1:15" ht="15" customHeight="1">
      <c r="A139" s="203"/>
      <c r="B139" s="840">
        <f>B97</f>
        <v>2013</v>
      </c>
      <c r="C139" s="840"/>
      <c r="D139" s="208">
        <f>VLOOKUP(B139,B$7:E$11,3,FALSE)</f>
        <v>214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118</v>
      </c>
      <c r="I139" s="231"/>
      <c r="J139" s="247">
        <f>IF(H139="","",LOG(H139))</f>
        <v>2.0718820073061255</v>
      </c>
      <c r="K139" s="247">
        <f>IF(J139="","",J139*F139)</f>
        <v>0.98853894295699141</v>
      </c>
      <c r="L139" s="203"/>
      <c r="M139" s="203"/>
      <c r="N139" s="203"/>
      <c r="O139" s="203"/>
    </row>
    <row r="140" spans="1:15" ht="15" customHeight="1">
      <c r="A140" s="203"/>
      <c r="B140" s="840">
        <f>B98</f>
        <v>2014</v>
      </c>
      <c r="C140" s="840"/>
      <c r="D140" s="208">
        <f>VLOOKUP(B140,B$7:E$11,3,FALSE)</f>
        <v>187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91</v>
      </c>
      <c r="I140" s="231"/>
      <c r="J140" s="247">
        <f>IF(H140="","",LOG(H140))</f>
        <v>1.9590413923210936</v>
      </c>
      <c r="K140" s="247">
        <f>IF(J140="","",J140*F140)</f>
        <v>1.1794604436719571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7.620649655881456</v>
      </c>
      <c r="K141" s="253">
        <f>IF(K140="","",SUM(K136:K140))</f>
        <v>2.8177312382656812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12.87314849223581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0.92034000000000005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>IF(J$142=0,0,ROUNDUP(D$140+E$142*(B147-B$140)^J$142,0))</f>
        <v>187</v>
      </c>
      <c r="E147" s="257"/>
      <c r="F147" s="844">
        <v>0</v>
      </c>
      <c r="G147" s="844"/>
      <c r="H147" s="844">
        <f t="shared" ref="H147:H168" si="6">ROUND(D147*(1+F147),0)</f>
        <v>187</v>
      </c>
      <c r="I147" s="844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ref="D148:D168" si="7">IF(J$142=0,0,ROUNDUP(D$136+E$142*(B148-B$136)^J$142,0))</f>
        <v>153</v>
      </c>
      <c r="E148" s="271"/>
      <c r="F148" s="272">
        <v>0</v>
      </c>
      <c r="G148" s="272"/>
      <c r="H148" s="272">
        <f t="shared" si="6"/>
        <v>153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7"/>
        <v>163</v>
      </c>
      <c r="E149" s="257"/>
      <c r="F149" s="258">
        <v>0</v>
      </c>
      <c r="G149" s="258"/>
      <c r="H149" s="258">
        <f t="shared" si="6"/>
        <v>163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7"/>
        <v>174</v>
      </c>
      <c r="E150" s="257"/>
      <c r="F150" s="258">
        <v>0</v>
      </c>
      <c r="G150" s="258"/>
      <c r="H150" s="258">
        <f t="shared" si="6"/>
        <v>174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7"/>
        <v>184</v>
      </c>
      <c r="E151" s="257"/>
      <c r="F151" s="258">
        <v>0</v>
      </c>
      <c r="G151" s="258"/>
      <c r="H151" s="258">
        <f t="shared" si="6"/>
        <v>184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7"/>
        <v>194</v>
      </c>
      <c r="E152" s="257"/>
      <c r="F152" s="258">
        <v>0</v>
      </c>
      <c r="G152" s="258"/>
      <c r="H152" s="258">
        <f t="shared" si="6"/>
        <v>194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7"/>
        <v>204</v>
      </c>
      <c r="E153" s="271"/>
      <c r="F153" s="272">
        <v>0</v>
      </c>
      <c r="G153" s="272"/>
      <c r="H153" s="272">
        <f t="shared" si="6"/>
        <v>204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7"/>
        <v>213</v>
      </c>
      <c r="E154" s="257"/>
      <c r="F154" s="258">
        <v>0</v>
      </c>
      <c r="G154" s="258"/>
      <c r="H154" s="258">
        <f t="shared" si="6"/>
        <v>213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7"/>
        <v>223</v>
      </c>
      <c r="E155" s="257"/>
      <c r="F155" s="258">
        <v>0</v>
      </c>
      <c r="G155" s="258"/>
      <c r="H155" s="258">
        <f t="shared" si="6"/>
        <v>223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7"/>
        <v>233</v>
      </c>
      <c r="E156" s="257"/>
      <c r="F156" s="258">
        <v>0</v>
      </c>
      <c r="G156" s="258"/>
      <c r="H156" s="258">
        <f t="shared" si="6"/>
        <v>233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7"/>
        <v>243</v>
      </c>
      <c r="E157" s="257"/>
      <c r="F157" s="258">
        <v>0</v>
      </c>
      <c r="G157" s="258"/>
      <c r="H157" s="258">
        <f t="shared" si="6"/>
        <v>243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7"/>
        <v>252</v>
      </c>
      <c r="E158" s="271"/>
      <c r="F158" s="272">
        <v>0</v>
      </c>
      <c r="G158" s="272"/>
      <c r="H158" s="272">
        <f t="shared" si="6"/>
        <v>252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7"/>
        <v>262</v>
      </c>
      <c r="E159" s="257"/>
      <c r="F159" s="258">
        <v>0</v>
      </c>
      <c r="G159" s="258"/>
      <c r="H159" s="258">
        <f t="shared" si="6"/>
        <v>262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7"/>
        <v>271</v>
      </c>
      <c r="E160" s="257"/>
      <c r="F160" s="258">
        <v>0</v>
      </c>
      <c r="G160" s="258"/>
      <c r="H160" s="258">
        <f t="shared" si="6"/>
        <v>271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7"/>
        <v>281</v>
      </c>
      <c r="E161" s="257"/>
      <c r="F161" s="258">
        <v>0</v>
      </c>
      <c r="G161" s="258"/>
      <c r="H161" s="258">
        <f t="shared" si="6"/>
        <v>281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7"/>
        <v>290</v>
      </c>
      <c r="E162" s="257"/>
      <c r="F162" s="258">
        <v>0</v>
      </c>
      <c r="G162" s="258"/>
      <c r="H162" s="258">
        <f t="shared" si="6"/>
        <v>290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7"/>
        <v>299</v>
      </c>
      <c r="E163" s="271"/>
      <c r="F163" s="272">
        <v>0</v>
      </c>
      <c r="G163" s="272"/>
      <c r="H163" s="272">
        <f t="shared" si="6"/>
        <v>299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7"/>
        <v>309</v>
      </c>
      <c r="E164" s="257"/>
      <c r="F164" s="258">
        <v>0</v>
      </c>
      <c r="G164" s="258"/>
      <c r="H164" s="258">
        <f t="shared" si="6"/>
        <v>309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7"/>
        <v>318</v>
      </c>
      <c r="E165" s="257"/>
      <c r="F165" s="258">
        <v>0</v>
      </c>
      <c r="G165" s="258"/>
      <c r="H165" s="258">
        <f t="shared" si="6"/>
        <v>318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7"/>
        <v>327</v>
      </c>
      <c r="E166" s="257"/>
      <c r="F166" s="258">
        <v>0</v>
      </c>
      <c r="G166" s="258"/>
      <c r="H166" s="258">
        <f t="shared" si="6"/>
        <v>327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7"/>
        <v>336</v>
      </c>
      <c r="E167" s="257"/>
      <c r="F167" s="258">
        <v>0</v>
      </c>
      <c r="G167" s="258"/>
      <c r="H167" s="258">
        <f t="shared" si="6"/>
        <v>336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7"/>
        <v>346</v>
      </c>
      <c r="E168" s="271"/>
      <c r="F168" s="272">
        <v>0</v>
      </c>
      <c r="G168" s="272"/>
      <c r="H168" s="272">
        <f t="shared" si="6"/>
        <v>346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600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840">
        <f>B136</f>
        <v>2010</v>
      </c>
      <c r="C180" s="840"/>
      <c r="D180" s="208">
        <f>VLOOKUP(B180,B$7:E$11,3,FALSE)</f>
        <v>96</v>
      </c>
      <c r="E180" s="244">
        <f>((COUNT(B$180:B$184)-1)/2)+(B180-$C$4)</f>
        <v>-2</v>
      </c>
      <c r="F180" s="206">
        <f>E180^2</f>
        <v>4</v>
      </c>
      <c r="G180" s="844">
        <f>E$177-D180</f>
        <v>504</v>
      </c>
      <c r="H180" s="259">
        <f>LOG(D180)</f>
        <v>1.9822712330395684</v>
      </c>
      <c r="I180" s="245">
        <f>LOG(G180)</f>
        <v>2.7024305364455254</v>
      </c>
      <c r="J180" s="246">
        <f>H180-I180</f>
        <v>-0.72015930340595702</v>
      </c>
      <c r="K180" s="246">
        <f>E180*J180</f>
        <v>1.440318606811914</v>
      </c>
      <c r="L180" s="203"/>
      <c r="M180" s="203"/>
      <c r="N180" s="203"/>
      <c r="O180" s="203"/>
    </row>
    <row r="181" spans="1:15" ht="15" customHeight="1">
      <c r="A181" s="203"/>
      <c r="B181" s="840">
        <f>B137</f>
        <v>2011</v>
      </c>
      <c r="C181" s="840"/>
      <c r="D181" s="208">
        <f>VLOOKUP(B181,B$7:E$11,3,FALSE)</f>
        <v>123</v>
      </c>
      <c r="E181" s="244">
        <f>((COUNT(B$180:B$184)-1)/2)+(B181-$C$4)</f>
        <v>-1</v>
      </c>
      <c r="F181" s="206">
        <f>E181^2</f>
        <v>1</v>
      </c>
      <c r="G181" s="844">
        <f>E$177-D181</f>
        <v>477</v>
      </c>
      <c r="H181" s="259">
        <f>LOG(D181)</f>
        <v>2.0899051114393981</v>
      </c>
      <c r="I181" s="245">
        <f>LOG(G181)</f>
        <v>2.6785183790401139</v>
      </c>
      <c r="J181" s="246">
        <f>H181-I181</f>
        <v>-0.58861326760071586</v>
      </c>
      <c r="K181" s="246">
        <f>E181*J181</f>
        <v>0.58861326760071586</v>
      </c>
      <c r="L181" s="203"/>
      <c r="M181" s="203"/>
      <c r="N181" s="203"/>
      <c r="O181" s="203"/>
    </row>
    <row r="182" spans="1:15" ht="15" customHeight="1">
      <c r="A182" s="203"/>
      <c r="B182" s="840">
        <f>B138</f>
        <v>2012</v>
      </c>
      <c r="C182" s="840"/>
      <c r="D182" s="208">
        <f>VLOOKUP(B182,B$7:E$11,3,FALSE)</f>
        <v>240</v>
      </c>
      <c r="E182" s="244">
        <f>((COUNT(B$180:B$184)-1)/2)+(B182-$C$4)</f>
        <v>0</v>
      </c>
      <c r="F182" s="206">
        <f>E182^2</f>
        <v>0</v>
      </c>
      <c r="G182" s="844">
        <f>E$177-D182</f>
        <v>360</v>
      </c>
      <c r="H182" s="259">
        <f>LOG(D182)</f>
        <v>2.3802112417116059</v>
      </c>
      <c r="I182" s="245">
        <f>LOG(G182)</f>
        <v>2.5563025007672873</v>
      </c>
      <c r="J182" s="246">
        <f>H182-I182</f>
        <v>-0.17609125905568135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840">
        <f>B139</f>
        <v>2013</v>
      </c>
      <c r="C183" s="840"/>
      <c r="D183" s="208">
        <f>VLOOKUP(B183,B$7:E$11,3,FALSE)</f>
        <v>214</v>
      </c>
      <c r="E183" s="244">
        <f>((COUNT(B$180:B$184)-1)/2)+(B183-$C$4)</f>
        <v>1</v>
      </c>
      <c r="F183" s="206">
        <f>E183^2</f>
        <v>1</v>
      </c>
      <c r="G183" s="844">
        <f>E$177-D183</f>
        <v>386</v>
      </c>
      <c r="H183" s="259">
        <f>LOG(D183)</f>
        <v>2.330413773349191</v>
      </c>
      <c r="I183" s="245">
        <f>LOG(G183)</f>
        <v>2.5865873046717551</v>
      </c>
      <c r="J183" s="246">
        <f>H183-I183</f>
        <v>-0.25617353132256415</v>
      </c>
      <c r="K183" s="246">
        <f>E183*J183</f>
        <v>-0.25617353132256415</v>
      </c>
      <c r="L183" s="203"/>
      <c r="M183" s="203"/>
      <c r="N183" s="203"/>
      <c r="O183" s="203"/>
    </row>
    <row r="184" spans="1:15" ht="15" customHeight="1">
      <c r="A184" s="203"/>
      <c r="B184" s="840">
        <f>B140</f>
        <v>2014</v>
      </c>
      <c r="C184" s="840"/>
      <c r="D184" s="208">
        <f>VLOOKUP(B184,B$7:E$11,3,FALSE)</f>
        <v>187</v>
      </c>
      <c r="E184" s="244">
        <f>((COUNT(B$180:B$184)-1)/2)+(B184-$C$4)</f>
        <v>2</v>
      </c>
      <c r="F184" s="206">
        <f>E184^2</f>
        <v>4</v>
      </c>
      <c r="G184" s="844">
        <f>E$177-D184</f>
        <v>413</v>
      </c>
      <c r="H184" s="259">
        <f>LOG(D184)</f>
        <v>2.271841606536499</v>
      </c>
      <c r="I184" s="245">
        <f>LOG(G184)</f>
        <v>2.6159500516564012</v>
      </c>
      <c r="J184" s="246">
        <f>H184-I184</f>
        <v>-0.34410844511990213</v>
      </c>
      <c r="K184" s="246">
        <f>E184*J184</f>
        <v>-0.68821689023980426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860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-2.0851458065048205</v>
      </c>
      <c r="K185" s="263">
        <f>SUM(K180:K184)</f>
        <v>1.0845414528502615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0.96025000000000005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0.249725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325</v>
      </c>
      <c r="E192" s="208"/>
      <c r="F192" s="208">
        <v>0</v>
      </c>
      <c r="G192" s="208"/>
      <c r="H192" s="208">
        <f t="shared" ref="H192:H213" si="9">ROUND(D192*(1+F192),0)</f>
        <v>325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362</v>
      </c>
      <c r="E193" s="269"/>
      <c r="F193" s="269">
        <v>0</v>
      </c>
      <c r="G193" s="269"/>
      <c r="H193" s="269">
        <f t="shared" si="9"/>
        <v>362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396</v>
      </c>
      <c r="E194" s="221"/>
      <c r="F194" s="221">
        <v>0</v>
      </c>
      <c r="G194" s="221"/>
      <c r="H194" s="221">
        <f t="shared" si="9"/>
        <v>396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429</v>
      </c>
      <c r="E195" s="221"/>
      <c r="F195" s="221">
        <v>0</v>
      </c>
      <c r="G195" s="221"/>
      <c r="H195" s="221">
        <f t="shared" si="9"/>
        <v>429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458</v>
      </c>
      <c r="E196" s="221"/>
      <c r="F196" s="221">
        <v>0</v>
      </c>
      <c r="G196" s="221"/>
      <c r="H196" s="221">
        <f t="shared" si="9"/>
        <v>458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483</v>
      </c>
      <c r="E197" s="221"/>
      <c r="F197" s="221">
        <v>0</v>
      </c>
      <c r="G197" s="221"/>
      <c r="H197" s="221">
        <f t="shared" si="9"/>
        <v>483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505</v>
      </c>
      <c r="E198" s="269"/>
      <c r="F198" s="269">
        <v>0</v>
      </c>
      <c r="G198" s="269"/>
      <c r="H198" s="269">
        <f t="shared" si="9"/>
        <v>505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523</v>
      </c>
      <c r="E199" s="221"/>
      <c r="F199" s="221">
        <v>0</v>
      </c>
      <c r="G199" s="221"/>
      <c r="H199" s="221">
        <f t="shared" si="9"/>
        <v>523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539</v>
      </c>
      <c r="E200" s="221"/>
      <c r="F200" s="221">
        <v>0</v>
      </c>
      <c r="G200" s="221"/>
      <c r="H200" s="221">
        <f t="shared" si="9"/>
        <v>539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551</v>
      </c>
      <c r="E201" s="221"/>
      <c r="F201" s="221">
        <v>0</v>
      </c>
      <c r="G201" s="221"/>
      <c r="H201" s="221">
        <f t="shared" si="9"/>
        <v>551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561</v>
      </c>
      <c r="E202" s="221"/>
      <c r="F202" s="221">
        <v>0</v>
      </c>
      <c r="G202" s="221"/>
      <c r="H202" s="221">
        <f t="shared" si="9"/>
        <v>561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570</v>
      </c>
      <c r="E203" s="269"/>
      <c r="F203" s="269">
        <v>0</v>
      </c>
      <c r="G203" s="269"/>
      <c r="H203" s="269">
        <f t="shared" si="9"/>
        <v>570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576</v>
      </c>
      <c r="E204" s="221"/>
      <c r="F204" s="221">
        <v>0</v>
      </c>
      <c r="G204" s="221"/>
      <c r="H204" s="221">
        <f t="shared" si="9"/>
        <v>576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581</v>
      </c>
      <c r="E205" s="221"/>
      <c r="F205" s="221">
        <v>0</v>
      </c>
      <c r="G205" s="221"/>
      <c r="H205" s="221">
        <f t="shared" si="9"/>
        <v>581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585</v>
      </c>
      <c r="E206" s="221"/>
      <c r="F206" s="221">
        <v>0</v>
      </c>
      <c r="G206" s="221"/>
      <c r="H206" s="221">
        <f t="shared" si="9"/>
        <v>585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589</v>
      </c>
      <c r="E207" s="221"/>
      <c r="F207" s="221">
        <v>0</v>
      </c>
      <c r="G207" s="221"/>
      <c r="H207" s="221">
        <f t="shared" si="9"/>
        <v>589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591</v>
      </c>
      <c r="E208" s="269"/>
      <c r="F208" s="269">
        <v>0</v>
      </c>
      <c r="G208" s="269"/>
      <c r="H208" s="269">
        <f t="shared" si="9"/>
        <v>591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593</v>
      </c>
      <c r="E209" s="221"/>
      <c r="F209" s="221">
        <v>0</v>
      </c>
      <c r="G209" s="221"/>
      <c r="H209" s="221">
        <f t="shared" si="9"/>
        <v>593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595</v>
      </c>
      <c r="E210" s="221"/>
      <c r="F210" s="221">
        <v>0</v>
      </c>
      <c r="G210" s="221"/>
      <c r="H210" s="221">
        <f t="shared" si="9"/>
        <v>595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596</v>
      </c>
      <c r="E211" s="221"/>
      <c r="F211" s="221">
        <v>0</v>
      </c>
      <c r="G211" s="221"/>
      <c r="H211" s="221">
        <f t="shared" si="9"/>
        <v>596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597</v>
      </c>
      <c r="E212" s="221"/>
      <c r="F212" s="221">
        <v>0</v>
      </c>
      <c r="G212" s="221"/>
      <c r="H212" s="221">
        <f t="shared" si="9"/>
        <v>597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598</v>
      </c>
      <c r="E213" s="269"/>
      <c r="F213" s="269">
        <v>0</v>
      </c>
      <c r="G213" s="269"/>
      <c r="H213" s="269">
        <f t="shared" si="9"/>
        <v>598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187</v>
      </c>
      <c r="E221" s="257">
        <f t="array" ref="E221">IF(B55=B221,H55)</f>
        <v>187</v>
      </c>
      <c r="F221" s="257">
        <f t="array" ref="F221">IF(B105=B221,H105)</f>
        <v>227</v>
      </c>
      <c r="G221" s="257">
        <f t="array" ref="G221">IF(B147=B221,H147)</f>
        <v>187</v>
      </c>
      <c r="H221" s="257">
        <f t="array" ref="H221">IF(B192=B221,H192)</f>
        <v>325</v>
      </c>
      <c r="I221" s="257">
        <f t="shared" ref="I221:I242" si="10">IF(G221=0,AVERAGE(D221,E221,F221,H221),AVERAGE(D221:H221))</f>
        <v>222.6</v>
      </c>
      <c r="J221" s="266">
        <f t="shared" ref="J221:J242" si="11">ROUND(AVERAGE(D221,F221:G221),0)</f>
        <v>200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210</v>
      </c>
      <c r="E222" s="271">
        <f t="array" ref="E222">IF(B56=B222,H56)</f>
        <v>221</v>
      </c>
      <c r="F222" s="271">
        <f t="array" ref="F222">IF(B106=B222,H106)</f>
        <v>254</v>
      </c>
      <c r="G222" s="271">
        <f t="array" ref="G222">IF(B148=B222,H148)</f>
        <v>153</v>
      </c>
      <c r="H222" s="271">
        <f t="array" ref="H222">IF(B193=B222,H193)</f>
        <v>362</v>
      </c>
      <c r="I222" s="271">
        <f t="shared" si="10"/>
        <v>240</v>
      </c>
      <c r="J222" s="273">
        <f t="shared" si="11"/>
        <v>206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233</v>
      </c>
      <c r="E223" s="257">
        <f t="array" ref="E223">IF(B57=B223,H57)</f>
        <v>261</v>
      </c>
      <c r="F223" s="257">
        <f t="array" ref="F223">IF(B107=B223,H107)</f>
        <v>282</v>
      </c>
      <c r="G223" s="257">
        <f t="array" ref="G223">IF(B149=B223,H149)</f>
        <v>163</v>
      </c>
      <c r="H223" s="257">
        <f t="array" ref="H223">IF(B194=B223,H194)</f>
        <v>396</v>
      </c>
      <c r="I223" s="257">
        <f t="shared" si="10"/>
        <v>267</v>
      </c>
      <c r="J223" s="266">
        <f t="shared" si="11"/>
        <v>226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255</v>
      </c>
      <c r="E224" s="257">
        <f t="array" ref="E224">IF(B58=B224,H58)</f>
        <v>308</v>
      </c>
      <c r="F224" s="257">
        <f t="array" ref="F224">IF(B108=B224,H108)</f>
        <v>309</v>
      </c>
      <c r="G224" s="257">
        <f t="array" ref="G224">IF(B150=B224,H150)</f>
        <v>174</v>
      </c>
      <c r="H224" s="257">
        <f t="array" ref="H224">IF(B195=B224,H195)</f>
        <v>429</v>
      </c>
      <c r="I224" s="257">
        <f t="shared" si="10"/>
        <v>295</v>
      </c>
      <c r="J224" s="266">
        <f t="shared" si="11"/>
        <v>246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278</v>
      </c>
      <c r="E225" s="257">
        <f t="array" ref="E225">IF(B59=B225,H59)</f>
        <v>364</v>
      </c>
      <c r="F225" s="257">
        <f t="array" ref="F225">IF(B109=B225,H109)</f>
        <v>336</v>
      </c>
      <c r="G225" s="257">
        <f t="array" ref="G225">IF(B151=B225,H151)</f>
        <v>184</v>
      </c>
      <c r="H225" s="257">
        <f t="array" ref="H225">IF(B196=B225,H196)</f>
        <v>458</v>
      </c>
      <c r="I225" s="257">
        <f t="shared" si="10"/>
        <v>324</v>
      </c>
      <c r="J225" s="266">
        <f t="shared" si="11"/>
        <v>266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301</v>
      </c>
      <c r="E226" s="257">
        <f t="array" ref="E226">IF(B60=B226,H60)</f>
        <v>430</v>
      </c>
      <c r="F226" s="257">
        <f t="array" ref="F226">IF(B110=B226,H110)</f>
        <v>364</v>
      </c>
      <c r="G226" s="257">
        <f t="array" ref="G226">IF(B152=B226,H152)</f>
        <v>194</v>
      </c>
      <c r="H226" s="257">
        <f t="array" ref="H226">IF(B197=B226,H197)</f>
        <v>483</v>
      </c>
      <c r="I226" s="257">
        <f t="shared" si="10"/>
        <v>354.4</v>
      </c>
      <c r="J226" s="266">
        <f t="shared" si="11"/>
        <v>286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324</v>
      </c>
      <c r="E227" s="271">
        <f t="array" ref="E227">IF(B61=B227,H61)</f>
        <v>508</v>
      </c>
      <c r="F227" s="271">
        <f t="array" ref="F227">IF(B111=B227,H111)</f>
        <v>391</v>
      </c>
      <c r="G227" s="271">
        <f t="array" ref="G227">IF(B153=B227,H153)</f>
        <v>204</v>
      </c>
      <c r="H227" s="271">
        <f t="array" ref="H227">IF(B198=B227,H198)</f>
        <v>505</v>
      </c>
      <c r="I227" s="271">
        <f t="shared" si="10"/>
        <v>386.4</v>
      </c>
      <c r="J227" s="273">
        <f t="shared" si="11"/>
        <v>306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347</v>
      </c>
      <c r="E228" s="257">
        <f t="array" ref="E228">IF(B62=B228,H62)</f>
        <v>601</v>
      </c>
      <c r="F228" s="257">
        <f t="array" ref="F228">IF(B112=B228,H112)</f>
        <v>418</v>
      </c>
      <c r="G228" s="257">
        <f t="array" ref="G228">IF(B154=B228,H154)</f>
        <v>213</v>
      </c>
      <c r="H228" s="257">
        <f t="array" ref="H228">IF(B199=B228,H199)</f>
        <v>523</v>
      </c>
      <c r="I228" s="257">
        <f t="shared" si="10"/>
        <v>420.4</v>
      </c>
      <c r="J228" s="266">
        <f t="shared" si="11"/>
        <v>326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369</v>
      </c>
      <c r="E229" s="257">
        <f t="array" ref="E229">IF(B63=B229,H63)</f>
        <v>710</v>
      </c>
      <c r="F229" s="257">
        <f t="array" ref="F229">IF(B113=B229,H113)</f>
        <v>445</v>
      </c>
      <c r="G229" s="257">
        <f t="array" ref="G229">IF(B155=B229,H155)</f>
        <v>223</v>
      </c>
      <c r="H229" s="257">
        <f t="array" ref="H229">IF(B200=B229,H200)</f>
        <v>539</v>
      </c>
      <c r="I229" s="257">
        <f t="shared" si="10"/>
        <v>457.2</v>
      </c>
      <c r="J229" s="266">
        <f t="shared" si="11"/>
        <v>346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392</v>
      </c>
      <c r="E230" s="257">
        <f t="array" ref="E230">IF(B64=B230,H64)</f>
        <v>838</v>
      </c>
      <c r="F230" s="257">
        <f t="array" ref="F230">IF(B114=B230,H114)</f>
        <v>473</v>
      </c>
      <c r="G230" s="257">
        <f t="array" ref="G230">IF(B156=B230,H156)</f>
        <v>233</v>
      </c>
      <c r="H230" s="257">
        <f t="array" ref="H230">IF(B201=B230,H201)</f>
        <v>551</v>
      </c>
      <c r="I230" s="257">
        <f t="shared" si="10"/>
        <v>497.4</v>
      </c>
      <c r="J230" s="266">
        <f t="shared" si="11"/>
        <v>366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415</v>
      </c>
      <c r="E231" s="257">
        <f t="array" ref="E231">IF(B65=B231,H65)</f>
        <v>990</v>
      </c>
      <c r="F231" s="257">
        <f t="array" ref="F231">IF(B115=B231,H115)</f>
        <v>500</v>
      </c>
      <c r="G231" s="257">
        <f t="array" ref="G231">IF(B157=B231,H157)</f>
        <v>243</v>
      </c>
      <c r="H231" s="257">
        <f t="array" ref="H231">IF(B202=B231,H202)</f>
        <v>561</v>
      </c>
      <c r="I231" s="257">
        <f t="shared" si="10"/>
        <v>541.79999999999995</v>
      </c>
      <c r="J231" s="266">
        <f t="shared" si="11"/>
        <v>386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438</v>
      </c>
      <c r="E232" s="271">
        <f t="array" ref="E232">IF(B66=B232,H66)</f>
        <v>1170</v>
      </c>
      <c r="F232" s="271">
        <f t="array" ref="F232">IF(B116=B232,H116)</f>
        <v>527</v>
      </c>
      <c r="G232" s="271">
        <f t="array" ref="G232">IF(B158=B232,H158)</f>
        <v>252</v>
      </c>
      <c r="H232" s="271">
        <f t="array" ref="H232">IF(B203=B232,H203)</f>
        <v>570</v>
      </c>
      <c r="I232" s="271">
        <f t="shared" si="10"/>
        <v>591.4</v>
      </c>
      <c r="J232" s="273">
        <f t="shared" si="11"/>
        <v>406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461</v>
      </c>
      <c r="E233" s="257">
        <f t="array" ref="E233">IF(B67=B233,H67)</f>
        <v>1382</v>
      </c>
      <c r="F233" s="257">
        <f t="array" ref="F233">IF(B117=B233,H117)</f>
        <v>555</v>
      </c>
      <c r="G233" s="257">
        <f t="array" ref="G233">IF(B159=B233,H159)</f>
        <v>262</v>
      </c>
      <c r="H233" s="257">
        <f t="array" ref="H233">IF(B204=B233,H204)</f>
        <v>576</v>
      </c>
      <c r="I233" s="257">
        <f t="shared" si="10"/>
        <v>647.20000000000005</v>
      </c>
      <c r="J233" s="266">
        <f t="shared" si="11"/>
        <v>426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483</v>
      </c>
      <c r="E234" s="257">
        <f t="array" ref="E234">IF(B68=B234,H68)</f>
        <v>1633</v>
      </c>
      <c r="F234" s="257">
        <f t="array" ref="F234">IF(B118=B234,H118)</f>
        <v>582</v>
      </c>
      <c r="G234" s="257">
        <f t="array" ref="G234">IF(B160=B234,H160)</f>
        <v>271</v>
      </c>
      <c r="H234" s="257">
        <f t="array" ref="H234">IF(B205=B234,H205)</f>
        <v>581</v>
      </c>
      <c r="I234" s="257">
        <f t="shared" si="10"/>
        <v>710</v>
      </c>
      <c r="J234" s="266">
        <f t="shared" si="11"/>
        <v>445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506</v>
      </c>
      <c r="E235" s="257">
        <f t="array" ref="E235">IF(B69=B235,H69)</f>
        <v>1929</v>
      </c>
      <c r="F235" s="257">
        <f t="array" ref="F235">IF(B119=B235,H119)</f>
        <v>609</v>
      </c>
      <c r="G235" s="257">
        <f t="array" ref="G235">IF(B161=B235,H161)</f>
        <v>281</v>
      </c>
      <c r="H235" s="257">
        <f t="array" ref="H235">IF(B206=B235,H206)</f>
        <v>585</v>
      </c>
      <c r="I235" s="257">
        <f t="shared" si="10"/>
        <v>782</v>
      </c>
      <c r="J235" s="266">
        <f t="shared" si="11"/>
        <v>465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529</v>
      </c>
      <c r="E236" s="257">
        <f t="array" ref="E236">IF(B70=B236,H70)</f>
        <v>2279</v>
      </c>
      <c r="F236" s="257">
        <f t="array" ref="F236">IF(B120=B236,H120)</f>
        <v>637</v>
      </c>
      <c r="G236" s="257">
        <f t="array" ref="G236">IF(B162=B236,H162)</f>
        <v>290</v>
      </c>
      <c r="H236" s="257">
        <f t="array" ref="H236">IF(B207=B236,H207)</f>
        <v>589</v>
      </c>
      <c r="I236" s="257">
        <f t="shared" si="10"/>
        <v>864.8</v>
      </c>
      <c r="J236" s="266">
        <f t="shared" si="11"/>
        <v>485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552</v>
      </c>
      <c r="E237" s="271">
        <f t="array" ref="E237">IF(B71=B237,H71)</f>
        <v>2692</v>
      </c>
      <c r="F237" s="271">
        <f t="array" ref="F237">IF(B121=B237,H121)</f>
        <v>664</v>
      </c>
      <c r="G237" s="271">
        <f t="array" ref="G237">IF(B163=B237,H163)</f>
        <v>299</v>
      </c>
      <c r="H237" s="271">
        <f t="array" ref="H237">IF(B208=B237,H208)</f>
        <v>591</v>
      </c>
      <c r="I237" s="271">
        <f t="shared" si="10"/>
        <v>959.6</v>
      </c>
      <c r="J237" s="273">
        <f t="shared" si="11"/>
        <v>505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575</v>
      </c>
      <c r="E238" s="257">
        <f t="array" ref="E238">IF(B72=B238,H72)</f>
        <v>3181</v>
      </c>
      <c r="F238" s="257">
        <f t="array" ref="F238">IF(B122=B238,H122)</f>
        <v>691</v>
      </c>
      <c r="G238" s="257">
        <f t="array" ref="G238">IF(B164=B238,H164)</f>
        <v>309</v>
      </c>
      <c r="H238" s="257">
        <f t="array" ref="H238">IF(B209=B238,H209)</f>
        <v>593</v>
      </c>
      <c r="I238" s="257">
        <f t="shared" si="10"/>
        <v>1069.8</v>
      </c>
      <c r="J238" s="266">
        <f t="shared" si="11"/>
        <v>525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597</v>
      </c>
      <c r="E239" s="257">
        <f t="array" ref="E239">IF(B73=B239,H73)</f>
        <v>3758</v>
      </c>
      <c r="F239" s="257">
        <f t="array" ref="F239">IF(B123=B239,H123)</f>
        <v>718</v>
      </c>
      <c r="G239" s="257">
        <f t="array" ref="G239">IF(B165=B239,H165)</f>
        <v>318</v>
      </c>
      <c r="H239" s="257">
        <f t="array" ref="H239">IF(B210=B239,H210)</f>
        <v>595</v>
      </c>
      <c r="I239" s="257">
        <f t="shared" si="10"/>
        <v>1197.2</v>
      </c>
      <c r="J239" s="266">
        <f t="shared" si="11"/>
        <v>544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620</v>
      </c>
      <c r="E240" s="257">
        <f t="array" ref="E240">IF(B74=B240,H74)</f>
        <v>4439</v>
      </c>
      <c r="F240" s="257">
        <f t="array" ref="F240">IF(B124=B240,H124)</f>
        <v>746</v>
      </c>
      <c r="G240" s="257">
        <f t="array" ref="G240">IF(B166=B240,H166)</f>
        <v>327</v>
      </c>
      <c r="H240" s="257">
        <f t="array" ref="H240">IF(B211=B240,H211)</f>
        <v>596</v>
      </c>
      <c r="I240" s="257">
        <f t="shared" si="10"/>
        <v>1345.6</v>
      </c>
      <c r="J240" s="266">
        <f t="shared" si="11"/>
        <v>564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643</v>
      </c>
      <c r="E241" s="257">
        <f t="array" ref="E241">IF(B75=B241,H75)</f>
        <v>5244</v>
      </c>
      <c r="F241" s="257">
        <f t="array" ref="F241">IF(B125=B241,H125)</f>
        <v>773</v>
      </c>
      <c r="G241" s="257">
        <f t="array" ref="G241">IF(B167=B241,H167)</f>
        <v>336</v>
      </c>
      <c r="H241" s="257">
        <f t="array" ref="H241">IF(B212=B241,H212)</f>
        <v>597</v>
      </c>
      <c r="I241" s="257">
        <f t="shared" si="10"/>
        <v>1518.6</v>
      </c>
      <c r="J241" s="266">
        <f t="shared" si="11"/>
        <v>584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666</v>
      </c>
      <c r="E242" s="271">
        <f t="array" ref="E242">IF(B76=B242,H76)</f>
        <v>6196</v>
      </c>
      <c r="F242" s="271">
        <f t="array" ref="F242">IF(B126=B242,H126)</f>
        <v>800</v>
      </c>
      <c r="G242" s="271">
        <f t="array" ref="G242">IF(B168=B242,H168)</f>
        <v>346</v>
      </c>
      <c r="H242" s="271">
        <f t="array" ref="H242">IF(B213=B242,H213)</f>
        <v>598</v>
      </c>
      <c r="I242" s="271">
        <f t="shared" si="10"/>
        <v>1721.2</v>
      </c>
      <c r="J242" s="273">
        <f t="shared" si="11"/>
        <v>604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1">
    <mergeCell ref="E177:F177"/>
  </mergeCells>
  <phoneticPr fontId="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rgb="FF000066"/>
  </sheetPr>
  <dimension ref="A1:X130"/>
  <sheetViews>
    <sheetView view="pageBreakPreview" zoomScaleNormal="100" zoomScaleSheetLayoutView="100" workbookViewId="0"/>
  </sheetViews>
  <sheetFormatPr defaultRowHeight="13.5"/>
  <cols>
    <col min="1" max="1" width="7.88671875" style="392" customWidth="1"/>
    <col min="2" max="6" width="8.77734375" style="392" customWidth="1"/>
    <col min="7" max="7" width="10.77734375" style="392" customWidth="1"/>
    <col min="8" max="8" width="12.109375" style="392" customWidth="1"/>
    <col min="9" max="9" width="4" style="392" customWidth="1"/>
    <col min="10" max="10" width="11.5546875" style="393" bestFit="1" customWidth="1"/>
    <col min="11" max="11" width="10.21875" style="394" customWidth="1"/>
    <col min="12" max="12" width="8.88671875" style="394"/>
    <col min="13" max="14" width="8.88671875" style="392"/>
    <col min="15" max="15" width="8.88671875" style="2"/>
    <col min="16" max="16" width="9.5546875" style="2" bestFit="1" customWidth="1"/>
    <col min="17" max="22" width="8.88671875" style="2"/>
    <col min="23" max="23" width="11.21875" style="2" bestFit="1" customWidth="1"/>
    <col min="24" max="16384" width="8.88671875" style="2"/>
  </cols>
  <sheetData>
    <row r="1" spans="1:14" ht="24.95" customHeight="1">
      <c r="A1" s="384" t="s">
        <v>443</v>
      </c>
      <c r="B1" s="390"/>
      <c r="C1" s="391"/>
    </row>
    <row r="2" spans="1:14" ht="20.45" customHeight="1">
      <c r="A2" s="1650" t="s">
        <v>457</v>
      </c>
      <c r="B2" s="1651"/>
      <c r="C2" s="1651" t="s">
        <v>17</v>
      </c>
      <c r="D2" s="1651" t="s">
        <v>18</v>
      </c>
      <c r="E2" s="1651"/>
      <c r="F2" s="1651"/>
      <c r="G2" s="1651" t="s">
        <v>95</v>
      </c>
      <c r="H2" s="1648" t="s">
        <v>97</v>
      </c>
      <c r="J2" s="1644" t="s">
        <v>96</v>
      </c>
      <c r="K2" s="1644"/>
      <c r="L2" s="1644"/>
    </row>
    <row r="3" spans="1:14" ht="20.45" customHeight="1">
      <c r="A3" s="1652"/>
      <c r="B3" s="1653"/>
      <c r="C3" s="1653"/>
      <c r="D3" s="1103" t="s">
        <v>19</v>
      </c>
      <c r="E3" s="1103" t="s">
        <v>20</v>
      </c>
      <c r="F3" s="1104" t="s">
        <v>459</v>
      </c>
      <c r="G3" s="1654"/>
      <c r="H3" s="1649"/>
      <c r="J3" s="395" t="s">
        <v>19</v>
      </c>
      <c r="K3" s="396" t="s">
        <v>20</v>
      </c>
      <c r="L3" s="397" t="s">
        <v>21</v>
      </c>
    </row>
    <row r="4" spans="1:14" ht="20.45" customHeight="1">
      <c r="A4" s="1647" t="str">
        <f>'3.면별급수현황'!A4:A13</f>
        <v>음성군</v>
      </c>
      <c r="B4" s="398" t="s">
        <v>0</v>
      </c>
      <c r="C4" s="399">
        <f>+'3.면별급수현황'!D4</f>
        <v>54773</v>
      </c>
      <c r="D4" s="400">
        <f t="shared" ref="D4:D12" si="0">E4+F4</f>
        <v>9277</v>
      </c>
      <c r="E4" s="400">
        <f>ROUND(+'4.상수사용량현황'!D5/365,0)</f>
        <v>6682</v>
      </c>
      <c r="F4" s="833">
        <f>ROUND((+'4.상수사용량현황'!E5+'4.상수사용량현황'!F5+'4.상수사용량현황'!H5)/365,0)</f>
        <v>2595</v>
      </c>
      <c r="G4" s="401">
        <f t="shared" ref="G4:G12" si="1">ROUND(+D4/C4*1000,0)</f>
        <v>169</v>
      </c>
      <c r="H4" s="402">
        <f>+ROUND(F4/D4*100,1)</f>
        <v>28</v>
      </c>
      <c r="J4" s="403">
        <f>+K4+L4</f>
        <v>169</v>
      </c>
      <c r="K4" s="404">
        <f>ROUND(+E4/C4*1000,0)</f>
        <v>122</v>
      </c>
      <c r="L4" s="404">
        <f>ROUND(+F4/C4*1000,0)</f>
        <v>47</v>
      </c>
      <c r="M4" s="405">
        <v>6225</v>
      </c>
      <c r="N4" s="406">
        <f t="shared" ref="N4:N67" si="2">+M4-D4</f>
        <v>-3052</v>
      </c>
    </row>
    <row r="5" spans="1:14" ht="20.45" customHeight="1">
      <c r="A5" s="1645"/>
      <c r="B5" s="1090" t="s">
        <v>1</v>
      </c>
      <c r="C5" s="1091">
        <f>+'3.면별급수현황'!D5</f>
        <v>56144</v>
      </c>
      <c r="D5" s="1092">
        <f t="shared" si="0"/>
        <v>10474</v>
      </c>
      <c r="E5" s="1092">
        <f>ROUND(+'4.상수사용량현황'!D6/365,0)</f>
        <v>7236</v>
      </c>
      <c r="F5" s="1093">
        <f>ROUND((+'4.상수사용량현황'!E6+'4.상수사용량현황'!F6+'4.상수사용량현황'!H6)/365,0)</f>
        <v>3238</v>
      </c>
      <c r="G5" s="1094">
        <f t="shared" si="1"/>
        <v>187</v>
      </c>
      <c r="H5" s="1102">
        <f t="shared" ref="H5:H13" si="3">+ROUND(F5/D5*100,1)</f>
        <v>30.9</v>
      </c>
      <c r="J5" s="403">
        <f t="shared" ref="J5:J13" si="4">+K5+L5</f>
        <v>187</v>
      </c>
      <c r="K5" s="404">
        <f t="shared" ref="K5:K68" si="5">ROUND(+E5/C5*1000,0)</f>
        <v>129</v>
      </c>
      <c r="L5" s="404">
        <f t="shared" ref="L5:L68" si="6">ROUND(+F5/C5*1000,0)</f>
        <v>58</v>
      </c>
      <c r="M5" s="405">
        <v>6713</v>
      </c>
      <c r="N5" s="406">
        <f t="shared" si="2"/>
        <v>-3761</v>
      </c>
    </row>
    <row r="6" spans="1:14" ht="20.45" customHeight="1">
      <c r="A6" s="1645"/>
      <c r="B6" s="1090" t="s">
        <v>2</v>
      </c>
      <c r="C6" s="1091">
        <f>+'3.면별급수현황'!D6</f>
        <v>59217</v>
      </c>
      <c r="D6" s="1092">
        <f t="shared" si="0"/>
        <v>16917</v>
      </c>
      <c r="E6" s="1092">
        <f>ROUND(+'4.상수사용량현황'!D7/365,0)</f>
        <v>7800</v>
      </c>
      <c r="F6" s="1093">
        <f>ROUND((+'4.상수사용량현황'!E7+'4.상수사용량현황'!F7+'4.상수사용량현황'!H7)/365,0)</f>
        <v>9117</v>
      </c>
      <c r="G6" s="1094">
        <f t="shared" si="1"/>
        <v>286</v>
      </c>
      <c r="H6" s="1102">
        <f t="shared" si="3"/>
        <v>53.9</v>
      </c>
      <c r="J6" s="403">
        <f t="shared" si="4"/>
        <v>286</v>
      </c>
      <c r="K6" s="404">
        <f t="shared" si="5"/>
        <v>132</v>
      </c>
      <c r="L6" s="404">
        <f t="shared" si="6"/>
        <v>154</v>
      </c>
      <c r="M6" s="405">
        <v>8955</v>
      </c>
      <c r="N6" s="406">
        <f t="shared" si="2"/>
        <v>-7962</v>
      </c>
    </row>
    <row r="7" spans="1:14" ht="20.45" customHeight="1">
      <c r="A7" s="1645"/>
      <c r="B7" s="1090" t="s">
        <v>3</v>
      </c>
      <c r="C7" s="1091">
        <f>+'3.면별급수현황'!D7</f>
        <v>63816</v>
      </c>
      <c r="D7" s="1092">
        <f t="shared" si="0"/>
        <v>12551</v>
      </c>
      <c r="E7" s="1092">
        <f>ROUND(+'4.상수사용량현황'!D8/365,0)</f>
        <v>8721</v>
      </c>
      <c r="F7" s="1093">
        <f>ROUND((+'4.상수사용량현황'!E8+'4.상수사용량현황'!F8+'4.상수사용량현황'!H8)/365,0)</f>
        <v>3830</v>
      </c>
      <c r="G7" s="1094">
        <f t="shared" si="1"/>
        <v>197</v>
      </c>
      <c r="H7" s="1102">
        <f t="shared" si="3"/>
        <v>30.5</v>
      </c>
      <c r="J7" s="403">
        <f t="shared" si="4"/>
        <v>197</v>
      </c>
      <c r="K7" s="404">
        <f t="shared" si="5"/>
        <v>137</v>
      </c>
      <c r="L7" s="404">
        <f t="shared" si="6"/>
        <v>60</v>
      </c>
      <c r="M7" s="405">
        <v>9912</v>
      </c>
      <c r="N7" s="406">
        <f t="shared" si="2"/>
        <v>-2639</v>
      </c>
    </row>
    <row r="8" spans="1:14" ht="20.45" customHeight="1">
      <c r="A8" s="1645"/>
      <c r="B8" s="1090" t="s">
        <v>65</v>
      </c>
      <c r="C8" s="1091">
        <f>+'3.면별급수현황'!D8</f>
        <v>66068</v>
      </c>
      <c r="D8" s="1092">
        <f t="shared" si="0"/>
        <v>13460</v>
      </c>
      <c r="E8" s="1092">
        <f>ROUND(+'4.상수사용량현황'!D9/365,0)</f>
        <v>9417</v>
      </c>
      <c r="F8" s="1093">
        <f>ROUND((+'4.상수사용량현황'!E9+'4.상수사용량현황'!F9+'4.상수사용량현황'!H9)/365,0)</f>
        <v>4043</v>
      </c>
      <c r="G8" s="1094">
        <f t="shared" si="1"/>
        <v>204</v>
      </c>
      <c r="H8" s="1102">
        <f t="shared" si="3"/>
        <v>30</v>
      </c>
      <c r="J8" s="403">
        <f t="shared" si="4"/>
        <v>204</v>
      </c>
      <c r="K8" s="404">
        <f t="shared" si="5"/>
        <v>143</v>
      </c>
      <c r="L8" s="404">
        <f t="shared" si="6"/>
        <v>61</v>
      </c>
      <c r="M8" s="405">
        <v>8321</v>
      </c>
      <c r="N8" s="406">
        <f t="shared" si="2"/>
        <v>-5139</v>
      </c>
    </row>
    <row r="9" spans="1:14" ht="20.45" customHeight="1">
      <c r="A9" s="1645"/>
      <c r="B9" s="1090" t="s">
        <v>16</v>
      </c>
      <c r="C9" s="1091">
        <f>+'3.면별급수현황'!D9</f>
        <v>66068</v>
      </c>
      <c r="D9" s="1092">
        <f t="shared" si="0"/>
        <v>14351</v>
      </c>
      <c r="E9" s="1092">
        <f>ROUND(+'4.상수사용량현황'!D10/365,0)</f>
        <v>10217</v>
      </c>
      <c r="F9" s="1093">
        <f>ROUND((+'4.상수사용량현황'!E10+'4.상수사용량현황'!F10+'4.상수사용량현황'!H10)/365,0)</f>
        <v>4134</v>
      </c>
      <c r="G9" s="1094">
        <f t="shared" si="1"/>
        <v>217</v>
      </c>
      <c r="H9" s="1102">
        <f t="shared" si="3"/>
        <v>28.8</v>
      </c>
      <c r="J9" s="403">
        <f t="shared" si="4"/>
        <v>218</v>
      </c>
      <c r="K9" s="404">
        <f t="shared" si="5"/>
        <v>155</v>
      </c>
      <c r="L9" s="404">
        <f t="shared" si="6"/>
        <v>63</v>
      </c>
      <c r="M9" s="405">
        <v>8960</v>
      </c>
      <c r="N9" s="406">
        <f t="shared" si="2"/>
        <v>-5391</v>
      </c>
    </row>
    <row r="10" spans="1:14" ht="20.45" customHeight="1">
      <c r="A10" s="1645"/>
      <c r="B10" s="1090" t="s">
        <v>66</v>
      </c>
      <c r="C10" s="1091">
        <f>+'3.면별급수현황'!D10</f>
        <v>73355</v>
      </c>
      <c r="D10" s="1092">
        <f t="shared" si="0"/>
        <v>15594</v>
      </c>
      <c r="E10" s="1092">
        <f>ROUND(+'4.상수사용량현황'!D11/365,0)</f>
        <v>11144</v>
      </c>
      <c r="F10" s="1093">
        <f>ROUND((+'4.상수사용량현황'!E11+'4.상수사용량현황'!F11+'4.상수사용량현황'!H11)/365,0)</f>
        <v>4450</v>
      </c>
      <c r="G10" s="1094">
        <f t="shared" si="1"/>
        <v>213</v>
      </c>
      <c r="H10" s="1102">
        <f t="shared" si="3"/>
        <v>28.5</v>
      </c>
      <c r="J10" s="403">
        <f t="shared" si="4"/>
        <v>213</v>
      </c>
      <c r="K10" s="404">
        <f t="shared" si="5"/>
        <v>152</v>
      </c>
      <c r="L10" s="404">
        <f t="shared" si="6"/>
        <v>61</v>
      </c>
      <c r="M10" s="405">
        <v>9928</v>
      </c>
      <c r="N10" s="406">
        <f t="shared" si="2"/>
        <v>-5666</v>
      </c>
    </row>
    <row r="11" spans="1:14" ht="20.45" customHeight="1">
      <c r="A11" s="1645"/>
      <c r="B11" s="1090" t="s">
        <v>67</v>
      </c>
      <c r="C11" s="1091">
        <f>+'3.면별급수현황'!D11</f>
        <v>76988</v>
      </c>
      <c r="D11" s="1092">
        <f t="shared" si="0"/>
        <v>16786</v>
      </c>
      <c r="E11" s="1092">
        <f>ROUND(+'4.상수사용량현황'!D12/365,0)</f>
        <v>12597</v>
      </c>
      <c r="F11" s="1093">
        <f>ROUND((+'4.상수사용량현황'!E12+'4.상수사용량현황'!F12+'4.상수사용량현황'!H12)/365,0)</f>
        <v>4189</v>
      </c>
      <c r="G11" s="1094">
        <f t="shared" si="1"/>
        <v>218</v>
      </c>
      <c r="H11" s="1102">
        <f t="shared" si="3"/>
        <v>25</v>
      </c>
      <c r="J11" s="403">
        <f t="shared" si="4"/>
        <v>218</v>
      </c>
      <c r="K11" s="404">
        <f t="shared" si="5"/>
        <v>164</v>
      </c>
      <c r="L11" s="404">
        <f t="shared" si="6"/>
        <v>54</v>
      </c>
      <c r="M11" s="405">
        <v>10893</v>
      </c>
      <c r="N11" s="406">
        <f t="shared" si="2"/>
        <v>-5893</v>
      </c>
    </row>
    <row r="12" spans="1:14" ht="20.45" customHeight="1">
      <c r="A12" s="1645"/>
      <c r="B12" s="1090" t="s">
        <v>68</v>
      </c>
      <c r="C12" s="1091">
        <f>+'3.면별급수현황'!D12</f>
        <v>79162</v>
      </c>
      <c r="D12" s="1092">
        <f t="shared" si="0"/>
        <v>17830</v>
      </c>
      <c r="E12" s="1092">
        <f>ROUND(+'4.상수사용량현황'!D13/365,0)</f>
        <v>13548</v>
      </c>
      <c r="F12" s="1093">
        <f>ROUND((+'4.상수사용량현황'!E13+'4.상수사용량현황'!F13+'4.상수사용량현황'!H13)/365,0)</f>
        <v>4282</v>
      </c>
      <c r="G12" s="1094">
        <f t="shared" si="1"/>
        <v>225</v>
      </c>
      <c r="H12" s="1102">
        <f t="shared" si="3"/>
        <v>24</v>
      </c>
      <c r="I12" s="407"/>
      <c r="J12" s="403">
        <f t="shared" si="4"/>
        <v>225</v>
      </c>
      <c r="K12" s="404">
        <f t="shared" si="5"/>
        <v>171</v>
      </c>
      <c r="L12" s="404">
        <f t="shared" si="6"/>
        <v>54</v>
      </c>
      <c r="M12" s="405">
        <v>12026</v>
      </c>
      <c r="N12" s="406">
        <f t="shared" si="2"/>
        <v>-5804</v>
      </c>
    </row>
    <row r="13" spans="1:14" ht="20.45" customHeight="1">
      <c r="A13" s="1645"/>
      <c r="B13" s="1090" t="s">
        <v>869</v>
      </c>
      <c r="C13" s="1091">
        <f>+'3.면별급수현황'!D13</f>
        <v>87367</v>
      </c>
      <c r="D13" s="1092">
        <f t="shared" ref="D13:D63" si="7">E13+F13</f>
        <v>19371</v>
      </c>
      <c r="E13" s="1092">
        <f>ROUND(+'4.상수사용량현황'!D14/365,0)</f>
        <v>14289</v>
      </c>
      <c r="F13" s="1093">
        <f>ROUND((+'4.상수사용량현황'!E14+'4.상수사용량현황'!F14+'4.상수사용량현황'!H14)/365,0)</f>
        <v>5082</v>
      </c>
      <c r="G13" s="1094">
        <f>ROUND(+D13/C13*1000,0)</f>
        <v>222</v>
      </c>
      <c r="H13" s="1102">
        <f t="shared" si="3"/>
        <v>26.2</v>
      </c>
      <c r="I13" s="408"/>
      <c r="J13" s="403">
        <f t="shared" si="4"/>
        <v>222</v>
      </c>
      <c r="K13" s="404">
        <f t="shared" si="5"/>
        <v>164</v>
      </c>
      <c r="L13" s="404">
        <f t="shared" si="6"/>
        <v>58</v>
      </c>
      <c r="M13" s="405">
        <v>12858</v>
      </c>
      <c r="N13" s="406">
        <f t="shared" si="2"/>
        <v>-6513</v>
      </c>
    </row>
    <row r="14" spans="1:14" ht="20.45" customHeight="1">
      <c r="A14" s="1645" t="s">
        <v>944</v>
      </c>
      <c r="B14" s="1090" t="str">
        <f>+B4</f>
        <v>2005년</v>
      </c>
      <c r="C14" s="1091">
        <f>+'3.면별급수현황'!D14</f>
        <v>15497</v>
      </c>
      <c r="D14" s="1092">
        <f t="shared" si="7"/>
        <v>3046</v>
      </c>
      <c r="E14" s="1092">
        <f>ROUND(+'4.상수사용량현황'!D15/365,0)</f>
        <v>2041</v>
      </c>
      <c r="F14" s="1093">
        <f>ROUND((+'4.상수사용량현황'!E15+'4.상수사용량현황'!F15+'4.상수사용량현황'!H15)/365,0)</f>
        <v>1005</v>
      </c>
      <c r="G14" s="1094">
        <f t="shared" ref="G14:G63" si="8">ROUND(+D14/C14*1000,0)</f>
        <v>197</v>
      </c>
      <c r="H14" s="1102">
        <v>0</v>
      </c>
      <c r="I14" s="407"/>
      <c r="J14" s="403">
        <f>+K14+L14</f>
        <v>197</v>
      </c>
      <c r="K14" s="404">
        <f t="shared" si="5"/>
        <v>132</v>
      </c>
      <c r="L14" s="404">
        <f t="shared" si="6"/>
        <v>65</v>
      </c>
      <c r="M14" s="405">
        <v>3305</v>
      </c>
      <c r="N14" s="406">
        <f t="shared" si="2"/>
        <v>259</v>
      </c>
    </row>
    <row r="15" spans="1:14" ht="20.45" customHeight="1">
      <c r="A15" s="1645"/>
      <c r="B15" s="1090" t="str">
        <f t="shared" ref="B15:B78" si="9">+B5</f>
        <v>2006년</v>
      </c>
      <c r="C15" s="1091">
        <f>+'3.면별급수현황'!D15</f>
        <v>15714</v>
      </c>
      <c r="D15" s="1092">
        <f t="shared" si="7"/>
        <v>3044</v>
      </c>
      <c r="E15" s="1092">
        <f>ROUND(+'4.상수사용량현황'!D16/365,0)</f>
        <v>2112</v>
      </c>
      <c r="F15" s="1093">
        <f>ROUND((+'4.상수사용량현황'!E16+'4.상수사용량현황'!F16+'4.상수사용량현황'!H16)/365,0)</f>
        <v>932</v>
      </c>
      <c r="G15" s="1094">
        <f t="shared" si="8"/>
        <v>194</v>
      </c>
      <c r="H15" s="1102">
        <v>0</v>
      </c>
      <c r="J15" s="403">
        <f t="shared" ref="J15:J23" si="10">+K15+L15</f>
        <v>193</v>
      </c>
      <c r="K15" s="404">
        <f t="shared" si="5"/>
        <v>134</v>
      </c>
      <c r="L15" s="404">
        <f t="shared" si="6"/>
        <v>59</v>
      </c>
      <c r="M15" s="405">
        <v>3510</v>
      </c>
      <c r="N15" s="406">
        <f t="shared" si="2"/>
        <v>466</v>
      </c>
    </row>
    <row r="16" spans="1:14" ht="20.45" customHeight="1">
      <c r="A16" s="1645"/>
      <c r="B16" s="1090" t="str">
        <f t="shared" si="9"/>
        <v>2007년</v>
      </c>
      <c r="C16" s="1091">
        <f>+'3.면별급수현황'!D16</f>
        <v>16197</v>
      </c>
      <c r="D16" s="1092">
        <f t="shared" si="7"/>
        <v>2624</v>
      </c>
      <c r="E16" s="1092">
        <f>ROUND(+'4.상수사용량현황'!D17/365,0)</f>
        <v>2161</v>
      </c>
      <c r="F16" s="1093">
        <f>ROUND((+'4.상수사용량현황'!E17+'4.상수사용량현황'!F17+'4.상수사용량현황'!H17)/365,0)</f>
        <v>463</v>
      </c>
      <c r="G16" s="1094">
        <f t="shared" si="8"/>
        <v>162</v>
      </c>
      <c r="H16" s="1102">
        <f t="shared" ref="H16:H23" si="11">+ROUND(F16/D16*100,1)</f>
        <v>17.600000000000001</v>
      </c>
      <c r="J16" s="403">
        <f t="shared" si="10"/>
        <v>162</v>
      </c>
      <c r="K16" s="404">
        <f t="shared" si="5"/>
        <v>133</v>
      </c>
      <c r="L16" s="404">
        <f t="shared" si="6"/>
        <v>29</v>
      </c>
      <c r="M16" s="405">
        <v>4188</v>
      </c>
      <c r="N16" s="406">
        <f t="shared" si="2"/>
        <v>1564</v>
      </c>
    </row>
    <row r="17" spans="1:15" ht="20.45" customHeight="1">
      <c r="A17" s="1645"/>
      <c r="B17" s="1090" t="str">
        <f t="shared" si="9"/>
        <v>2008년</v>
      </c>
      <c r="C17" s="1091">
        <f>+'3.면별급수현황'!D17</f>
        <v>16646</v>
      </c>
      <c r="D17" s="1092">
        <f t="shared" si="7"/>
        <v>3200</v>
      </c>
      <c r="E17" s="1092">
        <f>ROUND(+'4.상수사용량현황'!D18/365,0)</f>
        <v>2236</v>
      </c>
      <c r="F17" s="1093">
        <f>ROUND((+'4.상수사용량현황'!E18+'4.상수사용량현황'!F18+'4.상수사용량현황'!H18)/365,0)</f>
        <v>964</v>
      </c>
      <c r="G17" s="1094">
        <f t="shared" si="8"/>
        <v>192</v>
      </c>
      <c r="H17" s="1102">
        <f t="shared" si="11"/>
        <v>30.1</v>
      </c>
      <c r="J17" s="403">
        <f t="shared" si="10"/>
        <v>192</v>
      </c>
      <c r="K17" s="404">
        <f t="shared" si="5"/>
        <v>134</v>
      </c>
      <c r="L17" s="404">
        <f t="shared" si="6"/>
        <v>58</v>
      </c>
      <c r="M17" s="405">
        <v>4365</v>
      </c>
      <c r="N17" s="406">
        <f t="shared" si="2"/>
        <v>1165</v>
      </c>
    </row>
    <row r="18" spans="1:15" ht="20.45" customHeight="1">
      <c r="A18" s="1645"/>
      <c r="B18" s="1090" t="str">
        <f t="shared" si="9"/>
        <v>2009년</v>
      </c>
      <c r="C18" s="1091">
        <f>+'3.면별급수현황'!D18</f>
        <v>15556</v>
      </c>
      <c r="D18" s="1092">
        <f t="shared" si="7"/>
        <v>3461</v>
      </c>
      <c r="E18" s="1092">
        <f>ROUND(+'4.상수사용량현황'!D19/365,0)</f>
        <v>2421</v>
      </c>
      <c r="F18" s="1093">
        <f>ROUND((+'4.상수사용량현황'!E19+'4.상수사용량현황'!F19+'4.상수사용량현황'!H19)/365,0)</f>
        <v>1040</v>
      </c>
      <c r="G18" s="1094">
        <f t="shared" si="8"/>
        <v>222</v>
      </c>
      <c r="H18" s="1102">
        <f t="shared" si="11"/>
        <v>30</v>
      </c>
      <c r="J18" s="403">
        <f t="shared" si="10"/>
        <v>223</v>
      </c>
      <c r="K18" s="404">
        <f t="shared" si="5"/>
        <v>156</v>
      </c>
      <c r="L18" s="404">
        <f t="shared" si="6"/>
        <v>67</v>
      </c>
      <c r="M18" s="405">
        <v>4441</v>
      </c>
      <c r="N18" s="406">
        <f t="shared" si="2"/>
        <v>980</v>
      </c>
    </row>
    <row r="19" spans="1:15" ht="20.45" customHeight="1">
      <c r="A19" s="1645"/>
      <c r="B19" s="1090" t="str">
        <f t="shared" si="9"/>
        <v>2010년</v>
      </c>
      <c r="C19" s="1091">
        <f>+'3.면별급수현황'!D19</f>
        <v>15556</v>
      </c>
      <c r="D19" s="1092">
        <f t="shared" si="7"/>
        <v>3504</v>
      </c>
      <c r="E19" s="1092">
        <f>ROUND(+'4.상수사용량현황'!D20/365,0)</f>
        <v>2559</v>
      </c>
      <c r="F19" s="1093">
        <f>ROUND((+'4.상수사용량현황'!E20+'4.상수사용량현황'!F20+'4.상수사용량현황'!H20)/365,0)</f>
        <v>945</v>
      </c>
      <c r="G19" s="1094">
        <f t="shared" si="8"/>
        <v>225</v>
      </c>
      <c r="H19" s="1102">
        <f t="shared" si="11"/>
        <v>27</v>
      </c>
      <c r="J19" s="403">
        <f t="shared" si="10"/>
        <v>226</v>
      </c>
      <c r="K19" s="404">
        <f t="shared" si="5"/>
        <v>165</v>
      </c>
      <c r="L19" s="404">
        <f t="shared" si="6"/>
        <v>61</v>
      </c>
      <c r="M19" s="405">
        <v>4790</v>
      </c>
      <c r="N19" s="406">
        <f t="shared" si="2"/>
        <v>1286</v>
      </c>
    </row>
    <row r="20" spans="1:15" ht="20.45" customHeight="1">
      <c r="A20" s="1645"/>
      <c r="B20" s="1090" t="str">
        <f t="shared" si="9"/>
        <v>2011년</v>
      </c>
      <c r="C20" s="1091">
        <f>+'3.면별급수현황'!D20</f>
        <v>15845</v>
      </c>
      <c r="D20" s="1092">
        <f t="shared" si="7"/>
        <v>3608</v>
      </c>
      <c r="E20" s="1092">
        <f>ROUND(+'4.상수사용량현황'!D21/365,0)</f>
        <v>2632</v>
      </c>
      <c r="F20" s="1093">
        <f>ROUND((+'4.상수사용량현황'!E21+'4.상수사용량현황'!F21+'4.상수사용량현황'!H21)/365,0)</f>
        <v>976</v>
      </c>
      <c r="G20" s="1094">
        <f t="shared" si="8"/>
        <v>228</v>
      </c>
      <c r="H20" s="1102">
        <f t="shared" si="11"/>
        <v>27.1</v>
      </c>
      <c r="J20" s="403">
        <f t="shared" si="10"/>
        <v>228</v>
      </c>
      <c r="K20" s="404">
        <f t="shared" si="5"/>
        <v>166</v>
      </c>
      <c r="L20" s="404">
        <f t="shared" si="6"/>
        <v>62</v>
      </c>
      <c r="M20" s="405">
        <v>5159</v>
      </c>
      <c r="N20" s="406">
        <f t="shared" si="2"/>
        <v>1551</v>
      </c>
    </row>
    <row r="21" spans="1:15" ht="20.45" customHeight="1">
      <c r="A21" s="1645"/>
      <c r="B21" s="1090" t="str">
        <f t="shared" si="9"/>
        <v>2012년</v>
      </c>
      <c r="C21" s="1091">
        <f>+'3.면별급수현황'!D21</f>
        <v>15227</v>
      </c>
      <c r="D21" s="1092">
        <f t="shared" si="7"/>
        <v>3664</v>
      </c>
      <c r="E21" s="1092">
        <f>ROUND(+'4.상수사용량현황'!D22/365,0)</f>
        <v>2766</v>
      </c>
      <c r="F21" s="1093">
        <f>ROUND((+'4.상수사용량현황'!E22+'4.상수사용량현황'!F22+'4.상수사용량현황'!H22)/365,0)</f>
        <v>898</v>
      </c>
      <c r="G21" s="1094">
        <f t="shared" si="8"/>
        <v>241</v>
      </c>
      <c r="H21" s="1102">
        <f t="shared" si="11"/>
        <v>24.5</v>
      </c>
      <c r="J21" s="403">
        <f t="shared" si="10"/>
        <v>241</v>
      </c>
      <c r="K21" s="404">
        <f t="shared" si="5"/>
        <v>182</v>
      </c>
      <c r="L21" s="404">
        <f t="shared" si="6"/>
        <v>59</v>
      </c>
      <c r="M21" s="405">
        <v>5533</v>
      </c>
      <c r="N21" s="406">
        <f t="shared" si="2"/>
        <v>1869</v>
      </c>
    </row>
    <row r="22" spans="1:15" ht="20.45" customHeight="1">
      <c r="A22" s="1645"/>
      <c r="B22" s="1090" t="str">
        <f t="shared" si="9"/>
        <v>2013년</v>
      </c>
      <c r="C22" s="1091">
        <f>+'3.면별급수현황'!D22</f>
        <v>15429</v>
      </c>
      <c r="D22" s="1092">
        <f t="shared" si="7"/>
        <v>3882</v>
      </c>
      <c r="E22" s="1092">
        <f>ROUND(+'4.상수사용량현황'!D23/365,0)</f>
        <v>3011</v>
      </c>
      <c r="F22" s="1093">
        <f>ROUND((+'4.상수사용량현황'!E23+'4.상수사용량현황'!F23+'4.상수사용량현황'!H23)/365,0)</f>
        <v>871</v>
      </c>
      <c r="G22" s="1094">
        <f t="shared" si="8"/>
        <v>252</v>
      </c>
      <c r="H22" s="1102">
        <f t="shared" si="11"/>
        <v>22.4</v>
      </c>
      <c r="J22" s="403">
        <f t="shared" si="10"/>
        <v>251</v>
      </c>
      <c r="K22" s="404">
        <f t="shared" si="5"/>
        <v>195</v>
      </c>
      <c r="L22" s="404">
        <f t="shared" si="6"/>
        <v>56</v>
      </c>
      <c r="M22" s="405">
        <v>5797</v>
      </c>
      <c r="N22" s="406">
        <f t="shared" si="2"/>
        <v>1915</v>
      </c>
      <c r="O22" s="8"/>
    </row>
    <row r="23" spans="1:15" ht="20.45" customHeight="1">
      <c r="A23" s="1645"/>
      <c r="B23" s="1090" t="str">
        <f t="shared" si="9"/>
        <v>2014년</v>
      </c>
      <c r="C23" s="1091">
        <f>+'3.면별급수현황'!D23</f>
        <v>16429</v>
      </c>
      <c r="D23" s="1092">
        <f t="shared" si="7"/>
        <v>3847</v>
      </c>
      <c r="E23" s="1092">
        <f>ROUND(+'4.상수사용량현황'!D24/365,0)</f>
        <v>3029</v>
      </c>
      <c r="F23" s="1093">
        <f>ROUND((+'4.상수사용량현황'!E24+'4.상수사용량현황'!F24+'4.상수사용량현황'!H24)/365,0)</f>
        <v>818</v>
      </c>
      <c r="G23" s="1094">
        <f t="shared" si="8"/>
        <v>234</v>
      </c>
      <c r="H23" s="1102">
        <f t="shared" si="11"/>
        <v>21.3</v>
      </c>
      <c r="J23" s="403">
        <f t="shared" si="10"/>
        <v>234</v>
      </c>
      <c r="K23" s="404">
        <f t="shared" si="5"/>
        <v>184</v>
      </c>
      <c r="L23" s="404">
        <f t="shared" si="6"/>
        <v>50</v>
      </c>
      <c r="M23" s="405">
        <v>6263</v>
      </c>
      <c r="N23" s="406">
        <f t="shared" si="2"/>
        <v>2416</v>
      </c>
    </row>
    <row r="24" spans="1:15" ht="20.45" customHeight="1">
      <c r="A24" s="1645" t="s">
        <v>945</v>
      </c>
      <c r="B24" s="1090" t="str">
        <f>+B14</f>
        <v>2005년</v>
      </c>
      <c r="C24" s="1091">
        <f>+'3.면별급수현황'!D24</f>
        <v>14433</v>
      </c>
      <c r="D24" s="1092">
        <f t="shared" si="7"/>
        <v>2345</v>
      </c>
      <c r="E24" s="1092">
        <f>ROUND(+'4.상수사용량현황'!D25/365,0)</f>
        <v>1718</v>
      </c>
      <c r="F24" s="1093">
        <f>ROUND((+'4.상수사용량현황'!E25+'4.상수사용량현황'!F25+'4.상수사용량현황'!H25)/365,0)</f>
        <v>627</v>
      </c>
      <c r="G24" s="1094">
        <f t="shared" si="8"/>
        <v>162</v>
      </c>
      <c r="H24" s="1102">
        <v>0</v>
      </c>
      <c r="J24" s="403">
        <f>+K24+L24</f>
        <v>162</v>
      </c>
      <c r="K24" s="404">
        <f t="shared" si="5"/>
        <v>119</v>
      </c>
      <c r="L24" s="404">
        <f t="shared" si="6"/>
        <v>43</v>
      </c>
      <c r="M24" s="405">
        <v>325</v>
      </c>
      <c r="N24" s="406">
        <f t="shared" si="2"/>
        <v>-2020</v>
      </c>
    </row>
    <row r="25" spans="1:15" ht="20.45" customHeight="1">
      <c r="A25" s="1645"/>
      <c r="B25" s="1090" t="str">
        <f t="shared" si="9"/>
        <v>2006년</v>
      </c>
      <c r="C25" s="1091">
        <f>+'3.면별급수현황'!D25</f>
        <v>14506</v>
      </c>
      <c r="D25" s="1092">
        <f t="shared" si="7"/>
        <v>2422</v>
      </c>
      <c r="E25" s="1092">
        <f>ROUND(+'4.상수사용량현황'!D26/365,0)</f>
        <v>1728</v>
      </c>
      <c r="F25" s="1093">
        <f>ROUND((+'4.상수사용량현황'!E26+'4.상수사용량현황'!F26+'4.상수사용량현황'!H26)/365,0)</f>
        <v>694</v>
      </c>
      <c r="G25" s="1094">
        <f t="shared" si="8"/>
        <v>167</v>
      </c>
      <c r="H25" s="1102">
        <v>0</v>
      </c>
      <c r="J25" s="403">
        <f t="shared" ref="J25:J33" si="12">+K25+L25</f>
        <v>167</v>
      </c>
      <c r="K25" s="404">
        <f t="shared" si="5"/>
        <v>119</v>
      </c>
      <c r="L25" s="404">
        <f t="shared" si="6"/>
        <v>48</v>
      </c>
      <c r="M25" s="405">
        <v>363</v>
      </c>
      <c r="N25" s="406">
        <f t="shared" si="2"/>
        <v>-2059</v>
      </c>
    </row>
    <row r="26" spans="1:15" ht="20.45" customHeight="1">
      <c r="A26" s="1645"/>
      <c r="B26" s="1090" t="str">
        <f t="shared" si="9"/>
        <v>2007년</v>
      </c>
      <c r="C26" s="1091">
        <f>+'3.면별급수현황'!D26</f>
        <v>15703</v>
      </c>
      <c r="D26" s="1092">
        <f t="shared" si="7"/>
        <v>3433</v>
      </c>
      <c r="E26" s="1092">
        <f>ROUND(+'4.상수사용량현황'!D27/365,0)</f>
        <v>1924</v>
      </c>
      <c r="F26" s="1093">
        <f>ROUND((+'4.상수사용량현황'!E27+'4.상수사용량현황'!F27+'4.상수사용량현황'!H27)/365,0)</f>
        <v>1509</v>
      </c>
      <c r="G26" s="1094">
        <f t="shared" si="8"/>
        <v>219</v>
      </c>
      <c r="H26" s="1102">
        <f t="shared" ref="H26:H33" si="13">+ROUND(F26/D26*100,1)</f>
        <v>44</v>
      </c>
      <c r="J26" s="403">
        <f t="shared" si="12"/>
        <v>219</v>
      </c>
      <c r="K26" s="404">
        <f t="shared" si="5"/>
        <v>123</v>
      </c>
      <c r="L26" s="404">
        <f t="shared" si="6"/>
        <v>96</v>
      </c>
      <c r="M26" s="405">
        <v>515</v>
      </c>
      <c r="N26" s="406">
        <f t="shared" si="2"/>
        <v>-2918</v>
      </c>
    </row>
    <row r="27" spans="1:15" ht="20.45" customHeight="1">
      <c r="A27" s="1645"/>
      <c r="B27" s="1090" t="str">
        <f t="shared" si="9"/>
        <v>2008년</v>
      </c>
      <c r="C27" s="1091">
        <f>+'3.면별급수현황'!D27</f>
        <v>16743</v>
      </c>
      <c r="D27" s="1092">
        <f t="shared" si="7"/>
        <v>3258</v>
      </c>
      <c r="E27" s="1092">
        <f>ROUND(+'4.상수사용량현황'!D28/365,0)</f>
        <v>2479</v>
      </c>
      <c r="F27" s="1093">
        <f>ROUND((+'4.상수사용량현황'!E28+'4.상수사용량현황'!F28+'4.상수사용량현황'!H28)/365,0)</f>
        <v>779</v>
      </c>
      <c r="G27" s="1094">
        <f t="shared" si="8"/>
        <v>195</v>
      </c>
      <c r="H27" s="1102">
        <f t="shared" si="13"/>
        <v>23.9</v>
      </c>
      <c r="J27" s="403">
        <f t="shared" si="12"/>
        <v>195</v>
      </c>
      <c r="K27" s="404">
        <f t="shared" si="5"/>
        <v>148</v>
      </c>
      <c r="L27" s="404">
        <f t="shared" si="6"/>
        <v>47</v>
      </c>
      <c r="M27" s="405">
        <v>603</v>
      </c>
      <c r="N27" s="406">
        <f t="shared" si="2"/>
        <v>-2655</v>
      </c>
    </row>
    <row r="28" spans="1:15" ht="20.45" customHeight="1">
      <c r="A28" s="1645"/>
      <c r="B28" s="1090" t="str">
        <f t="shared" si="9"/>
        <v>2009년</v>
      </c>
      <c r="C28" s="1091">
        <f>+'3.면별급수현황'!D28</f>
        <v>15985</v>
      </c>
      <c r="D28" s="1092">
        <f t="shared" si="7"/>
        <v>3761</v>
      </c>
      <c r="E28" s="1092">
        <f>ROUND(+'4.상수사용량현황'!D29/365,0)</f>
        <v>2754</v>
      </c>
      <c r="F28" s="1093">
        <f>ROUND((+'4.상수사용량현황'!E29+'4.상수사용량현황'!F29+'4.상수사용량현황'!H29)/365,0)</f>
        <v>1007</v>
      </c>
      <c r="G28" s="1094">
        <f t="shared" si="8"/>
        <v>235</v>
      </c>
      <c r="H28" s="1102">
        <f t="shared" si="13"/>
        <v>26.8</v>
      </c>
      <c r="J28" s="403">
        <f t="shared" si="12"/>
        <v>235</v>
      </c>
      <c r="K28" s="404">
        <f t="shared" si="5"/>
        <v>172</v>
      </c>
      <c r="L28" s="404">
        <f t="shared" si="6"/>
        <v>63</v>
      </c>
      <c r="M28" s="405">
        <v>682</v>
      </c>
      <c r="N28" s="406">
        <f t="shared" si="2"/>
        <v>-3079</v>
      </c>
    </row>
    <row r="29" spans="1:15" ht="20.45" customHeight="1">
      <c r="A29" s="1645"/>
      <c r="B29" s="1090" t="str">
        <f t="shared" si="9"/>
        <v>2010년</v>
      </c>
      <c r="C29" s="1091">
        <f>+'3.면별급수현황'!D29</f>
        <v>15985</v>
      </c>
      <c r="D29" s="1092">
        <f t="shared" si="7"/>
        <v>3723</v>
      </c>
      <c r="E29" s="1092">
        <f>ROUND(+'4.상수사용량현황'!D30/365,0)</f>
        <v>2832</v>
      </c>
      <c r="F29" s="1093">
        <f>ROUND((+'4.상수사용량현황'!E30+'4.상수사용량현황'!F30+'4.상수사용량현황'!H30)/365,0)</f>
        <v>891</v>
      </c>
      <c r="G29" s="1094">
        <f t="shared" si="8"/>
        <v>233</v>
      </c>
      <c r="H29" s="1102">
        <f t="shared" si="13"/>
        <v>23.9</v>
      </c>
      <c r="J29" s="403">
        <f t="shared" si="12"/>
        <v>233</v>
      </c>
      <c r="K29" s="404">
        <f t="shared" si="5"/>
        <v>177</v>
      </c>
      <c r="L29" s="404">
        <f t="shared" si="6"/>
        <v>56</v>
      </c>
      <c r="M29" s="405">
        <v>764</v>
      </c>
      <c r="N29" s="406">
        <f t="shared" si="2"/>
        <v>-2959</v>
      </c>
    </row>
    <row r="30" spans="1:15" ht="20.45" customHeight="1">
      <c r="A30" s="1645"/>
      <c r="B30" s="1090" t="str">
        <f t="shared" si="9"/>
        <v>2011년</v>
      </c>
      <c r="C30" s="1091">
        <f>+'3.면별급수현황'!D30</f>
        <v>16978</v>
      </c>
      <c r="D30" s="1092">
        <f t="shared" si="7"/>
        <v>3913</v>
      </c>
      <c r="E30" s="1092">
        <f>ROUND(+'4.상수사용량현황'!D31/365,0)</f>
        <v>2961</v>
      </c>
      <c r="F30" s="1093">
        <f>ROUND((+'4.상수사용량현황'!E31+'4.상수사용량현황'!F31+'4.상수사용량현황'!H31)/365,0)</f>
        <v>952</v>
      </c>
      <c r="G30" s="1094">
        <f t="shared" si="8"/>
        <v>230</v>
      </c>
      <c r="H30" s="1102">
        <f t="shared" si="13"/>
        <v>24.3</v>
      </c>
      <c r="J30" s="403">
        <f t="shared" si="12"/>
        <v>230</v>
      </c>
      <c r="K30" s="404">
        <f t="shared" si="5"/>
        <v>174</v>
      </c>
      <c r="L30" s="404">
        <f t="shared" si="6"/>
        <v>56</v>
      </c>
      <c r="M30" s="405">
        <v>845</v>
      </c>
      <c r="N30" s="406">
        <f t="shared" si="2"/>
        <v>-3068</v>
      </c>
    </row>
    <row r="31" spans="1:15" ht="20.45" customHeight="1">
      <c r="A31" s="1645"/>
      <c r="B31" s="1090" t="str">
        <f t="shared" si="9"/>
        <v>2012년</v>
      </c>
      <c r="C31" s="1091">
        <f>+'3.면별급수현황'!D31</f>
        <v>18885</v>
      </c>
      <c r="D31" s="1092">
        <f t="shared" si="7"/>
        <v>4050</v>
      </c>
      <c r="E31" s="1092">
        <f>ROUND(+'4.상수사용량현황'!D32/365,0)</f>
        <v>3114</v>
      </c>
      <c r="F31" s="1093">
        <f>ROUND((+'4.상수사용량현황'!E32+'4.상수사용량현황'!F32+'4.상수사용량현황'!H32)/365,0)</f>
        <v>936</v>
      </c>
      <c r="G31" s="1094">
        <f t="shared" si="8"/>
        <v>214</v>
      </c>
      <c r="H31" s="1102">
        <f t="shared" si="13"/>
        <v>23.1</v>
      </c>
      <c r="J31" s="403">
        <f t="shared" si="12"/>
        <v>215</v>
      </c>
      <c r="K31" s="404">
        <f t="shared" si="5"/>
        <v>165</v>
      </c>
      <c r="L31" s="404">
        <f t="shared" si="6"/>
        <v>50</v>
      </c>
      <c r="M31" s="405">
        <v>935</v>
      </c>
      <c r="N31" s="406">
        <f t="shared" si="2"/>
        <v>-3115</v>
      </c>
    </row>
    <row r="32" spans="1:15" ht="20.45" customHeight="1">
      <c r="A32" s="1645"/>
      <c r="B32" s="1090" t="str">
        <f t="shared" si="9"/>
        <v>2013년</v>
      </c>
      <c r="C32" s="1091">
        <f>+'3.면별급수현황'!D32</f>
        <v>19253</v>
      </c>
      <c r="D32" s="1092">
        <f t="shared" si="7"/>
        <v>4347</v>
      </c>
      <c r="E32" s="1092">
        <f>ROUND(+'4.상수사용량현황'!D33/365,0)</f>
        <v>3302</v>
      </c>
      <c r="F32" s="1093">
        <f>ROUND((+'4.상수사용량현황'!E33+'4.상수사용량현황'!F33+'4.상수사용량현황'!H33)/365,0)</f>
        <v>1045</v>
      </c>
      <c r="G32" s="1094">
        <f t="shared" si="8"/>
        <v>226</v>
      </c>
      <c r="H32" s="1102">
        <f t="shared" si="13"/>
        <v>24</v>
      </c>
      <c r="J32" s="403">
        <f t="shared" si="12"/>
        <v>226</v>
      </c>
      <c r="K32" s="404">
        <f t="shared" si="5"/>
        <v>172</v>
      </c>
      <c r="L32" s="404">
        <f t="shared" si="6"/>
        <v>54</v>
      </c>
      <c r="M32" s="405">
        <v>1074</v>
      </c>
      <c r="N32" s="406">
        <f t="shared" si="2"/>
        <v>-3273</v>
      </c>
    </row>
    <row r="33" spans="1:17" ht="20.45" customHeight="1">
      <c r="A33" s="1646"/>
      <c r="B33" s="1096" t="str">
        <f t="shared" si="9"/>
        <v>2014년</v>
      </c>
      <c r="C33" s="1097">
        <f>+'3.면별급수현황'!D33</f>
        <v>20253</v>
      </c>
      <c r="D33" s="1098">
        <f t="shared" si="7"/>
        <v>4511</v>
      </c>
      <c r="E33" s="1098">
        <f>ROUND(+'4.상수사용량현황'!D34/365,0)</f>
        <v>3362</v>
      </c>
      <c r="F33" s="1099">
        <f>ROUND((+'4.상수사용량현황'!E34+'4.상수사용량현황'!F34+'4.상수사용량현황'!H34)/365,0)</f>
        <v>1149</v>
      </c>
      <c r="G33" s="1100">
        <f t="shared" si="8"/>
        <v>223</v>
      </c>
      <c r="H33" s="1105">
        <f t="shared" si="13"/>
        <v>25.5</v>
      </c>
      <c r="J33" s="403">
        <f t="shared" si="12"/>
        <v>223</v>
      </c>
      <c r="K33" s="404">
        <f t="shared" si="5"/>
        <v>166</v>
      </c>
      <c r="L33" s="404">
        <f t="shared" si="6"/>
        <v>57</v>
      </c>
      <c r="M33" s="405">
        <v>1151</v>
      </c>
      <c r="N33" s="406">
        <f t="shared" si="2"/>
        <v>-3360</v>
      </c>
    </row>
    <row r="34" spans="1:17" ht="21.6" customHeight="1">
      <c r="A34" s="1647" t="s">
        <v>946</v>
      </c>
      <c r="B34" s="398" t="str">
        <f>+B24</f>
        <v>2005년</v>
      </c>
      <c r="C34" s="399">
        <f>+'3.면별급수현황'!D34</f>
        <v>0</v>
      </c>
      <c r="D34" s="400">
        <f t="shared" si="7"/>
        <v>0</v>
      </c>
      <c r="E34" s="400">
        <f>ROUND(+'4.상수사용량현황'!D35/365,0)</f>
        <v>0</v>
      </c>
      <c r="F34" s="833">
        <f>ROUND((+'4.상수사용량현황'!E35+'4.상수사용량현황'!F35+'4.상수사용량현황'!H35)/365,0)</f>
        <v>0</v>
      </c>
      <c r="G34" s="401">
        <v>0</v>
      </c>
      <c r="H34" s="402">
        <v>0</v>
      </c>
      <c r="J34" s="403">
        <f>+K34+L34</f>
        <v>0</v>
      </c>
      <c r="K34" s="404"/>
      <c r="L34" s="404"/>
      <c r="M34" s="405">
        <v>0</v>
      </c>
      <c r="N34" s="406">
        <f t="shared" si="2"/>
        <v>0</v>
      </c>
    </row>
    <row r="35" spans="1:17" ht="21.6" customHeight="1">
      <c r="A35" s="1645"/>
      <c r="B35" s="1090" t="str">
        <f t="shared" si="9"/>
        <v>2006년</v>
      </c>
      <c r="C35" s="1091">
        <f>+'3.면별급수현황'!D35</f>
        <v>0</v>
      </c>
      <c r="D35" s="1092">
        <f t="shared" si="7"/>
        <v>0</v>
      </c>
      <c r="E35" s="1092">
        <f>ROUND(+'4.상수사용량현황'!D36/365,0)</f>
        <v>0</v>
      </c>
      <c r="F35" s="1093">
        <f>ROUND((+'4.상수사용량현황'!E36+'4.상수사용량현황'!F36+'4.상수사용량현황'!H36)/365,0)</f>
        <v>0</v>
      </c>
      <c r="G35" s="1094">
        <v>0</v>
      </c>
      <c r="H35" s="1102">
        <v>0</v>
      </c>
      <c r="J35" s="403">
        <f t="shared" ref="J35:J43" si="14">+K35+L35</f>
        <v>0</v>
      </c>
      <c r="K35" s="404"/>
      <c r="L35" s="404"/>
      <c r="M35" s="405">
        <v>0</v>
      </c>
      <c r="N35" s="406">
        <f t="shared" si="2"/>
        <v>0</v>
      </c>
    </row>
    <row r="36" spans="1:17" ht="21.6" customHeight="1">
      <c r="A36" s="1645"/>
      <c r="B36" s="1090" t="str">
        <f t="shared" si="9"/>
        <v>2007년</v>
      </c>
      <c r="C36" s="1091">
        <f>+'3.면별급수현황'!D36</f>
        <v>943</v>
      </c>
      <c r="D36" s="1092">
        <f t="shared" si="7"/>
        <v>120</v>
      </c>
      <c r="E36" s="1092">
        <f>ROUND(+'4.상수사용량현황'!D37/365,0)</f>
        <v>86</v>
      </c>
      <c r="F36" s="1093">
        <f>ROUND((+'4.상수사용량현황'!E37+'4.상수사용량현황'!F37+'4.상수사용량현황'!H37)/365,0)</f>
        <v>34</v>
      </c>
      <c r="G36" s="1094">
        <v>0</v>
      </c>
      <c r="H36" s="1102">
        <v>0</v>
      </c>
      <c r="J36" s="403">
        <f t="shared" si="14"/>
        <v>127</v>
      </c>
      <c r="K36" s="404">
        <f t="shared" si="5"/>
        <v>91</v>
      </c>
      <c r="L36" s="404">
        <f t="shared" si="6"/>
        <v>36</v>
      </c>
      <c r="M36" s="405">
        <v>0</v>
      </c>
      <c r="N36" s="406">
        <f t="shared" si="2"/>
        <v>-120</v>
      </c>
    </row>
    <row r="37" spans="1:17" ht="21.6" customHeight="1">
      <c r="A37" s="1645"/>
      <c r="B37" s="1090" t="str">
        <f t="shared" si="9"/>
        <v>2008년</v>
      </c>
      <c r="C37" s="1091">
        <f>+'3.면별급수현황'!D37</f>
        <v>1425</v>
      </c>
      <c r="D37" s="1092">
        <f t="shared" si="7"/>
        <v>148</v>
      </c>
      <c r="E37" s="1092">
        <f>ROUND(+'4.상수사용량현황'!D38/365,0)</f>
        <v>104</v>
      </c>
      <c r="F37" s="1093">
        <f>ROUND((+'4.상수사용량현황'!E38+'4.상수사용량현황'!F38+'4.상수사용량현황'!H38)/365,0)</f>
        <v>44</v>
      </c>
      <c r="G37" s="1094">
        <v>0</v>
      </c>
      <c r="H37" s="1095">
        <v>0</v>
      </c>
      <c r="J37" s="403">
        <f t="shared" si="14"/>
        <v>104</v>
      </c>
      <c r="K37" s="404">
        <f t="shared" si="5"/>
        <v>73</v>
      </c>
      <c r="L37" s="404">
        <f t="shared" si="6"/>
        <v>31</v>
      </c>
      <c r="M37" s="405">
        <v>0</v>
      </c>
      <c r="N37" s="406">
        <f t="shared" si="2"/>
        <v>-148</v>
      </c>
    </row>
    <row r="38" spans="1:17" ht="21.6" customHeight="1">
      <c r="A38" s="1645"/>
      <c r="B38" s="1090" t="str">
        <f t="shared" si="9"/>
        <v>2009년</v>
      </c>
      <c r="C38" s="1091">
        <f>+'3.면별급수현황'!D38</f>
        <v>2841</v>
      </c>
      <c r="D38" s="1092">
        <f t="shared" si="7"/>
        <v>220</v>
      </c>
      <c r="E38" s="1092">
        <f>ROUND(+'4.상수사용량현황'!D39/365,0)</f>
        <v>172</v>
      </c>
      <c r="F38" s="1093">
        <f>ROUND((+'4.상수사용량현황'!E39+'4.상수사용량현황'!F39+'4.상수사용량현황'!H39)/365,0)</f>
        <v>48</v>
      </c>
      <c r="G38" s="1094">
        <f t="shared" si="8"/>
        <v>77</v>
      </c>
      <c r="H38" s="1095">
        <f t="shared" ref="H38:H43" si="15">+ROUND(F38/D38*100,1)</f>
        <v>21.8</v>
      </c>
      <c r="J38" s="403">
        <f t="shared" si="14"/>
        <v>78</v>
      </c>
      <c r="K38" s="404">
        <f t="shared" si="5"/>
        <v>61</v>
      </c>
      <c r="L38" s="404">
        <f t="shared" si="6"/>
        <v>17</v>
      </c>
      <c r="M38" s="405">
        <v>5</v>
      </c>
      <c r="N38" s="406">
        <f t="shared" si="2"/>
        <v>-215</v>
      </c>
    </row>
    <row r="39" spans="1:17" ht="21.6" customHeight="1">
      <c r="A39" s="1645"/>
      <c r="B39" s="1090" t="str">
        <f t="shared" si="9"/>
        <v>2010년</v>
      </c>
      <c r="C39" s="1091">
        <f>+'3.면별급수현황'!D39</f>
        <v>2841</v>
      </c>
      <c r="D39" s="1092">
        <f t="shared" si="7"/>
        <v>375</v>
      </c>
      <c r="E39" s="1092">
        <f>ROUND(+'4.상수사용량현황'!D40/365,0)</f>
        <v>312</v>
      </c>
      <c r="F39" s="1093">
        <f>ROUND((+'4.상수사용량현황'!E40+'4.상수사용량현황'!F40+'4.상수사용량현황'!H40)/365,0)</f>
        <v>63</v>
      </c>
      <c r="G39" s="1094">
        <f t="shared" si="8"/>
        <v>132</v>
      </c>
      <c r="H39" s="1095">
        <f t="shared" si="15"/>
        <v>16.8</v>
      </c>
      <c r="J39" s="403">
        <f t="shared" si="14"/>
        <v>132</v>
      </c>
      <c r="K39" s="404">
        <f t="shared" si="5"/>
        <v>110</v>
      </c>
      <c r="L39" s="404">
        <f t="shared" si="6"/>
        <v>22</v>
      </c>
      <c r="M39" s="405">
        <v>70</v>
      </c>
      <c r="N39" s="406">
        <f t="shared" si="2"/>
        <v>-305</v>
      </c>
    </row>
    <row r="40" spans="1:17" ht="21.6" customHeight="1">
      <c r="A40" s="1645"/>
      <c r="B40" s="1090" t="str">
        <f t="shared" si="9"/>
        <v>2011년</v>
      </c>
      <c r="C40" s="1091">
        <f>+'3.면별급수현황'!D40</f>
        <v>2581</v>
      </c>
      <c r="D40" s="1092">
        <f t="shared" si="7"/>
        <v>404</v>
      </c>
      <c r="E40" s="1092">
        <f>ROUND(+'4.상수사용량현황'!D41/365,0)</f>
        <v>344</v>
      </c>
      <c r="F40" s="1093">
        <f>ROUND((+'4.상수사용량현황'!E41+'4.상수사용량현황'!F41+'4.상수사용량현황'!H41)/365,0)</f>
        <v>60</v>
      </c>
      <c r="G40" s="1094">
        <f t="shared" si="8"/>
        <v>157</v>
      </c>
      <c r="H40" s="1095">
        <f t="shared" si="15"/>
        <v>14.9</v>
      </c>
      <c r="J40" s="403">
        <f t="shared" si="14"/>
        <v>156</v>
      </c>
      <c r="K40" s="404">
        <f t="shared" si="5"/>
        <v>133</v>
      </c>
      <c r="L40" s="404">
        <f t="shared" si="6"/>
        <v>23</v>
      </c>
      <c r="M40" s="405">
        <v>190</v>
      </c>
      <c r="N40" s="406">
        <f t="shared" si="2"/>
        <v>-214</v>
      </c>
    </row>
    <row r="41" spans="1:17" ht="21.6" customHeight="1">
      <c r="A41" s="1645"/>
      <c r="B41" s="1090" t="str">
        <f t="shared" si="9"/>
        <v>2012년</v>
      </c>
      <c r="C41" s="1091">
        <f>+'3.면별급수현황'!D41</f>
        <v>2016</v>
      </c>
      <c r="D41" s="1092">
        <f t="shared" si="7"/>
        <v>400</v>
      </c>
      <c r="E41" s="1092">
        <f>ROUND(+'4.상수사용량현황'!D42/365,0)</f>
        <v>353</v>
      </c>
      <c r="F41" s="1093">
        <f>ROUND((+'4.상수사용량현황'!E42+'4.상수사용량현황'!F42+'4.상수사용량현황'!H42)/365,0)</f>
        <v>47</v>
      </c>
      <c r="G41" s="1094">
        <f t="shared" si="8"/>
        <v>198</v>
      </c>
      <c r="H41" s="1095">
        <f t="shared" si="15"/>
        <v>11.8</v>
      </c>
      <c r="J41" s="403">
        <f t="shared" si="14"/>
        <v>198</v>
      </c>
      <c r="K41" s="404">
        <f t="shared" si="5"/>
        <v>175</v>
      </c>
      <c r="L41" s="404">
        <f t="shared" si="6"/>
        <v>23</v>
      </c>
      <c r="M41" s="405">
        <v>269</v>
      </c>
      <c r="N41" s="406">
        <f t="shared" si="2"/>
        <v>-131</v>
      </c>
    </row>
    <row r="42" spans="1:17" ht="21.6" customHeight="1">
      <c r="A42" s="1645"/>
      <c r="B42" s="1090" t="str">
        <f t="shared" si="9"/>
        <v>2013년</v>
      </c>
      <c r="C42" s="1091">
        <f>+'3.면별급수현황'!D42</f>
        <v>1998</v>
      </c>
      <c r="D42" s="1092">
        <f t="shared" si="7"/>
        <v>409</v>
      </c>
      <c r="E42" s="1092">
        <f>ROUND(+'4.상수사용량현황'!D43/365,0)</f>
        <v>351</v>
      </c>
      <c r="F42" s="1093">
        <f>ROUND((+'4.상수사용량현황'!E43+'4.상수사용량현황'!F43+'4.상수사용량현황'!H43)/365,0)</f>
        <v>58</v>
      </c>
      <c r="G42" s="1094">
        <f t="shared" si="8"/>
        <v>205</v>
      </c>
      <c r="H42" s="1095">
        <f t="shared" si="15"/>
        <v>14.2</v>
      </c>
      <c r="J42" s="403">
        <f t="shared" si="14"/>
        <v>205</v>
      </c>
      <c r="K42" s="404">
        <f t="shared" si="5"/>
        <v>176</v>
      </c>
      <c r="L42" s="404">
        <f t="shared" si="6"/>
        <v>29</v>
      </c>
      <c r="M42" s="405">
        <v>373</v>
      </c>
      <c r="N42" s="406">
        <f t="shared" si="2"/>
        <v>-36</v>
      </c>
    </row>
    <row r="43" spans="1:17" ht="21.6" customHeight="1">
      <c r="A43" s="1645"/>
      <c r="B43" s="1090" t="str">
        <f t="shared" si="9"/>
        <v>2014년</v>
      </c>
      <c r="C43" s="1091">
        <f>+'3.면별급수현황'!D43</f>
        <v>2398</v>
      </c>
      <c r="D43" s="1092">
        <f t="shared" si="7"/>
        <v>430</v>
      </c>
      <c r="E43" s="1092">
        <f>ROUND(+'4.상수사용량현황'!D44/365,0)</f>
        <v>376</v>
      </c>
      <c r="F43" s="1093">
        <f>ROUND((+'4.상수사용량현황'!E44+'4.상수사용량현황'!F44+'4.상수사용량현황'!H44)/365,0)</f>
        <v>54</v>
      </c>
      <c r="G43" s="1094">
        <f t="shared" si="8"/>
        <v>179</v>
      </c>
      <c r="H43" s="1095">
        <f t="shared" si="15"/>
        <v>12.6</v>
      </c>
      <c r="J43" s="403">
        <f t="shared" si="14"/>
        <v>180</v>
      </c>
      <c r="K43" s="404">
        <f t="shared" si="5"/>
        <v>157</v>
      </c>
      <c r="L43" s="404">
        <f t="shared" si="6"/>
        <v>23</v>
      </c>
      <c r="M43" s="405">
        <v>435</v>
      </c>
      <c r="N43" s="406">
        <f t="shared" si="2"/>
        <v>5</v>
      </c>
      <c r="Q43" s="8"/>
    </row>
    <row r="44" spans="1:17" ht="21.6" customHeight="1">
      <c r="A44" s="1645" t="s">
        <v>947</v>
      </c>
      <c r="B44" s="1090" t="str">
        <f>+B34</f>
        <v>2005년</v>
      </c>
      <c r="C44" s="1091">
        <f>+'3.면별급수현황'!D44</f>
        <v>0</v>
      </c>
      <c r="D44" s="1092">
        <f t="shared" si="7"/>
        <v>0</v>
      </c>
      <c r="E44" s="1092">
        <f>ROUND(+'4.상수사용량현황'!D45/365,0)</f>
        <v>0</v>
      </c>
      <c r="F44" s="1093">
        <f>ROUND((+'4.상수사용량현황'!E45+'4.상수사용량현황'!F45+'4.상수사용량현황'!H45)/365,0)</f>
        <v>0</v>
      </c>
      <c r="G44" s="1094">
        <v>0</v>
      </c>
      <c r="H44" s="1095">
        <v>0</v>
      </c>
      <c r="J44" s="403">
        <f>+K44+L44</f>
        <v>0</v>
      </c>
      <c r="K44" s="404"/>
      <c r="L44" s="404"/>
      <c r="M44" s="405">
        <v>340</v>
      </c>
      <c r="N44" s="406">
        <f t="shared" si="2"/>
        <v>340</v>
      </c>
    </row>
    <row r="45" spans="1:17" ht="21.6" customHeight="1">
      <c r="A45" s="1645"/>
      <c r="B45" s="1090" t="str">
        <f t="shared" si="9"/>
        <v>2006년</v>
      </c>
      <c r="C45" s="1091">
        <f>+'3.면별급수현황'!D45</f>
        <v>0</v>
      </c>
      <c r="D45" s="1092">
        <f t="shared" si="7"/>
        <v>0</v>
      </c>
      <c r="E45" s="1092">
        <f>ROUND(+'4.상수사용량현황'!D46/365,0)</f>
        <v>0</v>
      </c>
      <c r="F45" s="1093">
        <f>ROUND((+'4.상수사용량현황'!E46+'4.상수사용량현황'!F46+'4.상수사용량현황'!H46)/365,0)</f>
        <v>0</v>
      </c>
      <c r="G45" s="1094">
        <v>0</v>
      </c>
      <c r="H45" s="1095">
        <v>0</v>
      </c>
      <c r="J45" s="403">
        <f t="shared" ref="J45:J53" si="16">+K45+L45</f>
        <v>0</v>
      </c>
      <c r="K45" s="404"/>
      <c r="L45" s="404"/>
      <c r="M45" s="405">
        <v>357</v>
      </c>
      <c r="N45" s="406">
        <f t="shared" si="2"/>
        <v>357</v>
      </c>
    </row>
    <row r="46" spans="1:17" ht="21.6" customHeight="1">
      <c r="A46" s="1645"/>
      <c r="B46" s="1090" t="str">
        <f t="shared" si="9"/>
        <v>2007년</v>
      </c>
      <c r="C46" s="1091">
        <f>+'3.면별급수현황'!D46</f>
        <v>689</v>
      </c>
      <c r="D46" s="1092">
        <f t="shared" si="7"/>
        <v>272</v>
      </c>
      <c r="E46" s="1092">
        <f>ROUND(+'4.상수사용량현황'!D47/365,0)</f>
        <v>91</v>
      </c>
      <c r="F46" s="1093">
        <f>ROUND((+'4.상수사용량현황'!E47+'4.상수사용량현황'!F47+'4.상수사용량현황'!H47)/365,0)</f>
        <v>181</v>
      </c>
      <c r="G46" s="1094">
        <f t="shared" si="8"/>
        <v>395</v>
      </c>
      <c r="H46" s="1095">
        <f t="shared" ref="H46:H53" si="17">+ROUND(F46/D46*100,1)</f>
        <v>66.5</v>
      </c>
      <c r="J46" s="403">
        <f t="shared" si="16"/>
        <v>395</v>
      </c>
      <c r="K46" s="404">
        <f t="shared" si="5"/>
        <v>132</v>
      </c>
      <c r="L46" s="404">
        <f t="shared" si="6"/>
        <v>263</v>
      </c>
      <c r="M46" s="405">
        <v>432</v>
      </c>
      <c r="N46" s="406">
        <f t="shared" si="2"/>
        <v>160</v>
      </c>
    </row>
    <row r="47" spans="1:17" ht="21.6" customHeight="1">
      <c r="A47" s="1645"/>
      <c r="B47" s="1090" t="str">
        <f t="shared" si="9"/>
        <v>2008년</v>
      </c>
      <c r="C47" s="1091">
        <f>+'3.면별급수현황'!D47</f>
        <v>1488</v>
      </c>
      <c r="D47" s="1092">
        <f t="shared" si="7"/>
        <v>227</v>
      </c>
      <c r="E47" s="1092">
        <f>ROUND(+'4.상수사용량현황'!D48/365,0)</f>
        <v>138</v>
      </c>
      <c r="F47" s="1093">
        <f>ROUND((+'4.상수사용량현황'!E48+'4.상수사용량현황'!F48+'4.상수사용량현황'!H48)/365,0)</f>
        <v>89</v>
      </c>
      <c r="G47" s="1094">
        <f t="shared" si="8"/>
        <v>153</v>
      </c>
      <c r="H47" s="1095">
        <f t="shared" si="17"/>
        <v>39.200000000000003</v>
      </c>
      <c r="J47" s="403">
        <f t="shared" si="16"/>
        <v>153</v>
      </c>
      <c r="K47" s="404">
        <f t="shared" si="5"/>
        <v>93</v>
      </c>
      <c r="L47" s="404">
        <f t="shared" si="6"/>
        <v>60</v>
      </c>
      <c r="M47" s="405">
        <v>420</v>
      </c>
      <c r="N47" s="406">
        <f t="shared" si="2"/>
        <v>193</v>
      </c>
    </row>
    <row r="48" spans="1:17" ht="21.6" customHeight="1">
      <c r="A48" s="1645"/>
      <c r="B48" s="1090" t="str">
        <f t="shared" si="9"/>
        <v>2009년</v>
      </c>
      <c r="C48" s="1091">
        <f>+'3.면별급수현황'!D48</f>
        <v>2145</v>
      </c>
      <c r="D48" s="1092">
        <f t="shared" si="7"/>
        <v>251</v>
      </c>
      <c r="E48" s="1092">
        <f>ROUND(+'4.상수사용량현황'!D49/365,0)</f>
        <v>157</v>
      </c>
      <c r="F48" s="1093">
        <f>ROUND((+'4.상수사용량현황'!E49+'4.상수사용량현황'!F49+'4.상수사용량현황'!H49)/365,0)</f>
        <v>94</v>
      </c>
      <c r="G48" s="1094">
        <f t="shared" si="8"/>
        <v>117</v>
      </c>
      <c r="H48" s="1095">
        <f t="shared" si="17"/>
        <v>37.5</v>
      </c>
      <c r="J48" s="403">
        <f t="shared" si="16"/>
        <v>117</v>
      </c>
      <c r="K48" s="404">
        <f t="shared" si="5"/>
        <v>73</v>
      </c>
      <c r="L48" s="404">
        <f t="shared" si="6"/>
        <v>44</v>
      </c>
      <c r="M48" s="405">
        <v>414</v>
      </c>
      <c r="N48" s="406">
        <f t="shared" si="2"/>
        <v>163</v>
      </c>
    </row>
    <row r="49" spans="1:17" ht="21.6" customHeight="1">
      <c r="A49" s="1645"/>
      <c r="B49" s="1090" t="str">
        <f t="shared" si="9"/>
        <v>2010년</v>
      </c>
      <c r="C49" s="1091">
        <f>+'3.면별급수현황'!D49</f>
        <v>2145</v>
      </c>
      <c r="D49" s="1092">
        <f t="shared" si="7"/>
        <v>340</v>
      </c>
      <c r="E49" s="1092">
        <f>ROUND(+'4.상수사용량현황'!D50/365,0)</f>
        <v>228</v>
      </c>
      <c r="F49" s="1093">
        <f>ROUND((+'4.상수사용량현황'!E50+'4.상수사용량현황'!F50+'4.상수사용량현황'!H50)/365,0)</f>
        <v>112</v>
      </c>
      <c r="G49" s="1094">
        <f t="shared" si="8"/>
        <v>159</v>
      </c>
      <c r="H49" s="1095">
        <f t="shared" si="17"/>
        <v>32.9</v>
      </c>
      <c r="J49" s="403">
        <f t="shared" si="16"/>
        <v>158</v>
      </c>
      <c r="K49" s="404">
        <f t="shared" si="5"/>
        <v>106</v>
      </c>
      <c r="L49" s="404">
        <f t="shared" si="6"/>
        <v>52</v>
      </c>
      <c r="M49" s="405">
        <v>436</v>
      </c>
      <c r="N49" s="406">
        <f t="shared" si="2"/>
        <v>96</v>
      </c>
    </row>
    <row r="50" spans="1:17" ht="21.6" customHeight="1">
      <c r="A50" s="1645"/>
      <c r="B50" s="1090" t="str">
        <f t="shared" si="9"/>
        <v>2011년</v>
      </c>
      <c r="C50" s="1091">
        <f>+'3.면별급수현황'!D50</f>
        <v>1897</v>
      </c>
      <c r="D50" s="1092">
        <f t="shared" si="7"/>
        <v>389</v>
      </c>
      <c r="E50" s="1092">
        <f>ROUND(+'4.상수사용량현황'!D51/365,0)</f>
        <v>258</v>
      </c>
      <c r="F50" s="1093">
        <f>ROUND((+'4.상수사용량현황'!E51+'4.상수사용량현황'!F51+'4.상수사용량현황'!H51)/365,0)</f>
        <v>131</v>
      </c>
      <c r="G50" s="1094">
        <f t="shared" si="8"/>
        <v>205</v>
      </c>
      <c r="H50" s="1095">
        <f t="shared" si="17"/>
        <v>33.700000000000003</v>
      </c>
      <c r="J50" s="403">
        <f t="shared" si="16"/>
        <v>205</v>
      </c>
      <c r="K50" s="404">
        <f t="shared" si="5"/>
        <v>136</v>
      </c>
      <c r="L50" s="404">
        <f t="shared" si="6"/>
        <v>69</v>
      </c>
      <c r="M50" s="405">
        <v>572</v>
      </c>
      <c r="N50" s="406">
        <f t="shared" si="2"/>
        <v>183</v>
      </c>
    </row>
    <row r="51" spans="1:17" ht="21.6" customHeight="1">
      <c r="A51" s="1645"/>
      <c r="B51" s="1090" t="str">
        <f t="shared" si="9"/>
        <v>2012년</v>
      </c>
      <c r="C51" s="1091">
        <f>+'3.면별급수현황'!D51</f>
        <v>2551</v>
      </c>
      <c r="D51" s="1092">
        <f t="shared" si="7"/>
        <v>404</v>
      </c>
      <c r="E51" s="1092">
        <f>ROUND(+'4.상수사용량현황'!D52/365,0)</f>
        <v>288</v>
      </c>
      <c r="F51" s="1093">
        <f>ROUND((+'4.상수사용량현황'!E52+'4.상수사용량현황'!F52+'4.상수사용량현황'!H52)/365,0)</f>
        <v>116</v>
      </c>
      <c r="G51" s="1094">
        <f t="shared" si="8"/>
        <v>158</v>
      </c>
      <c r="H51" s="1095">
        <f t="shared" si="17"/>
        <v>28.7</v>
      </c>
      <c r="J51" s="403">
        <f t="shared" si="16"/>
        <v>158</v>
      </c>
      <c r="K51" s="404">
        <f t="shared" si="5"/>
        <v>113</v>
      </c>
      <c r="L51" s="404">
        <f t="shared" si="6"/>
        <v>45</v>
      </c>
      <c r="M51" s="405">
        <v>624</v>
      </c>
      <c r="N51" s="406">
        <f t="shared" si="2"/>
        <v>220</v>
      </c>
    </row>
    <row r="52" spans="1:17" ht="21.6" customHeight="1">
      <c r="A52" s="1645"/>
      <c r="B52" s="1090" t="str">
        <f t="shared" si="9"/>
        <v>2013년</v>
      </c>
      <c r="C52" s="1091">
        <f>+'3.면별급수현황'!D52</f>
        <v>2558</v>
      </c>
      <c r="D52" s="1092">
        <f t="shared" si="7"/>
        <v>454</v>
      </c>
      <c r="E52" s="1092">
        <f>ROUND(+'4.상수사용량현황'!D53/365,0)</f>
        <v>314</v>
      </c>
      <c r="F52" s="1093">
        <f>ROUND((+'4.상수사용량현황'!E53+'4.상수사용량현황'!F53+'4.상수사용량현황'!H53)/365,0)</f>
        <v>140</v>
      </c>
      <c r="G52" s="1094">
        <f t="shared" si="8"/>
        <v>177</v>
      </c>
      <c r="H52" s="1095">
        <f t="shared" si="17"/>
        <v>30.8</v>
      </c>
      <c r="J52" s="403">
        <f t="shared" si="16"/>
        <v>178</v>
      </c>
      <c r="K52" s="404">
        <f t="shared" si="5"/>
        <v>123</v>
      </c>
      <c r="L52" s="404">
        <f t="shared" si="6"/>
        <v>55</v>
      </c>
      <c r="M52" s="405">
        <v>765</v>
      </c>
      <c r="N52" s="406">
        <f t="shared" si="2"/>
        <v>311</v>
      </c>
    </row>
    <row r="53" spans="1:17" ht="21.6" customHeight="1">
      <c r="A53" s="1645"/>
      <c r="B53" s="1090" t="str">
        <f t="shared" si="9"/>
        <v>2014년</v>
      </c>
      <c r="C53" s="1091">
        <f>+'3.면별급수현황'!D53</f>
        <v>2658</v>
      </c>
      <c r="D53" s="1092">
        <f t="shared" si="7"/>
        <v>460</v>
      </c>
      <c r="E53" s="1092">
        <f>ROUND(+'4.상수사용량현황'!D54/365,0)</f>
        <v>329</v>
      </c>
      <c r="F53" s="1093">
        <f>ROUND((+'4.상수사용량현황'!E54+'4.상수사용량현황'!F54+'4.상수사용량현황'!H54)/365,0)</f>
        <v>131</v>
      </c>
      <c r="G53" s="1094">
        <f t="shared" si="8"/>
        <v>173</v>
      </c>
      <c r="H53" s="1095">
        <f t="shared" si="17"/>
        <v>28.5</v>
      </c>
      <c r="J53" s="403">
        <f t="shared" si="16"/>
        <v>173</v>
      </c>
      <c r="K53" s="404">
        <f t="shared" si="5"/>
        <v>124</v>
      </c>
      <c r="L53" s="404">
        <f t="shared" si="6"/>
        <v>49</v>
      </c>
      <c r="M53" s="405">
        <v>740</v>
      </c>
      <c r="N53" s="406">
        <f t="shared" si="2"/>
        <v>280</v>
      </c>
      <c r="Q53" s="8"/>
    </row>
    <row r="54" spans="1:17" ht="21.6" customHeight="1">
      <c r="A54" s="1645" t="s">
        <v>948</v>
      </c>
      <c r="B54" s="1090" t="str">
        <f>+B44</f>
        <v>2005년</v>
      </c>
      <c r="C54" s="1091">
        <f>+'3.면별급수현황'!D54</f>
        <v>0</v>
      </c>
      <c r="D54" s="1092">
        <f t="shared" si="7"/>
        <v>0</v>
      </c>
      <c r="E54" s="1092">
        <f>ROUND(+'4.상수사용량현황'!D55/365,0)</f>
        <v>0</v>
      </c>
      <c r="F54" s="1093">
        <f>ROUND((+'4.상수사용량현황'!E55+'4.상수사용량현황'!F55+'4.상수사용량현황'!H55)/365,0)</f>
        <v>0</v>
      </c>
      <c r="G54" s="1094">
        <v>0</v>
      </c>
      <c r="H54" s="1095">
        <v>0</v>
      </c>
      <c r="J54" s="403">
        <f>+K54+L54</f>
        <v>0</v>
      </c>
      <c r="K54" s="404"/>
      <c r="L54" s="404"/>
      <c r="M54" s="405">
        <v>0</v>
      </c>
      <c r="N54" s="406">
        <f t="shared" si="2"/>
        <v>0</v>
      </c>
    </row>
    <row r="55" spans="1:17" ht="21.6" customHeight="1">
      <c r="A55" s="1645"/>
      <c r="B55" s="1090" t="str">
        <f t="shared" si="9"/>
        <v>2006년</v>
      </c>
      <c r="C55" s="1091">
        <f>+'3.면별급수현황'!D55</f>
        <v>0</v>
      </c>
      <c r="D55" s="1092">
        <f t="shared" si="7"/>
        <v>0</v>
      </c>
      <c r="E55" s="1092">
        <f>ROUND(+'4.상수사용량현황'!D56/365,0)</f>
        <v>0</v>
      </c>
      <c r="F55" s="1093">
        <f>ROUND((+'4.상수사용량현황'!E56+'4.상수사용량현황'!F56+'4.상수사용량현황'!H56)/365,0)</f>
        <v>0</v>
      </c>
      <c r="G55" s="1094">
        <v>0</v>
      </c>
      <c r="H55" s="1095">
        <v>0</v>
      </c>
      <c r="J55" s="403">
        <f t="shared" ref="J55:J63" si="18">+K55+L55</f>
        <v>0</v>
      </c>
      <c r="K55" s="404"/>
      <c r="L55" s="404"/>
      <c r="M55" s="405">
        <v>0</v>
      </c>
      <c r="N55" s="406">
        <f t="shared" si="2"/>
        <v>0</v>
      </c>
    </row>
    <row r="56" spans="1:17" ht="21.6" customHeight="1">
      <c r="A56" s="1645"/>
      <c r="B56" s="1090" t="str">
        <f t="shared" si="9"/>
        <v>2007년</v>
      </c>
      <c r="C56" s="1091">
        <f>+'3.면별급수현황'!D56</f>
        <v>736</v>
      </c>
      <c r="D56" s="1092">
        <f t="shared" si="7"/>
        <v>391</v>
      </c>
      <c r="E56" s="1092">
        <f>ROUND(+'4.상수사용량현황'!D57/365,0)</f>
        <v>63</v>
      </c>
      <c r="F56" s="1093">
        <f>ROUND((+'4.상수사용량현황'!E57+'4.상수사용량현황'!F57+'4.상수사용량현황'!H57)/365,0)</f>
        <v>328</v>
      </c>
      <c r="G56" s="1094">
        <f t="shared" si="8"/>
        <v>531</v>
      </c>
      <c r="H56" s="1095">
        <f t="shared" ref="H56:H63" si="19">+ROUND(F56/D56*100,1)</f>
        <v>83.9</v>
      </c>
      <c r="J56" s="403">
        <f t="shared" si="18"/>
        <v>532</v>
      </c>
      <c r="K56" s="404">
        <f t="shared" si="5"/>
        <v>86</v>
      </c>
      <c r="L56" s="404">
        <f t="shared" si="6"/>
        <v>446</v>
      </c>
      <c r="M56" s="405">
        <v>72</v>
      </c>
      <c r="N56" s="406">
        <f t="shared" si="2"/>
        <v>-319</v>
      </c>
    </row>
    <row r="57" spans="1:17" ht="21.6" customHeight="1">
      <c r="A57" s="1645"/>
      <c r="B57" s="1090" t="str">
        <f t="shared" si="9"/>
        <v>2008년</v>
      </c>
      <c r="C57" s="1091">
        <f>+'3.면별급수현황'!D57</f>
        <v>922</v>
      </c>
      <c r="D57" s="1092">
        <f t="shared" si="7"/>
        <v>154</v>
      </c>
      <c r="E57" s="1092">
        <f>ROUND(+'4.상수사용량현황'!D58/365,0)</f>
        <v>105</v>
      </c>
      <c r="F57" s="1093">
        <f>ROUND((+'4.상수사용량현황'!E58+'4.상수사용량현황'!F58+'4.상수사용량현황'!H58)/365,0)</f>
        <v>49</v>
      </c>
      <c r="G57" s="1094">
        <f t="shared" si="8"/>
        <v>167</v>
      </c>
      <c r="H57" s="1095">
        <f t="shared" si="19"/>
        <v>31.8</v>
      </c>
      <c r="J57" s="403">
        <f t="shared" si="18"/>
        <v>167</v>
      </c>
      <c r="K57" s="404">
        <f t="shared" si="5"/>
        <v>114</v>
      </c>
      <c r="L57" s="404">
        <f t="shared" si="6"/>
        <v>53</v>
      </c>
      <c r="M57" s="405">
        <v>111</v>
      </c>
      <c r="N57" s="406">
        <f t="shared" si="2"/>
        <v>-43</v>
      </c>
    </row>
    <row r="58" spans="1:17" ht="21.6" customHeight="1">
      <c r="A58" s="1645"/>
      <c r="B58" s="1090" t="str">
        <f t="shared" si="9"/>
        <v>2009년</v>
      </c>
      <c r="C58" s="1091">
        <f>+'3.면별급수현황'!D58</f>
        <v>1734</v>
      </c>
      <c r="D58" s="1092">
        <f t="shared" si="7"/>
        <v>148</v>
      </c>
      <c r="E58" s="1092">
        <f>ROUND(+'4.상수사용량현황'!D59/365,0)</f>
        <v>105</v>
      </c>
      <c r="F58" s="1093">
        <f>ROUND((+'4.상수사용량현황'!E59+'4.상수사용량현황'!F59+'4.상수사용량현황'!H59)/365,0)</f>
        <v>43</v>
      </c>
      <c r="G58" s="1094">
        <f t="shared" si="8"/>
        <v>85</v>
      </c>
      <c r="H58" s="1095">
        <f t="shared" si="19"/>
        <v>29.1</v>
      </c>
      <c r="J58" s="403">
        <f t="shared" si="18"/>
        <v>86</v>
      </c>
      <c r="K58" s="404">
        <f t="shared" si="5"/>
        <v>61</v>
      </c>
      <c r="L58" s="404">
        <f t="shared" si="6"/>
        <v>25</v>
      </c>
      <c r="M58" s="405">
        <v>139</v>
      </c>
      <c r="N58" s="406">
        <f t="shared" si="2"/>
        <v>-9</v>
      </c>
    </row>
    <row r="59" spans="1:17" ht="21.6" customHeight="1">
      <c r="A59" s="1645"/>
      <c r="B59" s="1090" t="str">
        <f t="shared" si="9"/>
        <v>2010년</v>
      </c>
      <c r="C59" s="1091">
        <f>+'3.면별급수현황'!D59</f>
        <v>1734</v>
      </c>
      <c r="D59" s="1092">
        <f t="shared" si="7"/>
        <v>227</v>
      </c>
      <c r="E59" s="1092">
        <f>ROUND(+'4.상수사용량현황'!D60/365,0)</f>
        <v>179</v>
      </c>
      <c r="F59" s="1093">
        <f>ROUND((+'4.상수사용량현황'!E60+'4.상수사용량현황'!F60+'4.상수사용량현황'!H60)/365,0)</f>
        <v>48</v>
      </c>
      <c r="G59" s="1094">
        <f t="shared" si="8"/>
        <v>131</v>
      </c>
      <c r="H59" s="1095">
        <f t="shared" si="19"/>
        <v>21.1</v>
      </c>
      <c r="J59" s="403">
        <f t="shared" si="18"/>
        <v>131</v>
      </c>
      <c r="K59" s="404">
        <f t="shared" si="5"/>
        <v>103</v>
      </c>
      <c r="L59" s="404">
        <f t="shared" si="6"/>
        <v>28</v>
      </c>
      <c r="M59" s="405">
        <v>156</v>
      </c>
      <c r="N59" s="406">
        <f t="shared" si="2"/>
        <v>-71</v>
      </c>
    </row>
    <row r="60" spans="1:17" ht="21.6" customHeight="1">
      <c r="A60" s="1645"/>
      <c r="B60" s="1090" t="str">
        <f t="shared" si="9"/>
        <v>2011년</v>
      </c>
      <c r="C60" s="1091">
        <f>+'3.면별급수현황'!D60</f>
        <v>3271</v>
      </c>
      <c r="D60" s="1092">
        <f t="shared" si="7"/>
        <v>355</v>
      </c>
      <c r="E60" s="1092">
        <f>ROUND(+'4.상수사용량현황'!D61/365,0)</f>
        <v>312</v>
      </c>
      <c r="F60" s="1093">
        <f>ROUND((+'4.상수사용량현황'!E61+'4.상수사용량현황'!F61+'4.상수사용량현황'!H61)/365,0)</f>
        <v>43</v>
      </c>
      <c r="G60" s="1094">
        <f t="shared" si="8"/>
        <v>109</v>
      </c>
      <c r="H60" s="1095">
        <f t="shared" si="19"/>
        <v>12.1</v>
      </c>
      <c r="J60" s="403">
        <f t="shared" si="18"/>
        <v>108</v>
      </c>
      <c r="K60" s="404">
        <f t="shared" si="5"/>
        <v>95</v>
      </c>
      <c r="L60" s="404">
        <f t="shared" si="6"/>
        <v>13</v>
      </c>
      <c r="M60" s="405">
        <v>178</v>
      </c>
      <c r="N60" s="406">
        <f t="shared" si="2"/>
        <v>-177</v>
      </c>
    </row>
    <row r="61" spans="1:17" ht="21.6" customHeight="1">
      <c r="A61" s="1645"/>
      <c r="B61" s="1090" t="str">
        <f t="shared" si="9"/>
        <v>2012년</v>
      </c>
      <c r="C61" s="1091">
        <f>+'3.면별급수현황'!D61</f>
        <v>4805</v>
      </c>
      <c r="D61" s="1092">
        <f t="shared" si="7"/>
        <v>407</v>
      </c>
      <c r="E61" s="1092">
        <f>ROUND(+'4.상수사용량현황'!D62/365,0)</f>
        <v>361</v>
      </c>
      <c r="F61" s="1093">
        <f>ROUND((+'4.상수사용량현황'!E62+'4.상수사용량현황'!F62+'4.상수사용량현황'!H62)/365,0)</f>
        <v>46</v>
      </c>
      <c r="G61" s="1094">
        <f t="shared" si="8"/>
        <v>85</v>
      </c>
      <c r="H61" s="1095">
        <f t="shared" si="19"/>
        <v>11.3</v>
      </c>
      <c r="J61" s="403">
        <f t="shared" si="18"/>
        <v>85</v>
      </c>
      <c r="K61" s="404">
        <f t="shared" si="5"/>
        <v>75</v>
      </c>
      <c r="L61" s="404">
        <f t="shared" si="6"/>
        <v>10</v>
      </c>
      <c r="M61" s="405">
        <v>182</v>
      </c>
      <c r="N61" s="406">
        <f t="shared" si="2"/>
        <v>-225</v>
      </c>
    </row>
    <row r="62" spans="1:17" ht="21.6" customHeight="1">
      <c r="A62" s="1645"/>
      <c r="B62" s="1090" t="str">
        <f t="shared" si="9"/>
        <v>2013년</v>
      </c>
      <c r="C62" s="1091">
        <f>+'3.면별급수현황'!D62</f>
        <v>4815</v>
      </c>
      <c r="D62" s="1092">
        <f t="shared" si="7"/>
        <v>468</v>
      </c>
      <c r="E62" s="1092">
        <f>ROUND(+'4.상수사용량현황'!D63/365,0)</f>
        <v>411</v>
      </c>
      <c r="F62" s="1093">
        <f>ROUND((+'4.상수사용량현황'!E63+'4.상수사용량현황'!F63+'4.상수사용량현황'!H63)/365,0)</f>
        <v>57</v>
      </c>
      <c r="G62" s="1094">
        <f t="shared" si="8"/>
        <v>97</v>
      </c>
      <c r="H62" s="1095">
        <f t="shared" si="19"/>
        <v>12.2</v>
      </c>
      <c r="J62" s="403">
        <f t="shared" si="18"/>
        <v>97</v>
      </c>
      <c r="K62" s="404">
        <f t="shared" si="5"/>
        <v>85</v>
      </c>
      <c r="L62" s="404">
        <f t="shared" si="6"/>
        <v>12</v>
      </c>
      <c r="M62" s="405">
        <v>199</v>
      </c>
      <c r="N62" s="406">
        <f t="shared" si="2"/>
        <v>-269</v>
      </c>
    </row>
    <row r="63" spans="1:17" ht="21.6" customHeight="1">
      <c r="A63" s="1646"/>
      <c r="B63" s="1096" t="str">
        <f t="shared" si="9"/>
        <v>2014년</v>
      </c>
      <c r="C63" s="1097">
        <f>+'3.면별급수현황'!D63</f>
        <v>7215</v>
      </c>
      <c r="D63" s="1098">
        <f t="shared" si="7"/>
        <v>864</v>
      </c>
      <c r="E63" s="1098">
        <f>ROUND(+'4.상수사용량현황'!D64/365,0)</f>
        <v>668</v>
      </c>
      <c r="F63" s="1099">
        <f>ROUND((+'4.상수사용량현황'!E64+'4.상수사용량현황'!F64+'4.상수사용량현황'!H64)/365,0)</f>
        <v>196</v>
      </c>
      <c r="G63" s="1100">
        <f t="shared" si="8"/>
        <v>120</v>
      </c>
      <c r="H63" s="1101">
        <f t="shared" si="19"/>
        <v>22.7</v>
      </c>
      <c r="J63" s="403">
        <f t="shared" si="18"/>
        <v>120</v>
      </c>
      <c r="K63" s="404">
        <f t="shared" si="5"/>
        <v>93</v>
      </c>
      <c r="L63" s="404">
        <f t="shared" si="6"/>
        <v>27</v>
      </c>
      <c r="M63" s="405">
        <v>204</v>
      </c>
      <c r="N63" s="406">
        <f t="shared" si="2"/>
        <v>-660</v>
      </c>
    </row>
    <row r="64" spans="1:17" ht="21" customHeight="1">
      <c r="A64" s="1647" t="s">
        <v>949</v>
      </c>
      <c r="B64" s="398" t="str">
        <f>+B54</f>
        <v>2005년</v>
      </c>
      <c r="C64" s="399">
        <f>+'3.면별급수현황'!D64</f>
        <v>0</v>
      </c>
      <c r="D64" s="400">
        <f t="shared" ref="D64:D113" si="20">E64+F64</f>
        <v>0</v>
      </c>
      <c r="E64" s="400">
        <f>ROUND(+'4.상수사용량현황'!D65/365,0)</f>
        <v>0</v>
      </c>
      <c r="F64" s="833">
        <f>ROUND((+'4.상수사용량현황'!E65+'4.상수사용량현황'!F65+'4.상수사용량현황'!H65)/365,0)</f>
        <v>0</v>
      </c>
      <c r="G64" s="401">
        <v>0</v>
      </c>
      <c r="H64" s="409">
        <v>0</v>
      </c>
      <c r="J64" s="403">
        <f>+K64+L64</f>
        <v>0</v>
      </c>
      <c r="K64" s="404"/>
      <c r="L64" s="404"/>
      <c r="M64" s="405">
        <v>740</v>
      </c>
      <c r="N64" s="406">
        <f t="shared" si="2"/>
        <v>740</v>
      </c>
    </row>
    <row r="65" spans="1:14" ht="21" customHeight="1">
      <c r="A65" s="1645"/>
      <c r="B65" s="1090" t="str">
        <f t="shared" si="9"/>
        <v>2006년</v>
      </c>
      <c r="C65" s="1091">
        <f>+'3.면별급수현황'!D65</f>
        <v>0</v>
      </c>
      <c r="D65" s="1092">
        <f t="shared" si="20"/>
        <v>0</v>
      </c>
      <c r="E65" s="1092">
        <f>ROUND(+'4.상수사용량현황'!D66/365,0)</f>
        <v>0</v>
      </c>
      <c r="F65" s="1093">
        <f>ROUND((+'4.상수사용량현황'!E66+'4.상수사용량현황'!F66+'4.상수사용량현황'!H66)/365,0)</f>
        <v>0</v>
      </c>
      <c r="G65" s="1094">
        <v>0</v>
      </c>
      <c r="H65" s="1095">
        <v>0</v>
      </c>
      <c r="J65" s="403">
        <f t="shared" ref="J65:J73" si="21">+K65+L65</f>
        <v>0</v>
      </c>
      <c r="K65" s="404"/>
      <c r="L65" s="404"/>
      <c r="M65" s="405">
        <v>909</v>
      </c>
      <c r="N65" s="406">
        <f t="shared" si="2"/>
        <v>909</v>
      </c>
    </row>
    <row r="66" spans="1:14" ht="21" customHeight="1">
      <c r="A66" s="1645"/>
      <c r="B66" s="1090" t="str">
        <f t="shared" si="9"/>
        <v>2007년</v>
      </c>
      <c r="C66" s="1091">
        <f>+'3.면별급수현황'!D66</f>
        <v>11808</v>
      </c>
      <c r="D66" s="1092">
        <f t="shared" si="20"/>
        <v>6738</v>
      </c>
      <c r="E66" s="1092">
        <f>ROUND(+'4.상수사용량현황'!D67/365,0)</f>
        <v>1620</v>
      </c>
      <c r="F66" s="1093">
        <f>ROUND((+'4.상수사용량현황'!E67+'4.상수사용량현황'!F67+'4.상수사용량현황'!H67)/365,0)</f>
        <v>5118</v>
      </c>
      <c r="G66" s="1094">
        <f t="shared" ref="G66:G83" si="22">ROUND(+D66/C66*1000,0)</f>
        <v>571</v>
      </c>
      <c r="H66" s="1095">
        <f t="shared" ref="H66:H73" si="23">+ROUND(F66/D66*100,1)</f>
        <v>76</v>
      </c>
      <c r="J66" s="403">
        <f t="shared" si="21"/>
        <v>570</v>
      </c>
      <c r="K66" s="404">
        <f t="shared" si="5"/>
        <v>137</v>
      </c>
      <c r="L66" s="404">
        <f t="shared" si="6"/>
        <v>433</v>
      </c>
      <c r="M66" s="405">
        <v>1660</v>
      </c>
      <c r="N66" s="406">
        <f t="shared" si="2"/>
        <v>-5078</v>
      </c>
    </row>
    <row r="67" spans="1:14" ht="21" customHeight="1">
      <c r="A67" s="1645"/>
      <c r="B67" s="1090" t="str">
        <f t="shared" si="9"/>
        <v>2008년</v>
      </c>
      <c r="C67" s="1091">
        <f>+'3.면별급수현황'!D67</f>
        <v>12279</v>
      </c>
      <c r="D67" s="1092">
        <f t="shared" si="20"/>
        <v>2235</v>
      </c>
      <c r="E67" s="1092">
        <f>ROUND(+'4.상수사용량현황'!D68/365,0)</f>
        <v>1764</v>
      </c>
      <c r="F67" s="1093">
        <f>ROUND((+'4.상수사용량현황'!E68+'4.상수사용량현황'!F68+'4.상수사용량현황'!H68)/365,0)</f>
        <v>471</v>
      </c>
      <c r="G67" s="1094">
        <f t="shared" si="22"/>
        <v>182</v>
      </c>
      <c r="H67" s="1095">
        <f t="shared" si="23"/>
        <v>21.1</v>
      </c>
      <c r="J67" s="403">
        <f t="shared" si="21"/>
        <v>182</v>
      </c>
      <c r="K67" s="404">
        <f t="shared" si="5"/>
        <v>144</v>
      </c>
      <c r="L67" s="404">
        <f t="shared" si="6"/>
        <v>38</v>
      </c>
      <c r="M67" s="405">
        <v>1523</v>
      </c>
      <c r="N67" s="406">
        <f t="shared" si="2"/>
        <v>-712</v>
      </c>
    </row>
    <row r="68" spans="1:14" ht="21" customHeight="1">
      <c r="A68" s="1645"/>
      <c r="B68" s="1090" t="str">
        <f t="shared" si="9"/>
        <v>2009년</v>
      </c>
      <c r="C68" s="1091">
        <f>+'3.면별급수현황'!D68</f>
        <v>12562</v>
      </c>
      <c r="D68" s="1092">
        <f t="shared" si="20"/>
        <v>2409</v>
      </c>
      <c r="E68" s="1092">
        <f>ROUND(+'4.상수사용량현황'!D69/365,0)</f>
        <v>1944</v>
      </c>
      <c r="F68" s="1093">
        <f>ROUND((+'4.상수사용량현황'!E69+'4.상수사용량현황'!F69+'4.상수사용량현황'!H69)/365,0)</f>
        <v>465</v>
      </c>
      <c r="G68" s="1094">
        <f t="shared" si="22"/>
        <v>192</v>
      </c>
      <c r="H68" s="1095">
        <f t="shared" si="23"/>
        <v>19.3</v>
      </c>
      <c r="J68" s="403">
        <f t="shared" si="21"/>
        <v>192</v>
      </c>
      <c r="K68" s="404">
        <f t="shared" si="5"/>
        <v>155</v>
      </c>
      <c r="L68" s="404">
        <f t="shared" si="6"/>
        <v>37</v>
      </c>
      <c r="M68" s="405">
        <v>936</v>
      </c>
      <c r="N68" s="406">
        <f t="shared" ref="N68:N112" si="24">+M68-D68</f>
        <v>-1473</v>
      </c>
    </row>
    <row r="69" spans="1:14" ht="21" customHeight="1">
      <c r="A69" s="1645"/>
      <c r="B69" s="1090" t="str">
        <f t="shared" si="9"/>
        <v>2010년</v>
      </c>
      <c r="C69" s="1091">
        <f>+'3.면별급수현황'!D69</f>
        <v>12562</v>
      </c>
      <c r="D69" s="1092">
        <f t="shared" si="20"/>
        <v>2584</v>
      </c>
      <c r="E69" s="1092">
        <f>ROUND(+'4.상수사용량현황'!D70/365,0)</f>
        <v>1941</v>
      </c>
      <c r="F69" s="1093">
        <f>ROUND((+'4.상수사용량현황'!E70+'4.상수사용량현황'!F70+'4.상수사용량현황'!H70)/365,0)</f>
        <v>643</v>
      </c>
      <c r="G69" s="1094">
        <f t="shared" si="22"/>
        <v>206</v>
      </c>
      <c r="H69" s="1095">
        <f t="shared" si="23"/>
        <v>24.9</v>
      </c>
      <c r="J69" s="403">
        <f t="shared" si="21"/>
        <v>206</v>
      </c>
      <c r="K69" s="404">
        <f t="shared" ref="K69:K113" si="25">ROUND(+E69/C69*1000,0)</f>
        <v>155</v>
      </c>
      <c r="L69" s="404">
        <f t="shared" ref="L69:L113" si="26">ROUND(+F69/C69*1000,0)</f>
        <v>51</v>
      </c>
      <c r="M69" s="405">
        <v>960</v>
      </c>
      <c r="N69" s="406">
        <f t="shared" si="24"/>
        <v>-1624</v>
      </c>
    </row>
    <row r="70" spans="1:14" ht="21" customHeight="1">
      <c r="A70" s="1645"/>
      <c r="B70" s="1090" t="str">
        <f t="shared" si="9"/>
        <v>2011년</v>
      </c>
      <c r="C70" s="1091">
        <f>+'3.면별급수현황'!D70</f>
        <v>14898</v>
      </c>
      <c r="D70" s="1092">
        <f t="shared" si="20"/>
        <v>8555</v>
      </c>
      <c r="E70" s="1092">
        <f>ROUND(+'4.상수사용량현황'!D71/365,0)</f>
        <v>2133</v>
      </c>
      <c r="F70" s="1093">
        <f>ROUND((+'4.상수사용량현황'!E71+'4.상수사용량현황'!F71+'4.상수사용량현황'!H71)/365,0)</f>
        <v>6422</v>
      </c>
      <c r="G70" s="1094">
        <f t="shared" si="22"/>
        <v>574</v>
      </c>
      <c r="H70" s="1095">
        <f t="shared" si="23"/>
        <v>75.099999999999994</v>
      </c>
      <c r="J70" s="403">
        <f t="shared" si="21"/>
        <v>574</v>
      </c>
      <c r="K70" s="404">
        <f t="shared" si="25"/>
        <v>143</v>
      </c>
      <c r="L70" s="404">
        <f t="shared" si="26"/>
        <v>431</v>
      </c>
      <c r="M70" s="405">
        <v>1055</v>
      </c>
      <c r="N70" s="406">
        <f t="shared" si="24"/>
        <v>-7500</v>
      </c>
    </row>
    <row r="71" spans="1:14" ht="21" customHeight="1">
      <c r="A71" s="1645"/>
      <c r="B71" s="1090" t="str">
        <f t="shared" si="9"/>
        <v>2012년</v>
      </c>
      <c r="C71" s="1091">
        <f>+'3.면별급수현황'!D71</f>
        <v>14201</v>
      </c>
      <c r="D71" s="1092">
        <f t="shared" si="20"/>
        <v>2988</v>
      </c>
      <c r="E71" s="1092">
        <f>ROUND(+'4.상수사용량현황'!D72/365,0)</f>
        <v>2386</v>
      </c>
      <c r="F71" s="1093">
        <f>ROUND((+'4.상수사용량현황'!E72+'4.상수사용량현황'!F72+'4.상수사용량현황'!H72)/365,0)</f>
        <v>602</v>
      </c>
      <c r="G71" s="1094">
        <f t="shared" si="22"/>
        <v>210</v>
      </c>
      <c r="H71" s="1095">
        <f t="shared" si="23"/>
        <v>20.100000000000001</v>
      </c>
      <c r="J71" s="403">
        <f t="shared" si="21"/>
        <v>210</v>
      </c>
      <c r="K71" s="404">
        <f t="shared" si="25"/>
        <v>168</v>
      </c>
      <c r="L71" s="404">
        <f t="shared" si="26"/>
        <v>42</v>
      </c>
      <c r="M71" s="405">
        <v>1109</v>
      </c>
      <c r="N71" s="406">
        <f t="shared" si="24"/>
        <v>-1879</v>
      </c>
    </row>
    <row r="72" spans="1:14" ht="21" customHeight="1">
      <c r="A72" s="1645"/>
      <c r="B72" s="1090" t="str">
        <f t="shared" si="9"/>
        <v>2013년</v>
      </c>
      <c r="C72" s="1091">
        <f>+'3.면별급수현황'!D72</f>
        <v>14561</v>
      </c>
      <c r="D72" s="1092">
        <f t="shared" si="20"/>
        <v>3286</v>
      </c>
      <c r="E72" s="1092">
        <f>ROUND(+'4.상수사용량현황'!D73/365,0)</f>
        <v>2639</v>
      </c>
      <c r="F72" s="1093">
        <f>ROUND((+'4.상수사용량현황'!E73+'4.상수사용량현황'!F73+'4.상수사용량현황'!H73)/365,0)</f>
        <v>647</v>
      </c>
      <c r="G72" s="1094">
        <f t="shared" si="22"/>
        <v>226</v>
      </c>
      <c r="H72" s="1095">
        <f t="shared" si="23"/>
        <v>19.7</v>
      </c>
      <c r="J72" s="403">
        <f t="shared" si="21"/>
        <v>225</v>
      </c>
      <c r="K72" s="404">
        <f t="shared" si="25"/>
        <v>181</v>
      </c>
      <c r="L72" s="404">
        <f t="shared" si="26"/>
        <v>44</v>
      </c>
      <c r="M72" s="405">
        <v>1213</v>
      </c>
      <c r="N72" s="406">
        <f t="shared" si="24"/>
        <v>-2073</v>
      </c>
    </row>
    <row r="73" spans="1:14" ht="21" customHeight="1">
      <c r="A73" s="1645"/>
      <c r="B73" s="1090" t="str">
        <f t="shared" si="9"/>
        <v>2014년</v>
      </c>
      <c r="C73" s="1091">
        <f>+'3.면별급수현황'!D73</f>
        <v>16561</v>
      </c>
      <c r="D73" s="1092">
        <f t="shared" si="20"/>
        <v>3514</v>
      </c>
      <c r="E73" s="1092">
        <f>ROUND(+'4.상수사용량현황'!D74/365,0)</f>
        <v>2835</v>
      </c>
      <c r="F73" s="1093">
        <f>ROUND((+'4.상수사용량현황'!E74+'4.상수사용량현황'!F74+'4.상수사용량현황'!H74)/365,0)</f>
        <v>679</v>
      </c>
      <c r="G73" s="1094">
        <f t="shared" si="22"/>
        <v>212</v>
      </c>
      <c r="H73" s="1095">
        <f t="shared" si="23"/>
        <v>19.3</v>
      </c>
      <c r="J73" s="403">
        <f t="shared" si="21"/>
        <v>212</v>
      </c>
      <c r="K73" s="404">
        <f t="shared" si="25"/>
        <v>171</v>
      </c>
      <c r="L73" s="404">
        <f t="shared" si="26"/>
        <v>41</v>
      </c>
      <c r="M73" s="405">
        <v>1306</v>
      </c>
      <c r="N73" s="406">
        <f t="shared" si="24"/>
        <v>-2208</v>
      </c>
    </row>
    <row r="74" spans="1:14" ht="21" customHeight="1">
      <c r="A74" s="1645" t="s">
        <v>950</v>
      </c>
      <c r="B74" s="1090" t="str">
        <f>+B64</f>
        <v>2005년</v>
      </c>
      <c r="C74" s="1091">
        <f>+'3.면별급수현황'!D74</f>
        <v>0</v>
      </c>
      <c r="D74" s="1092">
        <f t="shared" si="20"/>
        <v>0</v>
      </c>
      <c r="E74" s="1092">
        <f>ROUND(+'4.상수사용량현황'!D75/365,0)</f>
        <v>0</v>
      </c>
      <c r="F74" s="1093">
        <f>ROUND((+'4.상수사용량현황'!E75+'4.상수사용량현황'!F75+'4.상수사용량현황'!H75)/365,0)</f>
        <v>0</v>
      </c>
      <c r="G74" s="1094">
        <v>0</v>
      </c>
      <c r="H74" s="1095">
        <v>0</v>
      </c>
      <c r="J74" s="403">
        <f>+K74+L74</f>
        <v>0</v>
      </c>
      <c r="K74" s="404"/>
      <c r="L74" s="404"/>
      <c r="M74" s="405">
        <v>1514</v>
      </c>
      <c r="N74" s="406">
        <f t="shared" si="24"/>
        <v>1514</v>
      </c>
    </row>
    <row r="75" spans="1:14" ht="21" customHeight="1">
      <c r="A75" s="1645"/>
      <c r="B75" s="1090" t="str">
        <f t="shared" si="9"/>
        <v>2006년</v>
      </c>
      <c r="C75" s="1091">
        <f>+'3.면별급수현황'!D75</f>
        <v>0</v>
      </c>
      <c r="D75" s="1092">
        <f t="shared" si="20"/>
        <v>0</v>
      </c>
      <c r="E75" s="1092">
        <f>ROUND(+'4.상수사용량현황'!D76/365,0)</f>
        <v>0</v>
      </c>
      <c r="F75" s="1093">
        <f>ROUND((+'4.상수사용량현황'!E76+'4.상수사용량현황'!F76+'4.상수사용량현황'!H76)/365,0)</f>
        <v>0</v>
      </c>
      <c r="G75" s="1094">
        <v>0</v>
      </c>
      <c r="H75" s="1095">
        <v>0</v>
      </c>
      <c r="J75" s="403">
        <f t="shared" ref="J75:J83" si="27">+K75+L75</f>
        <v>0</v>
      </c>
      <c r="K75" s="404"/>
      <c r="L75" s="404"/>
      <c r="M75" s="405">
        <v>1574</v>
      </c>
      <c r="N75" s="406">
        <f t="shared" si="24"/>
        <v>1574</v>
      </c>
    </row>
    <row r="76" spans="1:14" ht="21" customHeight="1">
      <c r="A76" s="1645"/>
      <c r="B76" s="1090" t="str">
        <f t="shared" si="9"/>
        <v>2007년</v>
      </c>
      <c r="C76" s="1091">
        <f>+'3.면별급수현황'!D76</f>
        <v>2853</v>
      </c>
      <c r="D76" s="1092">
        <f t="shared" si="20"/>
        <v>199</v>
      </c>
      <c r="E76" s="1092">
        <f>ROUND(+'4.상수사용량현황'!D77/365,0)</f>
        <v>74</v>
      </c>
      <c r="F76" s="1093">
        <f>ROUND((+'4.상수사용량현황'!E77+'4.상수사용량현황'!F77+'4.상수사용량현황'!H77)/365,0)</f>
        <v>125</v>
      </c>
      <c r="G76" s="1094">
        <f t="shared" si="22"/>
        <v>70</v>
      </c>
      <c r="H76" s="1095">
        <f t="shared" ref="H76:H83" si="28">+ROUND(F76/D76*100,1)</f>
        <v>62.8</v>
      </c>
      <c r="J76" s="403">
        <f t="shared" si="27"/>
        <v>70</v>
      </c>
      <c r="K76" s="404">
        <f t="shared" si="25"/>
        <v>26</v>
      </c>
      <c r="L76" s="404">
        <f t="shared" si="26"/>
        <v>44</v>
      </c>
      <c r="M76" s="405">
        <v>2088</v>
      </c>
      <c r="N76" s="406">
        <f t="shared" si="24"/>
        <v>1889</v>
      </c>
    </row>
    <row r="77" spans="1:14" ht="21" customHeight="1">
      <c r="A77" s="1645"/>
      <c r="B77" s="1090" t="str">
        <f t="shared" si="9"/>
        <v>2008년</v>
      </c>
      <c r="C77" s="1091">
        <f>+'3.면별급수현황'!D77</f>
        <v>3324</v>
      </c>
      <c r="D77" s="1092">
        <f t="shared" si="20"/>
        <v>254</v>
      </c>
      <c r="E77" s="1092">
        <f>ROUND(+'4.상수사용량현황'!D78/365,0)</f>
        <v>128</v>
      </c>
      <c r="F77" s="1093">
        <f>ROUND((+'4.상수사용량현황'!E78+'4.상수사용량현황'!F78+'4.상수사용량현황'!H78)/365,0)</f>
        <v>126</v>
      </c>
      <c r="G77" s="1094">
        <f t="shared" si="22"/>
        <v>76</v>
      </c>
      <c r="H77" s="1095">
        <f t="shared" si="28"/>
        <v>49.6</v>
      </c>
      <c r="J77" s="403">
        <f t="shared" si="27"/>
        <v>77</v>
      </c>
      <c r="K77" s="404">
        <f t="shared" si="25"/>
        <v>39</v>
      </c>
      <c r="L77" s="404">
        <f t="shared" si="26"/>
        <v>38</v>
      </c>
      <c r="M77" s="405">
        <v>2768</v>
      </c>
      <c r="N77" s="406">
        <f t="shared" si="24"/>
        <v>2514</v>
      </c>
    </row>
    <row r="78" spans="1:14" ht="21" customHeight="1">
      <c r="A78" s="1645"/>
      <c r="B78" s="1090" t="str">
        <f t="shared" si="9"/>
        <v>2009년</v>
      </c>
      <c r="C78" s="1091">
        <f>+'3.면별급수현황'!D78</f>
        <v>4165</v>
      </c>
      <c r="D78" s="1092">
        <f t="shared" si="20"/>
        <v>303</v>
      </c>
      <c r="E78" s="1092">
        <f>ROUND(+'4.상수사용량현황'!D79/365,0)</f>
        <v>174</v>
      </c>
      <c r="F78" s="1093">
        <f>ROUND((+'4.상수사용량현황'!E79+'4.상수사용량현황'!F79+'4.상수사용량현황'!H79)/365,0)</f>
        <v>129</v>
      </c>
      <c r="G78" s="1094">
        <f t="shared" si="22"/>
        <v>73</v>
      </c>
      <c r="H78" s="1095">
        <f t="shared" si="28"/>
        <v>42.6</v>
      </c>
      <c r="J78" s="403">
        <f t="shared" si="27"/>
        <v>73</v>
      </c>
      <c r="K78" s="404">
        <f t="shared" si="25"/>
        <v>42</v>
      </c>
      <c r="L78" s="404">
        <f t="shared" si="26"/>
        <v>31</v>
      </c>
      <c r="M78" s="405">
        <v>1704</v>
      </c>
      <c r="N78" s="406">
        <f t="shared" si="24"/>
        <v>1401</v>
      </c>
    </row>
    <row r="79" spans="1:14" ht="21" customHeight="1">
      <c r="A79" s="1645"/>
      <c r="B79" s="1090" t="str">
        <f t="shared" ref="B79:B83" si="29">+B69</f>
        <v>2010년</v>
      </c>
      <c r="C79" s="1091">
        <f>+'3.면별급수현황'!D79</f>
        <v>4165</v>
      </c>
      <c r="D79" s="1092">
        <f t="shared" si="20"/>
        <v>398</v>
      </c>
      <c r="E79" s="1092">
        <f>ROUND(+'4.상수사용량현황'!D80/365,0)</f>
        <v>220</v>
      </c>
      <c r="F79" s="1093">
        <f>ROUND((+'4.상수사용량현황'!E80+'4.상수사용량현황'!F80+'4.상수사용량현황'!H80)/365,0)</f>
        <v>178</v>
      </c>
      <c r="G79" s="1094">
        <f t="shared" si="22"/>
        <v>96</v>
      </c>
      <c r="H79" s="1095">
        <f t="shared" si="28"/>
        <v>44.7</v>
      </c>
      <c r="J79" s="403">
        <f t="shared" si="27"/>
        <v>96</v>
      </c>
      <c r="K79" s="404">
        <f t="shared" si="25"/>
        <v>53</v>
      </c>
      <c r="L79" s="404">
        <f t="shared" si="26"/>
        <v>43</v>
      </c>
      <c r="M79" s="405">
        <v>1784</v>
      </c>
      <c r="N79" s="406">
        <f t="shared" si="24"/>
        <v>1386</v>
      </c>
    </row>
    <row r="80" spans="1:14" ht="21" customHeight="1">
      <c r="A80" s="1645"/>
      <c r="B80" s="1090" t="str">
        <f t="shared" si="29"/>
        <v>2011년</v>
      </c>
      <c r="C80" s="1091">
        <f>+'3.면별급수현황'!D80</f>
        <v>5895</v>
      </c>
      <c r="D80" s="1092">
        <f t="shared" si="20"/>
        <v>723</v>
      </c>
      <c r="E80" s="1092">
        <f>ROUND(+'4.상수사용량현황'!D81/365,0)</f>
        <v>399</v>
      </c>
      <c r="F80" s="1093">
        <f>ROUND((+'4.상수사용량현황'!E81+'4.상수사용량현황'!F81+'4.상수사용량현황'!H81)/365,0)</f>
        <v>324</v>
      </c>
      <c r="G80" s="1094">
        <f t="shared" si="22"/>
        <v>123</v>
      </c>
      <c r="H80" s="1095">
        <f t="shared" si="28"/>
        <v>44.8</v>
      </c>
      <c r="J80" s="403">
        <f t="shared" si="27"/>
        <v>123</v>
      </c>
      <c r="K80" s="404">
        <f t="shared" si="25"/>
        <v>68</v>
      </c>
      <c r="L80" s="404">
        <f t="shared" si="26"/>
        <v>55</v>
      </c>
      <c r="M80" s="405">
        <v>1928</v>
      </c>
      <c r="N80" s="406">
        <f t="shared" si="24"/>
        <v>1205</v>
      </c>
    </row>
    <row r="81" spans="1:24" ht="21" customHeight="1">
      <c r="A81" s="1645"/>
      <c r="B81" s="1090" t="str">
        <f t="shared" si="29"/>
        <v>2012년</v>
      </c>
      <c r="C81" s="1091">
        <f>+'3.면별급수현황'!D81</f>
        <v>5509</v>
      </c>
      <c r="D81" s="1092">
        <f t="shared" si="20"/>
        <v>1322</v>
      </c>
      <c r="E81" s="1092">
        <f>ROUND(+'4.상수사용량현황'!D82/365,0)</f>
        <v>1115</v>
      </c>
      <c r="F81" s="1093">
        <f>ROUND((+'4.상수사용량현황'!E82+'4.상수사용량현황'!F82+'4.상수사용량현황'!H82)/365,0)</f>
        <v>207</v>
      </c>
      <c r="G81" s="1094">
        <f t="shared" si="22"/>
        <v>240</v>
      </c>
      <c r="H81" s="1095">
        <f t="shared" si="28"/>
        <v>15.7</v>
      </c>
      <c r="J81" s="403">
        <f t="shared" si="27"/>
        <v>240</v>
      </c>
      <c r="K81" s="404">
        <f t="shared" si="25"/>
        <v>202</v>
      </c>
      <c r="L81" s="404">
        <f t="shared" si="26"/>
        <v>38</v>
      </c>
      <c r="M81" s="405">
        <v>2243</v>
      </c>
      <c r="N81" s="406">
        <f t="shared" si="24"/>
        <v>921</v>
      </c>
    </row>
    <row r="82" spans="1:24" ht="21" customHeight="1">
      <c r="A82" s="1645"/>
      <c r="B82" s="1090" t="str">
        <f t="shared" si="29"/>
        <v>2013년</v>
      </c>
      <c r="C82" s="1091">
        <f>+'3.면별급수현황'!D82</f>
        <v>6607</v>
      </c>
      <c r="D82" s="1092">
        <f t="shared" si="20"/>
        <v>1416</v>
      </c>
      <c r="E82" s="1092">
        <f>ROUND(+'4.상수사용량현황'!D83/365,0)</f>
        <v>1153</v>
      </c>
      <c r="F82" s="1093">
        <f>ROUND((+'4.상수사용량현황'!E83+'4.상수사용량현황'!F83+'4.상수사용량현황'!H83)/365,0)</f>
        <v>263</v>
      </c>
      <c r="G82" s="1094">
        <f t="shared" si="22"/>
        <v>214</v>
      </c>
      <c r="H82" s="1095">
        <f t="shared" si="28"/>
        <v>18.600000000000001</v>
      </c>
      <c r="J82" s="403">
        <f t="shared" si="27"/>
        <v>215</v>
      </c>
      <c r="K82" s="404">
        <f t="shared" si="25"/>
        <v>175</v>
      </c>
      <c r="L82" s="404">
        <f t="shared" si="26"/>
        <v>40</v>
      </c>
      <c r="M82" s="405">
        <v>2606</v>
      </c>
      <c r="N82" s="406">
        <f t="shared" si="24"/>
        <v>1190</v>
      </c>
      <c r="Q82" s="2">
        <v>9404</v>
      </c>
      <c r="S82" s="452" t="s">
        <v>497</v>
      </c>
      <c r="T82" s="452" t="s">
        <v>498</v>
      </c>
    </row>
    <row r="83" spans="1:24" ht="21" customHeight="1">
      <c r="A83" s="1645"/>
      <c r="B83" s="1090" t="str">
        <f t="shared" si="29"/>
        <v>2014년</v>
      </c>
      <c r="C83" s="1091">
        <f>+'3.면별급수현황'!D83</f>
        <v>7910</v>
      </c>
      <c r="D83" s="1092">
        <f t="shared" si="20"/>
        <v>1478</v>
      </c>
      <c r="E83" s="1092">
        <f>ROUND(+'4.상수사용량현황'!D84/365,0)</f>
        <v>1203</v>
      </c>
      <c r="F83" s="1093">
        <f>ROUND((+'4.상수사용량현황'!E84+'4.상수사용량현황'!F84+'4.상수사용량현황'!H84)/365,0)</f>
        <v>275</v>
      </c>
      <c r="G83" s="1094">
        <f t="shared" si="22"/>
        <v>187</v>
      </c>
      <c r="H83" s="1095">
        <f t="shared" si="28"/>
        <v>18.600000000000001</v>
      </c>
      <c r="J83" s="403">
        <f t="shared" si="27"/>
        <v>187</v>
      </c>
      <c r="K83" s="404">
        <f t="shared" si="25"/>
        <v>152</v>
      </c>
      <c r="L83" s="404">
        <f t="shared" si="26"/>
        <v>35</v>
      </c>
      <c r="M83" s="405">
        <v>2759</v>
      </c>
      <c r="N83" s="406">
        <f t="shared" si="24"/>
        <v>1281</v>
      </c>
      <c r="P83" s="2">
        <f>+G83*0.9</f>
        <v>168.3</v>
      </c>
      <c r="Q83" s="2">
        <f>+P83/0.8</f>
        <v>210.375</v>
      </c>
      <c r="S83" s="2">
        <v>216</v>
      </c>
      <c r="T83" s="2">
        <v>179</v>
      </c>
      <c r="V83" s="8">
        <f>+D83-S83-T83</f>
        <v>1083</v>
      </c>
      <c r="W83" s="454">
        <f>+V83/C83*1000</f>
        <v>136.91529709228826</v>
      </c>
      <c r="X83" s="454">
        <v>258</v>
      </c>
    </row>
    <row r="84" spans="1:24" ht="21" customHeight="1">
      <c r="A84" s="1645" t="s">
        <v>951</v>
      </c>
      <c r="B84" s="1090" t="str">
        <f>+B74</f>
        <v>2005년</v>
      </c>
      <c r="C84" s="1091">
        <f>+'3.면별급수현황'!D84</f>
        <v>0</v>
      </c>
      <c r="D84" s="1092">
        <f t="shared" ref="D84:D93" si="30">E84+F84</f>
        <v>0</v>
      </c>
      <c r="E84" s="1092">
        <f>ROUND(+'4.상수사용량현황'!D85/365,0)</f>
        <v>0</v>
      </c>
      <c r="F84" s="1093">
        <f>ROUND((+'4.상수사용량현황'!E85+'4.상수사용량현황'!F85+'4.상수사용량현황'!H85)/365,0)</f>
        <v>0</v>
      </c>
      <c r="G84" s="1094">
        <v>0</v>
      </c>
      <c r="H84" s="1095">
        <v>0</v>
      </c>
      <c r="J84" s="403">
        <f>+K84+L84</f>
        <v>0</v>
      </c>
      <c r="K84" s="404"/>
      <c r="L84" s="404"/>
      <c r="M84" s="405">
        <v>1514</v>
      </c>
      <c r="N84" s="406">
        <f t="shared" ref="N84:N93" si="31">+M84-D84</f>
        <v>1514</v>
      </c>
    </row>
    <row r="85" spans="1:24" ht="21" customHeight="1">
      <c r="A85" s="1645"/>
      <c r="B85" s="1090" t="str">
        <f t="shared" ref="B85:B103" si="32">+B75</f>
        <v>2006년</v>
      </c>
      <c r="C85" s="1091">
        <f>+'3.면별급수현황'!D85</f>
        <v>0</v>
      </c>
      <c r="D85" s="1092">
        <f t="shared" si="30"/>
        <v>0</v>
      </c>
      <c r="E85" s="1092">
        <f>ROUND(+'4.상수사용량현황'!D86/365,0)</f>
        <v>0</v>
      </c>
      <c r="F85" s="1093">
        <f>ROUND((+'4.상수사용량현황'!E86+'4.상수사용량현황'!F86+'4.상수사용량현황'!H86)/365,0)</f>
        <v>0</v>
      </c>
      <c r="G85" s="1094">
        <v>0</v>
      </c>
      <c r="H85" s="1095">
        <v>0</v>
      </c>
      <c r="J85" s="403">
        <f t="shared" ref="J85:J93" si="33">+K85+L85</f>
        <v>0</v>
      </c>
      <c r="K85" s="404"/>
      <c r="L85" s="404"/>
      <c r="M85" s="405">
        <v>1574</v>
      </c>
      <c r="N85" s="406">
        <f t="shared" si="31"/>
        <v>1574</v>
      </c>
    </row>
    <row r="86" spans="1:24" ht="21" customHeight="1">
      <c r="A86" s="1645"/>
      <c r="B86" s="1090" t="str">
        <f t="shared" si="32"/>
        <v>2007년</v>
      </c>
      <c r="C86" s="1091">
        <f>+'3.면별급수현황'!D86</f>
        <v>2898</v>
      </c>
      <c r="D86" s="1092">
        <f t="shared" si="30"/>
        <v>1175</v>
      </c>
      <c r="E86" s="1092">
        <f>ROUND(+'4.상수사용량현황'!D87/365,0)</f>
        <v>461</v>
      </c>
      <c r="F86" s="1093">
        <f>ROUND((+'4.상수사용량현황'!E87+'4.상수사용량현황'!F87+'4.상수사용량현황'!H87)/365,0)</f>
        <v>714</v>
      </c>
      <c r="G86" s="1094">
        <f t="shared" ref="G86:G93" si="34">ROUND(+D86/C86*1000,0)</f>
        <v>405</v>
      </c>
      <c r="H86" s="1095">
        <f t="shared" ref="H86:H93" si="35">+ROUND(F86/D86*100,1)</f>
        <v>60.8</v>
      </c>
      <c r="J86" s="403">
        <f t="shared" si="33"/>
        <v>405</v>
      </c>
      <c r="K86" s="404">
        <f t="shared" ref="K86:K93" si="36">ROUND(+E86/C86*1000,0)</f>
        <v>159</v>
      </c>
      <c r="L86" s="404">
        <f t="shared" ref="L86:L93" si="37">ROUND(+F86/C86*1000,0)</f>
        <v>246</v>
      </c>
      <c r="M86" s="405">
        <v>2088</v>
      </c>
      <c r="N86" s="406">
        <f t="shared" si="31"/>
        <v>913</v>
      </c>
    </row>
    <row r="87" spans="1:24" ht="21" customHeight="1">
      <c r="A87" s="1645"/>
      <c r="B87" s="1090" t="str">
        <f t="shared" si="32"/>
        <v>2008년</v>
      </c>
      <c r="C87" s="1091">
        <f>+'3.면별급수현황'!D87</f>
        <v>3084</v>
      </c>
      <c r="D87" s="1092">
        <f t="shared" si="30"/>
        <v>1204</v>
      </c>
      <c r="E87" s="1092">
        <f>ROUND(+'4.상수사용량현황'!D88/365,0)</f>
        <v>436</v>
      </c>
      <c r="F87" s="1093">
        <f>ROUND((+'4.상수사용량현황'!E88+'4.상수사용량현황'!F88+'4.상수사용량현황'!H88)/365,0)</f>
        <v>768</v>
      </c>
      <c r="G87" s="1094">
        <f t="shared" si="34"/>
        <v>390</v>
      </c>
      <c r="H87" s="1095">
        <f t="shared" si="35"/>
        <v>63.8</v>
      </c>
      <c r="J87" s="403">
        <f t="shared" si="33"/>
        <v>390</v>
      </c>
      <c r="K87" s="404">
        <f t="shared" si="36"/>
        <v>141</v>
      </c>
      <c r="L87" s="404">
        <f t="shared" si="37"/>
        <v>249</v>
      </c>
      <c r="M87" s="405">
        <v>2768</v>
      </c>
      <c r="N87" s="406">
        <f t="shared" si="31"/>
        <v>1564</v>
      </c>
    </row>
    <row r="88" spans="1:24" ht="21" customHeight="1">
      <c r="A88" s="1645"/>
      <c r="B88" s="1090" t="str">
        <f t="shared" si="32"/>
        <v>2009년</v>
      </c>
      <c r="C88" s="1091">
        <f>+'3.면별급수현황'!D88</f>
        <v>3421</v>
      </c>
      <c r="D88" s="1092">
        <f t="shared" si="30"/>
        <v>1108</v>
      </c>
      <c r="E88" s="1092">
        <f>ROUND(+'4.상수사용량현황'!D89/365,0)</f>
        <v>410</v>
      </c>
      <c r="F88" s="1093">
        <f>ROUND((+'4.상수사용량현황'!E89+'4.상수사용량현황'!F89+'4.상수사용량현황'!H89)/365,0)</f>
        <v>698</v>
      </c>
      <c r="G88" s="1094">
        <f t="shared" si="34"/>
        <v>324</v>
      </c>
      <c r="H88" s="1095">
        <f t="shared" si="35"/>
        <v>63</v>
      </c>
      <c r="J88" s="403">
        <f t="shared" si="33"/>
        <v>324</v>
      </c>
      <c r="K88" s="404">
        <f t="shared" si="36"/>
        <v>120</v>
      </c>
      <c r="L88" s="404">
        <f t="shared" si="37"/>
        <v>204</v>
      </c>
      <c r="M88" s="405">
        <v>1704</v>
      </c>
      <c r="N88" s="406">
        <f t="shared" si="31"/>
        <v>596</v>
      </c>
    </row>
    <row r="89" spans="1:24" ht="21" customHeight="1">
      <c r="A89" s="1645"/>
      <c r="B89" s="1090" t="str">
        <f t="shared" si="32"/>
        <v>2010년</v>
      </c>
      <c r="C89" s="1091">
        <f>+'3.면별급수현황'!D89</f>
        <v>3421</v>
      </c>
      <c r="D89" s="1092">
        <f t="shared" si="30"/>
        <v>1177</v>
      </c>
      <c r="E89" s="1092">
        <f>ROUND(+'4.상수사용량현황'!D90/365,0)</f>
        <v>483</v>
      </c>
      <c r="F89" s="1093">
        <f>ROUND((+'4.상수사용량현황'!E90+'4.상수사용량현황'!F90+'4.상수사용량현황'!H90)/365,0)</f>
        <v>694</v>
      </c>
      <c r="G89" s="1094">
        <f t="shared" si="34"/>
        <v>344</v>
      </c>
      <c r="H89" s="1095">
        <f t="shared" si="35"/>
        <v>59</v>
      </c>
      <c r="J89" s="403">
        <f t="shared" si="33"/>
        <v>344</v>
      </c>
      <c r="K89" s="404">
        <f t="shared" si="36"/>
        <v>141</v>
      </c>
      <c r="L89" s="404">
        <f t="shared" si="37"/>
        <v>203</v>
      </c>
      <c r="M89" s="405">
        <v>1784</v>
      </c>
      <c r="N89" s="406">
        <f t="shared" si="31"/>
        <v>607</v>
      </c>
    </row>
    <row r="90" spans="1:24" ht="21" customHeight="1">
      <c r="A90" s="1645"/>
      <c r="B90" s="1090" t="str">
        <f t="shared" si="32"/>
        <v>2011년</v>
      </c>
      <c r="C90" s="1091">
        <f>+'3.면별급수현황'!D90</f>
        <v>3204</v>
      </c>
      <c r="D90" s="1092">
        <f t="shared" si="30"/>
        <v>1217</v>
      </c>
      <c r="E90" s="1092">
        <f>ROUND(+'4.상수사용량현황'!D91/365,0)</f>
        <v>501</v>
      </c>
      <c r="F90" s="1093">
        <f>ROUND((+'4.상수사용량현황'!E91+'4.상수사용량현황'!F91+'4.상수사용량현황'!H91)/365,0)</f>
        <v>716</v>
      </c>
      <c r="G90" s="1094">
        <f t="shared" si="34"/>
        <v>380</v>
      </c>
      <c r="H90" s="1095">
        <f t="shared" si="35"/>
        <v>58.8</v>
      </c>
      <c r="J90" s="403">
        <f t="shared" si="33"/>
        <v>379</v>
      </c>
      <c r="K90" s="404">
        <f t="shared" si="36"/>
        <v>156</v>
      </c>
      <c r="L90" s="404">
        <f t="shared" si="37"/>
        <v>223</v>
      </c>
      <c r="M90" s="405">
        <v>1928</v>
      </c>
      <c r="N90" s="406">
        <f t="shared" si="31"/>
        <v>711</v>
      </c>
    </row>
    <row r="91" spans="1:24" ht="21" customHeight="1">
      <c r="A91" s="1645"/>
      <c r="B91" s="1090" t="str">
        <f t="shared" si="32"/>
        <v>2012년</v>
      </c>
      <c r="C91" s="1091">
        <f>+'3.면별급수현황'!D91</f>
        <v>4765</v>
      </c>
      <c r="D91" s="1092">
        <f t="shared" si="30"/>
        <v>1363</v>
      </c>
      <c r="E91" s="1092">
        <f>ROUND(+'4.상수사용량현황'!D92/365,0)</f>
        <v>581</v>
      </c>
      <c r="F91" s="1093">
        <f>ROUND((+'4.상수사용량현황'!E92+'4.상수사용량현황'!F92+'4.상수사용량현황'!H92)/365,0)</f>
        <v>782</v>
      </c>
      <c r="G91" s="1094">
        <f t="shared" si="34"/>
        <v>286</v>
      </c>
      <c r="H91" s="1095">
        <f t="shared" si="35"/>
        <v>57.4</v>
      </c>
      <c r="J91" s="403">
        <f t="shared" si="33"/>
        <v>286</v>
      </c>
      <c r="K91" s="404">
        <f t="shared" si="36"/>
        <v>122</v>
      </c>
      <c r="L91" s="404">
        <f t="shared" si="37"/>
        <v>164</v>
      </c>
      <c r="M91" s="405">
        <v>2243</v>
      </c>
      <c r="N91" s="406">
        <f t="shared" si="31"/>
        <v>880</v>
      </c>
    </row>
    <row r="92" spans="1:24" ht="21" customHeight="1">
      <c r="A92" s="1645"/>
      <c r="B92" s="1090" t="str">
        <f t="shared" si="32"/>
        <v>2013년</v>
      </c>
      <c r="C92" s="1091">
        <f>+'3.면별급수현황'!D92</f>
        <v>4882</v>
      </c>
      <c r="D92" s="1092">
        <f t="shared" si="30"/>
        <v>1311</v>
      </c>
      <c r="E92" s="1092">
        <f>ROUND(+'4.상수사용량현황'!D93/365,0)</f>
        <v>675</v>
      </c>
      <c r="F92" s="1093">
        <f>ROUND((+'4.상수사용량현황'!E93+'4.상수사용량현황'!F93+'4.상수사용량현황'!H93)/365,0)</f>
        <v>636</v>
      </c>
      <c r="G92" s="1094">
        <f t="shared" si="34"/>
        <v>269</v>
      </c>
      <c r="H92" s="1095">
        <f t="shared" si="35"/>
        <v>48.5</v>
      </c>
      <c r="J92" s="403">
        <f t="shared" si="33"/>
        <v>268</v>
      </c>
      <c r="K92" s="404">
        <f t="shared" si="36"/>
        <v>138</v>
      </c>
      <c r="L92" s="404">
        <f t="shared" si="37"/>
        <v>130</v>
      </c>
      <c r="M92" s="405">
        <v>2606</v>
      </c>
      <c r="N92" s="406">
        <f t="shared" si="31"/>
        <v>1295</v>
      </c>
      <c r="Q92" s="2">
        <v>9404</v>
      </c>
      <c r="S92" s="452" t="s">
        <v>497</v>
      </c>
      <c r="T92" s="452" t="s">
        <v>498</v>
      </c>
    </row>
    <row r="93" spans="1:24" ht="21" customHeight="1">
      <c r="A93" s="1646"/>
      <c r="B93" s="1096" t="str">
        <f t="shared" si="32"/>
        <v>2014년</v>
      </c>
      <c r="C93" s="1097">
        <f>+'3.면별급수현황'!D93</f>
        <v>9669</v>
      </c>
      <c r="D93" s="1098">
        <f t="shared" si="30"/>
        <v>1332</v>
      </c>
      <c r="E93" s="1098">
        <f>ROUND(+'4.상수사용량현황'!D94/365,0)</f>
        <v>693</v>
      </c>
      <c r="F93" s="1099">
        <f>ROUND((+'4.상수사용량현황'!E94+'4.상수사용량현황'!F94+'4.상수사용량현황'!H94)/365,0)</f>
        <v>639</v>
      </c>
      <c r="G93" s="1100">
        <f t="shared" si="34"/>
        <v>138</v>
      </c>
      <c r="H93" s="1101">
        <f t="shared" si="35"/>
        <v>48</v>
      </c>
      <c r="J93" s="403">
        <f t="shared" si="33"/>
        <v>138</v>
      </c>
      <c r="K93" s="404">
        <f t="shared" si="36"/>
        <v>72</v>
      </c>
      <c r="L93" s="404">
        <f t="shared" si="37"/>
        <v>66</v>
      </c>
      <c r="M93" s="405">
        <v>2759</v>
      </c>
      <c r="N93" s="406">
        <f t="shared" si="31"/>
        <v>1427</v>
      </c>
      <c r="P93" s="2">
        <f>+G93*0.9</f>
        <v>124.2</v>
      </c>
      <c r="Q93" s="2">
        <f>+P93/0.8</f>
        <v>155.25</v>
      </c>
      <c r="S93" s="2">
        <v>216</v>
      </c>
      <c r="T93" s="2">
        <v>179</v>
      </c>
      <c r="V93" s="8">
        <f>+D93-S93-T93</f>
        <v>937</v>
      </c>
      <c r="W93" s="454">
        <f>+V93/C93*1000</f>
        <v>96.907642982728305</v>
      </c>
      <c r="X93" s="454">
        <v>258</v>
      </c>
    </row>
    <row r="94" spans="1:24" ht="21" customHeight="1">
      <c r="A94" s="1647" t="s">
        <v>952</v>
      </c>
      <c r="B94" s="398" t="str">
        <f>+B84</f>
        <v>2005년</v>
      </c>
      <c r="C94" s="399">
        <f>+'3.면별급수현황'!D94</f>
        <v>0</v>
      </c>
      <c r="D94" s="400">
        <f t="shared" ref="D94:D103" si="38">E94+F94</f>
        <v>0</v>
      </c>
      <c r="E94" s="400">
        <f>ROUND(+'4.상수사용량현황'!D95/365,0)</f>
        <v>0</v>
      </c>
      <c r="F94" s="833">
        <f>ROUND((+'4.상수사용량현황'!E95+'4.상수사용량현황'!F95+'4.상수사용량현황'!H95)/365,0)</f>
        <v>0</v>
      </c>
      <c r="G94" s="401">
        <v>0</v>
      </c>
      <c r="H94" s="409">
        <v>0</v>
      </c>
      <c r="J94" s="403">
        <f>+K94+L94</f>
        <v>0</v>
      </c>
      <c r="K94" s="404"/>
      <c r="L94" s="404"/>
      <c r="M94" s="405">
        <v>1514</v>
      </c>
      <c r="N94" s="406">
        <f t="shared" ref="N94:N103" si="39">+M94-D94</f>
        <v>1514</v>
      </c>
    </row>
    <row r="95" spans="1:24" ht="21" customHeight="1">
      <c r="A95" s="1645"/>
      <c r="B95" s="1090" t="str">
        <f t="shared" si="32"/>
        <v>2006년</v>
      </c>
      <c r="C95" s="1091">
        <f>+'3.면별급수현황'!D95</f>
        <v>0</v>
      </c>
      <c r="D95" s="1092">
        <f t="shared" si="38"/>
        <v>0</v>
      </c>
      <c r="E95" s="1092">
        <f>ROUND(+'4.상수사용량현황'!D96/365,0)</f>
        <v>0</v>
      </c>
      <c r="F95" s="1093">
        <f>ROUND((+'4.상수사용량현황'!E96+'4.상수사용량현황'!F96+'4.상수사용량현황'!H96)/365,0)</f>
        <v>0</v>
      </c>
      <c r="G95" s="1094">
        <v>0</v>
      </c>
      <c r="H95" s="1095">
        <v>0</v>
      </c>
      <c r="J95" s="403">
        <f t="shared" ref="J95:J103" si="40">+K95+L95</f>
        <v>0</v>
      </c>
      <c r="K95" s="404"/>
      <c r="L95" s="404"/>
      <c r="M95" s="405">
        <v>1574</v>
      </c>
      <c r="N95" s="406">
        <f t="shared" si="39"/>
        <v>1574</v>
      </c>
    </row>
    <row r="96" spans="1:24" ht="21" customHeight="1">
      <c r="A96" s="1645"/>
      <c r="B96" s="1090" t="str">
        <f t="shared" si="32"/>
        <v>2007년</v>
      </c>
      <c r="C96" s="1091">
        <f>+'3.면별급수현황'!D96</f>
        <v>7390</v>
      </c>
      <c r="D96" s="1092">
        <f t="shared" si="38"/>
        <v>2034</v>
      </c>
      <c r="E96" s="1092">
        <f>ROUND(+'4.상수사용량현황'!D97/365,0)</f>
        <v>1320</v>
      </c>
      <c r="F96" s="1093">
        <f>ROUND((+'4.상수사용량현황'!E97+'4.상수사용량현황'!F97+'4.상수사용량현황'!H97)/365,0)</f>
        <v>714</v>
      </c>
      <c r="G96" s="1094">
        <f t="shared" ref="G96:G103" si="41">ROUND(+D96/C96*1000,0)</f>
        <v>275</v>
      </c>
      <c r="H96" s="1095">
        <f t="shared" ref="H96:H103" si="42">+ROUND(F96/D96*100,1)</f>
        <v>35.1</v>
      </c>
      <c r="J96" s="403">
        <f t="shared" si="40"/>
        <v>276</v>
      </c>
      <c r="K96" s="404">
        <f t="shared" ref="K96:K103" si="43">ROUND(+E96/C96*1000,0)</f>
        <v>179</v>
      </c>
      <c r="L96" s="404">
        <f t="shared" ref="L96:L103" si="44">ROUND(+F96/C96*1000,0)</f>
        <v>97</v>
      </c>
      <c r="M96" s="405">
        <v>2088</v>
      </c>
      <c r="N96" s="406">
        <f t="shared" si="39"/>
        <v>54</v>
      </c>
    </row>
    <row r="97" spans="1:24" ht="21" customHeight="1">
      <c r="A97" s="1645"/>
      <c r="B97" s="1090" t="str">
        <f t="shared" si="32"/>
        <v>2008년</v>
      </c>
      <c r="C97" s="1091">
        <f>+'3.면별급수현황'!D97</f>
        <v>7905</v>
      </c>
      <c r="D97" s="1092">
        <f t="shared" si="38"/>
        <v>1871</v>
      </c>
      <c r="E97" s="1092">
        <f>ROUND(+'4.상수사용량현황'!D98/365,0)</f>
        <v>1331</v>
      </c>
      <c r="F97" s="1093">
        <f>ROUND((+'4.상수사용량현황'!E98+'4.상수사용량현황'!F98+'4.상수사용량현황'!H98)/365,0)</f>
        <v>540</v>
      </c>
      <c r="G97" s="1094">
        <f t="shared" si="41"/>
        <v>237</v>
      </c>
      <c r="H97" s="1095">
        <f t="shared" si="42"/>
        <v>28.9</v>
      </c>
      <c r="J97" s="403">
        <f t="shared" si="40"/>
        <v>236</v>
      </c>
      <c r="K97" s="404">
        <f t="shared" si="43"/>
        <v>168</v>
      </c>
      <c r="L97" s="404">
        <f t="shared" si="44"/>
        <v>68</v>
      </c>
      <c r="M97" s="405">
        <v>2768</v>
      </c>
      <c r="N97" s="406">
        <f t="shared" si="39"/>
        <v>897</v>
      </c>
    </row>
    <row r="98" spans="1:24" ht="21" customHeight="1">
      <c r="A98" s="1645"/>
      <c r="B98" s="1090" t="str">
        <f t="shared" si="32"/>
        <v>2009년</v>
      </c>
      <c r="C98" s="1091">
        <f>+'3.면별급수현황'!D98</f>
        <v>7659</v>
      </c>
      <c r="D98" s="1092">
        <f t="shared" si="38"/>
        <v>1800</v>
      </c>
      <c r="E98" s="1092">
        <f>ROUND(+'4.상수사용량현황'!D99/365,0)</f>
        <v>1281</v>
      </c>
      <c r="F98" s="1093">
        <f>ROUND((+'4.상수사용량현황'!E99+'4.상수사용량현황'!F99+'4.상수사용량현황'!H99)/365,0)</f>
        <v>519</v>
      </c>
      <c r="G98" s="1094">
        <f t="shared" si="41"/>
        <v>235</v>
      </c>
      <c r="H98" s="1095">
        <f t="shared" si="42"/>
        <v>28.8</v>
      </c>
      <c r="J98" s="403">
        <f t="shared" si="40"/>
        <v>235</v>
      </c>
      <c r="K98" s="404">
        <f t="shared" si="43"/>
        <v>167</v>
      </c>
      <c r="L98" s="404">
        <f t="shared" si="44"/>
        <v>68</v>
      </c>
      <c r="M98" s="405">
        <v>1704</v>
      </c>
      <c r="N98" s="406">
        <f t="shared" si="39"/>
        <v>-96</v>
      </c>
    </row>
    <row r="99" spans="1:24" ht="21" customHeight="1">
      <c r="A99" s="1645"/>
      <c r="B99" s="1090" t="str">
        <f t="shared" si="32"/>
        <v>2010년</v>
      </c>
      <c r="C99" s="1091">
        <f>+'3.면별급수현황'!D99</f>
        <v>7659</v>
      </c>
      <c r="D99" s="1092">
        <f t="shared" si="38"/>
        <v>2020</v>
      </c>
      <c r="E99" s="1092">
        <f>ROUND(+'4.상수사용량현황'!D100/365,0)</f>
        <v>1462</v>
      </c>
      <c r="F99" s="1093">
        <f>ROUND((+'4.상수사용량현황'!E100+'4.상수사용량현황'!F100+'4.상수사용량현황'!H100)/365,0)</f>
        <v>558</v>
      </c>
      <c r="G99" s="1094">
        <f t="shared" si="41"/>
        <v>264</v>
      </c>
      <c r="H99" s="1095">
        <f t="shared" si="42"/>
        <v>27.6</v>
      </c>
      <c r="J99" s="403">
        <f t="shared" si="40"/>
        <v>264</v>
      </c>
      <c r="K99" s="404">
        <f t="shared" si="43"/>
        <v>191</v>
      </c>
      <c r="L99" s="404">
        <f t="shared" si="44"/>
        <v>73</v>
      </c>
      <c r="M99" s="405">
        <v>1784</v>
      </c>
      <c r="N99" s="406">
        <f t="shared" si="39"/>
        <v>-236</v>
      </c>
    </row>
    <row r="100" spans="1:24" ht="21" customHeight="1">
      <c r="A100" s="1645"/>
      <c r="B100" s="1090" t="str">
        <f t="shared" si="32"/>
        <v>2011년</v>
      </c>
      <c r="C100" s="1091">
        <f>+'3.면별급수현황'!D100</f>
        <v>8786</v>
      </c>
      <c r="D100" s="1092">
        <f t="shared" si="38"/>
        <v>2183</v>
      </c>
      <c r="E100" s="1092">
        <f>ROUND(+'4.상수사용량현황'!D101/365,0)</f>
        <v>1603</v>
      </c>
      <c r="F100" s="1093">
        <f>ROUND((+'4.상수사용량현황'!E101+'4.상수사용량현황'!F101+'4.상수사용량현황'!H101)/365,0)</f>
        <v>580</v>
      </c>
      <c r="G100" s="1094">
        <f t="shared" si="41"/>
        <v>248</v>
      </c>
      <c r="H100" s="1095">
        <f t="shared" si="42"/>
        <v>26.6</v>
      </c>
      <c r="J100" s="403">
        <f t="shared" si="40"/>
        <v>248</v>
      </c>
      <c r="K100" s="404">
        <f t="shared" si="43"/>
        <v>182</v>
      </c>
      <c r="L100" s="404">
        <f t="shared" si="44"/>
        <v>66</v>
      </c>
      <c r="M100" s="405">
        <v>1928</v>
      </c>
      <c r="N100" s="406">
        <f t="shared" si="39"/>
        <v>-255</v>
      </c>
    </row>
    <row r="101" spans="1:24" ht="21" customHeight="1">
      <c r="A101" s="1645"/>
      <c r="B101" s="1090" t="str">
        <f t="shared" si="32"/>
        <v>2012년</v>
      </c>
      <c r="C101" s="1091">
        <f>+'3.면별급수현황'!D101</f>
        <v>9029</v>
      </c>
      <c r="D101" s="1092">
        <f t="shared" si="38"/>
        <v>2188</v>
      </c>
      <c r="E101" s="1092">
        <f>ROUND(+'4.상수사용량현황'!D102/365,0)</f>
        <v>1633</v>
      </c>
      <c r="F101" s="1093">
        <f>ROUND((+'4.상수사용량현황'!E102+'4.상수사용량현황'!F102+'4.상수사용량현황'!H102)/365,0)</f>
        <v>555</v>
      </c>
      <c r="G101" s="1094">
        <f t="shared" si="41"/>
        <v>242</v>
      </c>
      <c r="H101" s="1095">
        <f t="shared" si="42"/>
        <v>25.4</v>
      </c>
      <c r="J101" s="403">
        <f t="shared" si="40"/>
        <v>242</v>
      </c>
      <c r="K101" s="404">
        <f t="shared" si="43"/>
        <v>181</v>
      </c>
      <c r="L101" s="404">
        <f t="shared" si="44"/>
        <v>61</v>
      </c>
      <c r="M101" s="405">
        <v>2243</v>
      </c>
      <c r="N101" s="406">
        <f t="shared" si="39"/>
        <v>55</v>
      </c>
    </row>
    <row r="102" spans="1:24" ht="21" customHeight="1">
      <c r="A102" s="1645"/>
      <c r="B102" s="1090" t="str">
        <f t="shared" si="32"/>
        <v>2013년</v>
      </c>
      <c r="C102" s="1091">
        <f>+'3.면별급수현황'!D102</f>
        <v>9061</v>
      </c>
      <c r="D102" s="1092">
        <f t="shared" si="38"/>
        <v>2255</v>
      </c>
      <c r="E102" s="1092">
        <f>ROUND(+'4.상수사용량현황'!D103/365,0)</f>
        <v>1690</v>
      </c>
      <c r="F102" s="1093">
        <f>ROUND((+'4.상수사용량현황'!E103+'4.상수사용량현황'!F103+'4.상수사용량현황'!H103)/365,0)</f>
        <v>565</v>
      </c>
      <c r="G102" s="1094">
        <f t="shared" si="41"/>
        <v>249</v>
      </c>
      <c r="H102" s="1095">
        <f t="shared" si="42"/>
        <v>25.1</v>
      </c>
      <c r="J102" s="403">
        <f t="shared" si="40"/>
        <v>249</v>
      </c>
      <c r="K102" s="404">
        <f t="shared" si="43"/>
        <v>187</v>
      </c>
      <c r="L102" s="404">
        <f t="shared" si="44"/>
        <v>62</v>
      </c>
      <c r="M102" s="405">
        <v>2606</v>
      </c>
      <c r="N102" s="406">
        <f t="shared" si="39"/>
        <v>351</v>
      </c>
      <c r="Q102" s="2">
        <v>9404</v>
      </c>
      <c r="S102" s="452" t="s">
        <v>497</v>
      </c>
      <c r="T102" s="452" t="s">
        <v>498</v>
      </c>
    </row>
    <row r="103" spans="1:24" ht="21" customHeight="1">
      <c r="A103" s="1645"/>
      <c r="B103" s="1090" t="str">
        <f t="shared" si="32"/>
        <v>2014년</v>
      </c>
      <c r="C103" s="1091">
        <f>+'3.면별급수현황'!D103</f>
        <v>9061</v>
      </c>
      <c r="D103" s="1092">
        <f t="shared" si="38"/>
        <v>2389</v>
      </c>
      <c r="E103" s="1092">
        <f>ROUND(+'4.상수사용량현황'!D104/365,0)</f>
        <v>1796</v>
      </c>
      <c r="F103" s="1093">
        <f>ROUND((+'4.상수사용량현황'!E104+'4.상수사용량현황'!F104+'4.상수사용량현황'!H104)/365,0)</f>
        <v>593</v>
      </c>
      <c r="G103" s="1094">
        <f t="shared" si="41"/>
        <v>264</v>
      </c>
      <c r="H103" s="1095">
        <f t="shared" si="42"/>
        <v>24.8</v>
      </c>
      <c r="J103" s="403">
        <f t="shared" si="40"/>
        <v>263</v>
      </c>
      <c r="K103" s="404">
        <f t="shared" si="43"/>
        <v>198</v>
      </c>
      <c r="L103" s="404">
        <f t="shared" si="44"/>
        <v>65</v>
      </c>
      <c r="M103" s="405">
        <v>2759</v>
      </c>
      <c r="N103" s="406">
        <f t="shared" si="39"/>
        <v>370</v>
      </c>
      <c r="P103" s="2">
        <f>+G103*0.9</f>
        <v>237.6</v>
      </c>
      <c r="Q103" s="2">
        <f>+P103/0.8</f>
        <v>297</v>
      </c>
      <c r="S103" s="2">
        <v>216</v>
      </c>
      <c r="T103" s="2">
        <v>179</v>
      </c>
      <c r="V103" s="8">
        <f>+D103-S103-T103</f>
        <v>1994</v>
      </c>
      <c r="W103" s="454">
        <f>+V103/C103*1000</f>
        <v>220.06401059485708</v>
      </c>
      <c r="X103" s="454">
        <v>258</v>
      </c>
    </row>
    <row r="104" spans="1:24" ht="21" customHeight="1">
      <c r="A104" s="1645" t="s">
        <v>290</v>
      </c>
      <c r="B104" s="1090" t="str">
        <f t="shared" ref="B104:B113" si="45">+B74</f>
        <v>2005년</v>
      </c>
      <c r="C104" s="1091">
        <f>+'3.면별급수현황'!D104</f>
        <v>0</v>
      </c>
      <c r="D104" s="1092">
        <f t="shared" si="20"/>
        <v>0</v>
      </c>
      <c r="E104" s="1092">
        <f>ROUND(+'4.상수사용량현황'!D105/365,0)</f>
        <v>0</v>
      </c>
      <c r="F104" s="1093">
        <f>ROUND((+'4.상수사용량현황'!E105+'4.상수사용량현황'!F105+'4.상수사용량현황'!H105)/365,0)</f>
        <v>0</v>
      </c>
      <c r="G104" s="1094">
        <v>0</v>
      </c>
      <c r="H104" s="1095">
        <v>0</v>
      </c>
      <c r="J104" s="403">
        <f>+K104+L104</f>
        <v>0</v>
      </c>
      <c r="K104" s="404"/>
      <c r="L104" s="404"/>
      <c r="M104" s="405">
        <v>2920</v>
      </c>
      <c r="N104" s="406">
        <f t="shared" si="24"/>
        <v>2920</v>
      </c>
      <c r="Q104" s="2">
        <f>+Q82*0.335</f>
        <v>3150.34</v>
      </c>
      <c r="W104" s="453">
        <f>+W83*0.9</f>
        <v>123.22376738305944</v>
      </c>
      <c r="X104" s="453">
        <f>+X83*0.9</f>
        <v>232.20000000000002</v>
      </c>
    </row>
    <row r="105" spans="1:24" ht="21" customHeight="1">
      <c r="A105" s="1645"/>
      <c r="B105" s="1090" t="str">
        <f t="shared" si="45"/>
        <v>2006년</v>
      </c>
      <c r="C105" s="1091">
        <f>+'3.면별급수현황'!D105</f>
        <v>0</v>
      </c>
      <c r="D105" s="1092">
        <f t="shared" si="20"/>
        <v>0</v>
      </c>
      <c r="E105" s="1092">
        <f>ROUND(+'4.상수사용량현황'!D106/365,0)</f>
        <v>0</v>
      </c>
      <c r="F105" s="1093">
        <f>ROUND((+'4.상수사용량현황'!E106+'4.상수사용량현황'!F106+'4.상수사용량현황'!H106)/365,0)</f>
        <v>0</v>
      </c>
      <c r="G105" s="1094">
        <v>0</v>
      </c>
      <c r="H105" s="1095">
        <v>0</v>
      </c>
      <c r="J105" s="403">
        <f t="shared" ref="J105:J113" si="46">+K105+L105</f>
        <v>0</v>
      </c>
      <c r="K105" s="404"/>
      <c r="L105" s="404"/>
      <c r="M105" s="405">
        <v>3202</v>
      </c>
      <c r="N105" s="406">
        <f t="shared" si="24"/>
        <v>3202</v>
      </c>
      <c r="W105" s="453">
        <f>+W104/0.8</f>
        <v>154.02970922882429</v>
      </c>
      <c r="X105" s="453">
        <f>+X104/0.8</f>
        <v>290.25</v>
      </c>
    </row>
    <row r="106" spans="1:24" ht="21" customHeight="1">
      <c r="A106" s="1645"/>
      <c r="B106" s="1090" t="str">
        <f t="shared" si="45"/>
        <v>2007년</v>
      </c>
      <c r="C106" s="1091">
        <f>+'3.면별급수현황'!D106</f>
        <v>27317</v>
      </c>
      <c r="D106" s="1092">
        <f t="shared" si="20"/>
        <v>10931</v>
      </c>
      <c r="E106" s="1092">
        <f>ROUND(+'4.상수사용량현황'!D107/365,0)</f>
        <v>3716</v>
      </c>
      <c r="F106" s="1093">
        <f>ROUND((+'4.상수사용량현황'!E107+'4.상수사용량현황'!F107+'4.상수사용량현황'!H107)/365,0)</f>
        <v>7215</v>
      </c>
      <c r="G106" s="1094">
        <f t="shared" ref="G106:G113" si="47">ROUND(+D106/C106*1000,0)</f>
        <v>400</v>
      </c>
      <c r="H106" s="1095">
        <f t="shared" ref="H106:H113" si="48">+ROUND(F106/D106*100,1)</f>
        <v>66</v>
      </c>
      <c r="J106" s="403">
        <f t="shared" si="46"/>
        <v>400</v>
      </c>
      <c r="K106" s="404">
        <f t="shared" si="25"/>
        <v>136</v>
      </c>
      <c r="L106" s="404">
        <f t="shared" si="26"/>
        <v>264</v>
      </c>
      <c r="M106" s="405">
        <v>4768</v>
      </c>
      <c r="N106" s="406">
        <f t="shared" si="24"/>
        <v>-6163</v>
      </c>
    </row>
    <row r="107" spans="1:24" ht="21" customHeight="1">
      <c r="A107" s="1645"/>
      <c r="B107" s="1090" t="str">
        <f t="shared" si="45"/>
        <v>2008년</v>
      </c>
      <c r="C107" s="1091">
        <f>+'3.면별급수현황'!D107</f>
        <v>30427</v>
      </c>
      <c r="D107" s="1092">
        <f t="shared" si="20"/>
        <v>6092</v>
      </c>
      <c r="E107" s="1092">
        <f>ROUND(+'4.상수사용량현황'!D108/365,0)</f>
        <v>4005</v>
      </c>
      <c r="F107" s="1093">
        <f>ROUND((+'4.상수사용량현황'!E108+'4.상수사용량현황'!F108+'4.상수사용량현황'!H108)/365,0)</f>
        <v>2087</v>
      </c>
      <c r="G107" s="1094">
        <f t="shared" si="47"/>
        <v>200</v>
      </c>
      <c r="H107" s="1095">
        <f t="shared" si="48"/>
        <v>34.299999999999997</v>
      </c>
      <c r="J107" s="403">
        <f t="shared" si="46"/>
        <v>201</v>
      </c>
      <c r="K107" s="404">
        <f t="shared" si="25"/>
        <v>132</v>
      </c>
      <c r="L107" s="404">
        <f t="shared" si="26"/>
        <v>69</v>
      </c>
      <c r="M107" s="405">
        <v>5425</v>
      </c>
      <c r="N107" s="406">
        <f t="shared" si="24"/>
        <v>-667</v>
      </c>
    </row>
    <row r="108" spans="1:24" ht="21" customHeight="1">
      <c r="A108" s="1645"/>
      <c r="B108" s="1090" t="str">
        <f t="shared" si="45"/>
        <v>2009년</v>
      </c>
      <c r="C108" s="1091">
        <f>+'3.면별급수현황'!D108</f>
        <v>34527</v>
      </c>
      <c r="D108" s="1092">
        <f t="shared" si="20"/>
        <v>6238</v>
      </c>
      <c r="E108" s="1092">
        <f>ROUND(+'4.상수사용량현황'!D109/365,0)</f>
        <v>4242</v>
      </c>
      <c r="F108" s="1093">
        <f>ROUND((+'4.상수사용량현황'!E109+'4.상수사용량현황'!F109+'4.상수사용량현황'!H109)/365,0)</f>
        <v>1996</v>
      </c>
      <c r="G108" s="1094">
        <f t="shared" si="47"/>
        <v>181</v>
      </c>
      <c r="H108" s="1095">
        <f t="shared" si="48"/>
        <v>32</v>
      </c>
      <c r="J108" s="403">
        <f t="shared" si="46"/>
        <v>181</v>
      </c>
      <c r="K108" s="404">
        <f t="shared" si="25"/>
        <v>123</v>
      </c>
      <c r="L108" s="404">
        <f t="shared" si="26"/>
        <v>58</v>
      </c>
      <c r="M108" s="405">
        <v>3879</v>
      </c>
      <c r="N108" s="406">
        <f t="shared" si="24"/>
        <v>-2359</v>
      </c>
    </row>
    <row r="109" spans="1:24" ht="21" customHeight="1">
      <c r="A109" s="1645"/>
      <c r="B109" s="1090" t="str">
        <f t="shared" si="45"/>
        <v>2010년</v>
      </c>
      <c r="C109" s="1091">
        <f>+'3.면별급수현황'!D109</f>
        <v>34527</v>
      </c>
      <c r="D109" s="1092">
        <f t="shared" si="20"/>
        <v>7122</v>
      </c>
      <c r="E109" s="1092">
        <f>ROUND(+'4.상수사용량현황'!D110/365,0)</f>
        <v>4825</v>
      </c>
      <c r="F109" s="1093">
        <f>ROUND((+'4.상수사용량현황'!E110+'4.상수사용량현황'!F110+'4.상수사용량현황'!H110)/365,0)</f>
        <v>2297</v>
      </c>
      <c r="G109" s="1094">
        <f t="shared" si="47"/>
        <v>206</v>
      </c>
      <c r="H109" s="1095">
        <f t="shared" si="48"/>
        <v>32.299999999999997</v>
      </c>
      <c r="J109" s="403">
        <f t="shared" si="46"/>
        <v>207</v>
      </c>
      <c r="K109" s="404">
        <f t="shared" si="25"/>
        <v>140</v>
      </c>
      <c r="L109" s="404">
        <f t="shared" si="26"/>
        <v>67</v>
      </c>
      <c r="M109" s="405">
        <v>4170</v>
      </c>
      <c r="N109" s="406">
        <f t="shared" si="24"/>
        <v>-2952</v>
      </c>
    </row>
    <row r="110" spans="1:24" ht="21" customHeight="1">
      <c r="A110" s="1645"/>
      <c r="B110" s="1090" t="str">
        <f t="shared" si="45"/>
        <v>2011년</v>
      </c>
      <c r="C110" s="1091">
        <f>+'3.면별급수현황'!D110</f>
        <v>40532</v>
      </c>
      <c r="D110" s="1092">
        <f t="shared" si="20"/>
        <v>13827</v>
      </c>
      <c r="E110" s="1092">
        <f>ROUND(+'4.상수사용량현황'!D111/365,0)</f>
        <v>5552</v>
      </c>
      <c r="F110" s="1093">
        <f>ROUND((+'4.상수사용량현황'!E111+'4.상수사용량현황'!F111+'4.상수사용량현황'!H111)/365,0)</f>
        <v>8275</v>
      </c>
      <c r="G110" s="1094">
        <f t="shared" si="47"/>
        <v>341</v>
      </c>
      <c r="H110" s="1095">
        <f t="shared" si="48"/>
        <v>59.8</v>
      </c>
      <c r="J110" s="403">
        <f t="shared" si="46"/>
        <v>341</v>
      </c>
      <c r="K110" s="404">
        <f t="shared" si="25"/>
        <v>137</v>
      </c>
      <c r="L110" s="404">
        <f t="shared" si="26"/>
        <v>204</v>
      </c>
      <c r="M110" s="405">
        <v>4768</v>
      </c>
      <c r="N110" s="406">
        <f t="shared" si="24"/>
        <v>-9059</v>
      </c>
    </row>
    <row r="111" spans="1:24" ht="21" customHeight="1">
      <c r="A111" s="1645"/>
      <c r="B111" s="1090" t="str">
        <f t="shared" si="45"/>
        <v>2012년</v>
      </c>
      <c r="C111" s="1091">
        <f>+'3.면별급수현황'!D111</f>
        <v>42876</v>
      </c>
      <c r="D111" s="1092">
        <f t="shared" si="20"/>
        <v>9073</v>
      </c>
      <c r="E111" s="1092">
        <f>ROUND(+'4.상수사용량현황'!D112/365,0)</f>
        <v>6717</v>
      </c>
      <c r="F111" s="1093">
        <f>ROUND((+'4.상수사용량현황'!E112+'4.상수사용량현황'!F112+'4.상수사용량현황'!H112)/365,0)</f>
        <v>2356</v>
      </c>
      <c r="G111" s="1094">
        <f t="shared" si="47"/>
        <v>212</v>
      </c>
      <c r="H111" s="1095">
        <f t="shared" si="48"/>
        <v>26</v>
      </c>
      <c r="J111" s="403">
        <f t="shared" si="46"/>
        <v>212</v>
      </c>
      <c r="K111" s="404">
        <f t="shared" si="25"/>
        <v>157</v>
      </c>
      <c r="L111" s="404">
        <f t="shared" si="26"/>
        <v>55</v>
      </c>
      <c r="M111" s="405">
        <v>5360</v>
      </c>
      <c r="N111" s="406">
        <f t="shared" si="24"/>
        <v>-3713</v>
      </c>
    </row>
    <row r="112" spans="1:24" ht="21" customHeight="1">
      <c r="A112" s="1645"/>
      <c r="B112" s="1090" t="str">
        <f t="shared" si="45"/>
        <v>2013년</v>
      </c>
      <c r="C112" s="1091">
        <f>+'3.면별급수현황'!D112</f>
        <v>44482</v>
      </c>
      <c r="D112" s="1092">
        <f t="shared" si="20"/>
        <v>9600</v>
      </c>
      <c r="E112" s="1092">
        <f>ROUND(+'4.상수사용량현황'!D113/365,0)</f>
        <v>7234</v>
      </c>
      <c r="F112" s="1093">
        <f>ROUND((+'4.상수사용량현황'!E113+'4.상수사용량현황'!F113+'4.상수사용량현황'!H113)/365,0)</f>
        <v>2366</v>
      </c>
      <c r="G112" s="1094">
        <f t="shared" si="47"/>
        <v>216</v>
      </c>
      <c r="H112" s="1095">
        <f t="shared" si="48"/>
        <v>24.6</v>
      </c>
      <c r="J112" s="403">
        <f t="shared" si="46"/>
        <v>216</v>
      </c>
      <c r="K112" s="404">
        <f t="shared" si="25"/>
        <v>163</v>
      </c>
      <c r="L112" s="404">
        <f t="shared" si="26"/>
        <v>53</v>
      </c>
      <c r="M112" s="405">
        <v>6228</v>
      </c>
      <c r="N112" s="406">
        <f t="shared" si="24"/>
        <v>-3372</v>
      </c>
    </row>
    <row r="113" spans="1:15" ht="21" customHeight="1">
      <c r="A113" s="1646"/>
      <c r="B113" s="1096" t="str">
        <f t="shared" si="45"/>
        <v>2014년</v>
      </c>
      <c r="C113" s="1097">
        <f>+'3.면별급수현황'!D113</f>
        <v>55472</v>
      </c>
      <c r="D113" s="1098">
        <f t="shared" si="20"/>
        <v>10465</v>
      </c>
      <c r="E113" s="1098">
        <f>ROUND(+'4.상수사용량현황'!D114/365,0)</f>
        <v>7899</v>
      </c>
      <c r="F113" s="1099">
        <f>ROUND((+'4.상수사용량현황'!E114+'4.상수사용량현황'!F114+'4.상수사용량현황'!H114)/365,0)</f>
        <v>2566</v>
      </c>
      <c r="G113" s="1100">
        <f t="shared" si="47"/>
        <v>189</v>
      </c>
      <c r="H113" s="1101">
        <f t="shared" si="48"/>
        <v>24.5</v>
      </c>
      <c r="J113" s="403">
        <f t="shared" si="46"/>
        <v>188</v>
      </c>
      <c r="K113" s="404">
        <f t="shared" si="25"/>
        <v>142</v>
      </c>
      <c r="L113" s="404">
        <f t="shared" si="26"/>
        <v>46</v>
      </c>
      <c r="M113" s="405">
        <v>6594</v>
      </c>
      <c r="N113" s="406">
        <f>+M113-D113</f>
        <v>-3871</v>
      </c>
    </row>
    <row r="114" spans="1:15" ht="21" customHeight="1">
      <c r="A114" s="420" t="s">
        <v>458</v>
      </c>
      <c r="B114" s="413"/>
      <c r="C114" s="414"/>
      <c r="D114" s="415"/>
      <c r="E114" s="415"/>
      <c r="F114" s="835"/>
      <c r="G114" s="417"/>
      <c r="H114" s="418"/>
      <c r="J114" s="415" t="s">
        <v>503</v>
      </c>
      <c r="K114" s="419"/>
      <c r="L114" s="419"/>
      <c r="M114" s="405"/>
      <c r="N114" s="406" t="s">
        <v>502</v>
      </c>
    </row>
    <row r="115" spans="1:15" ht="21.6" customHeight="1">
      <c r="A115" s="412"/>
      <c r="B115" s="413"/>
      <c r="C115" s="414"/>
      <c r="D115" s="415"/>
      <c r="E115" s="415"/>
      <c r="F115" s="416"/>
      <c r="G115" s="417"/>
      <c r="H115" s="418"/>
      <c r="J115" s="460" t="s">
        <v>501</v>
      </c>
      <c r="K115" s="403" t="s">
        <v>499</v>
      </c>
      <c r="L115" s="404" t="s">
        <v>500</v>
      </c>
      <c r="M115" s="405"/>
      <c r="N115" s="403" t="s">
        <v>499</v>
      </c>
      <c r="O115" s="404" t="s">
        <v>500</v>
      </c>
    </row>
    <row r="116" spans="1:15" ht="24.95" customHeight="1">
      <c r="A116" s="1655" t="s">
        <v>450</v>
      </c>
      <c r="B116" s="457" t="s">
        <v>23</v>
      </c>
      <c r="C116" s="410">
        <f t="shared" ref="C116:C125" si="49">+C74</f>
        <v>0</v>
      </c>
      <c r="D116" s="403">
        <f t="shared" ref="D116:D125" si="50">E116+F116</f>
        <v>-240</v>
      </c>
      <c r="E116" s="403">
        <f t="shared" ref="E116:E125" si="51">+E74-J116</f>
        <v>-240</v>
      </c>
      <c r="F116" s="458">
        <f t="shared" ref="F116:F125" si="52">+F74</f>
        <v>0</v>
      </c>
      <c r="G116" s="411" t="e">
        <f t="shared" ref="G116:G125" si="53">ROUND(+D116/C116*1000,0)</f>
        <v>#DIV/0!</v>
      </c>
      <c r="H116" s="459">
        <f>+ROUND(F116/D116*100,1)</f>
        <v>0</v>
      </c>
      <c r="J116" s="462">
        <f>+K116+L116</f>
        <v>240</v>
      </c>
      <c r="K116" s="461">
        <f>+N116/0.9</f>
        <v>240</v>
      </c>
      <c r="L116" s="461"/>
      <c r="N116" s="461">
        <v>216</v>
      </c>
      <c r="O116" s="461"/>
    </row>
    <row r="117" spans="1:15" ht="24.95" customHeight="1">
      <c r="A117" s="1655"/>
      <c r="B117" s="457" t="s">
        <v>0</v>
      </c>
      <c r="C117" s="410">
        <f t="shared" si="49"/>
        <v>0</v>
      </c>
      <c r="D117" s="403">
        <f t="shared" si="50"/>
        <v>-240</v>
      </c>
      <c r="E117" s="403">
        <f t="shared" si="51"/>
        <v>-240</v>
      </c>
      <c r="F117" s="458">
        <f t="shared" si="52"/>
        <v>0</v>
      </c>
      <c r="G117" s="411" t="e">
        <f t="shared" si="53"/>
        <v>#DIV/0!</v>
      </c>
      <c r="H117" s="459">
        <f t="shared" ref="H117:H125" si="54">+ROUND(F117/D117*100,1)</f>
        <v>0</v>
      </c>
      <c r="J117" s="462">
        <f t="shared" ref="J117:J125" si="55">+K117+L117</f>
        <v>240</v>
      </c>
      <c r="K117" s="461">
        <f t="shared" ref="K117:K125" si="56">+N117/0.9</f>
        <v>240</v>
      </c>
      <c r="L117" s="461"/>
      <c r="N117" s="461">
        <v>216</v>
      </c>
      <c r="O117" s="461"/>
    </row>
    <row r="118" spans="1:15" ht="24.95" customHeight="1">
      <c r="A118" s="1655"/>
      <c r="B118" s="457" t="s">
        <v>1</v>
      </c>
      <c r="C118" s="410">
        <f t="shared" si="49"/>
        <v>2853</v>
      </c>
      <c r="D118" s="403">
        <f t="shared" si="50"/>
        <v>-41</v>
      </c>
      <c r="E118" s="403">
        <f t="shared" si="51"/>
        <v>-166</v>
      </c>
      <c r="F118" s="458">
        <f t="shared" si="52"/>
        <v>125</v>
      </c>
      <c r="G118" s="411">
        <f t="shared" si="53"/>
        <v>-14</v>
      </c>
      <c r="H118" s="459">
        <f t="shared" si="54"/>
        <v>-304.89999999999998</v>
      </c>
      <c r="J118" s="462">
        <f t="shared" si="55"/>
        <v>240</v>
      </c>
      <c r="K118" s="461">
        <f t="shared" si="56"/>
        <v>240</v>
      </c>
      <c r="L118" s="461"/>
      <c r="N118" s="461">
        <v>216</v>
      </c>
      <c r="O118" s="461"/>
    </row>
    <row r="119" spans="1:15" ht="24.95" customHeight="1">
      <c r="A119" s="1655"/>
      <c r="B119" s="457" t="s">
        <v>2</v>
      </c>
      <c r="C119" s="410">
        <f t="shared" si="49"/>
        <v>3324</v>
      </c>
      <c r="D119" s="403">
        <f t="shared" si="50"/>
        <v>14</v>
      </c>
      <c r="E119" s="403">
        <f t="shared" si="51"/>
        <v>-112</v>
      </c>
      <c r="F119" s="458">
        <f t="shared" si="52"/>
        <v>126</v>
      </c>
      <c r="G119" s="411">
        <f t="shared" si="53"/>
        <v>4</v>
      </c>
      <c r="H119" s="459">
        <f t="shared" si="54"/>
        <v>900</v>
      </c>
      <c r="J119" s="462">
        <f t="shared" si="55"/>
        <v>240</v>
      </c>
      <c r="K119" s="461">
        <f t="shared" si="56"/>
        <v>240</v>
      </c>
      <c r="L119" s="461"/>
      <c r="N119" s="461">
        <v>216</v>
      </c>
      <c r="O119" s="461"/>
    </row>
    <row r="120" spans="1:15" ht="24.95" customHeight="1">
      <c r="A120" s="1655"/>
      <c r="B120" s="457" t="s">
        <v>3</v>
      </c>
      <c r="C120" s="410">
        <f t="shared" si="49"/>
        <v>4165</v>
      </c>
      <c r="D120" s="403">
        <f t="shared" si="50"/>
        <v>63</v>
      </c>
      <c r="E120" s="403">
        <f t="shared" si="51"/>
        <v>-66</v>
      </c>
      <c r="F120" s="458">
        <f t="shared" si="52"/>
        <v>129</v>
      </c>
      <c r="G120" s="411">
        <f t="shared" si="53"/>
        <v>15</v>
      </c>
      <c r="H120" s="459">
        <f t="shared" si="54"/>
        <v>204.8</v>
      </c>
      <c r="J120" s="462">
        <f t="shared" si="55"/>
        <v>240</v>
      </c>
      <c r="K120" s="461">
        <f t="shared" si="56"/>
        <v>240</v>
      </c>
      <c r="L120" s="461"/>
      <c r="N120" s="461">
        <v>216</v>
      </c>
      <c r="O120" s="461"/>
    </row>
    <row r="121" spans="1:15" ht="24.95" customHeight="1">
      <c r="A121" s="1655"/>
      <c r="B121" s="457" t="s">
        <v>65</v>
      </c>
      <c r="C121" s="410">
        <f t="shared" si="49"/>
        <v>4165</v>
      </c>
      <c r="D121" s="403">
        <f t="shared" si="50"/>
        <v>158</v>
      </c>
      <c r="E121" s="403">
        <f t="shared" si="51"/>
        <v>-20</v>
      </c>
      <c r="F121" s="458">
        <f t="shared" si="52"/>
        <v>178</v>
      </c>
      <c r="G121" s="411">
        <f t="shared" si="53"/>
        <v>38</v>
      </c>
      <c r="H121" s="459">
        <f t="shared" si="54"/>
        <v>112.7</v>
      </c>
      <c r="J121" s="462">
        <f t="shared" si="55"/>
        <v>240</v>
      </c>
      <c r="K121" s="461">
        <f t="shared" si="56"/>
        <v>240</v>
      </c>
      <c r="L121" s="461"/>
      <c r="N121" s="461">
        <v>216</v>
      </c>
      <c r="O121" s="461"/>
    </row>
    <row r="122" spans="1:15" ht="24.95" customHeight="1">
      <c r="A122" s="1655"/>
      <c r="B122" s="457" t="s">
        <v>16</v>
      </c>
      <c r="C122" s="410">
        <f t="shared" si="49"/>
        <v>5895</v>
      </c>
      <c r="D122" s="403">
        <f t="shared" si="50"/>
        <v>483</v>
      </c>
      <c r="E122" s="403">
        <f t="shared" si="51"/>
        <v>159</v>
      </c>
      <c r="F122" s="458">
        <f t="shared" si="52"/>
        <v>324</v>
      </c>
      <c r="G122" s="411">
        <f t="shared" si="53"/>
        <v>82</v>
      </c>
      <c r="H122" s="459">
        <f t="shared" si="54"/>
        <v>67.099999999999994</v>
      </c>
      <c r="J122" s="462">
        <f t="shared" si="55"/>
        <v>240</v>
      </c>
      <c r="K122" s="461">
        <f t="shared" si="56"/>
        <v>240</v>
      </c>
      <c r="L122" s="461"/>
      <c r="N122" s="461">
        <v>216</v>
      </c>
      <c r="O122" s="461"/>
    </row>
    <row r="123" spans="1:15" ht="24.95" customHeight="1">
      <c r="A123" s="1655"/>
      <c r="B123" s="457" t="s">
        <v>66</v>
      </c>
      <c r="C123" s="410">
        <f t="shared" si="49"/>
        <v>5509</v>
      </c>
      <c r="D123" s="403">
        <f t="shared" si="50"/>
        <v>1082</v>
      </c>
      <c r="E123" s="403">
        <f t="shared" si="51"/>
        <v>875</v>
      </c>
      <c r="F123" s="458">
        <f t="shared" si="52"/>
        <v>207</v>
      </c>
      <c r="G123" s="411">
        <f t="shared" si="53"/>
        <v>196</v>
      </c>
      <c r="H123" s="459">
        <f t="shared" si="54"/>
        <v>19.100000000000001</v>
      </c>
      <c r="J123" s="462">
        <f t="shared" si="55"/>
        <v>240</v>
      </c>
      <c r="K123" s="461">
        <f t="shared" si="56"/>
        <v>240</v>
      </c>
      <c r="L123" s="461"/>
      <c r="N123" s="461">
        <v>216</v>
      </c>
      <c r="O123" s="461"/>
    </row>
    <row r="124" spans="1:15" ht="24.95" customHeight="1">
      <c r="A124" s="1655"/>
      <c r="B124" s="457" t="s">
        <v>67</v>
      </c>
      <c r="C124" s="410">
        <f t="shared" si="49"/>
        <v>6607</v>
      </c>
      <c r="D124" s="403">
        <f t="shared" si="50"/>
        <v>977.11111111111109</v>
      </c>
      <c r="E124" s="403">
        <f t="shared" si="51"/>
        <v>714.11111111111109</v>
      </c>
      <c r="F124" s="458">
        <f t="shared" si="52"/>
        <v>263</v>
      </c>
      <c r="G124" s="411">
        <f t="shared" si="53"/>
        <v>148</v>
      </c>
      <c r="H124" s="459">
        <f t="shared" si="54"/>
        <v>26.9</v>
      </c>
      <c r="J124" s="462">
        <f t="shared" si="55"/>
        <v>438.88888888888891</v>
      </c>
      <c r="K124" s="461">
        <f t="shared" si="56"/>
        <v>240</v>
      </c>
      <c r="L124" s="461">
        <f>+O124/0.9</f>
        <v>198.88888888888889</v>
      </c>
      <c r="N124" s="461">
        <v>216</v>
      </c>
      <c r="O124" s="461">
        <v>179</v>
      </c>
    </row>
    <row r="125" spans="1:15" ht="24.95" customHeight="1">
      <c r="A125" s="1655"/>
      <c r="B125" s="457" t="s">
        <v>68</v>
      </c>
      <c r="C125" s="410">
        <f t="shared" si="49"/>
        <v>7910</v>
      </c>
      <c r="D125" s="403">
        <f t="shared" si="50"/>
        <v>1059</v>
      </c>
      <c r="E125" s="403">
        <f t="shared" si="51"/>
        <v>784</v>
      </c>
      <c r="F125" s="458">
        <f t="shared" si="52"/>
        <v>275</v>
      </c>
      <c r="G125" s="411">
        <f t="shared" si="53"/>
        <v>134</v>
      </c>
      <c r="H125" s="459">
        <f t="shared" si="54"/>
        <v>26</v>
      </c>
      <c r="J125" s="462">
        <f t="shared" si="55"/>
        <v>419</v>
      </c>
      <c r="K125" s="461">
        <f t="shared" si="56"/>
        <v>240</v>
      </c>
      <c r="L125" s="461">
        <v>179</v>
      </c>
      <c r="N125" s="461">
        <v>216</v>
      </c>
      <c r="O125" s="461">
        <v>179</v>
      </c>
    </row>
    <row r="126" spans="1:15" ht="24.95" customHeight="1"/>
    <row r="127" spans="1:15" ht="24.95" customHeight="1"/>
    <row r="128" spans="1:15" ht="24.95" customHeight="1"/>
    <row r="129" ht="24.95" customHeight="1"/>
    <row r="130" ht="24.95" customHeight="1"/>
  </sheetData>
  <mergeCells count="18">
    <mergeCell ref="A94:A103"/>
    <mergeCell ref="A116:A125"/>
    <mergeCell ref="J2:L2"/>
    <mergeCell ref="A74:A83"/>
    <mergeCell ref="A104:A113"/>
    <mergeCell ref="A34:A43"/>
    <mergeCell ref="A44:A53"/>
    <mergeCell ref="A54:A63"/>
    <mergeCell ref="H2:H3"/>
    <mergeCell ref="A2:B3"/>
    <mergeCell ref="A4:A13"/>
    <mergeCell ref="A14:A23"/>
    <mergeCell ref="G2:G3"/>
    <mergeCell ref="C2:C3"/>
    <mergeCell ref="D2:F2"/>
    <mergeCell ref="A64:A73"/>
    <mergeCell ref="A24:A33"/>
    <mergeCell ref="A84:A93"/>
  </mergeCells>
  <phoneticPr fontId="7" type="noConversion"/>
  <pageMargins left="0.75" right="0.75" top="1" bottom="1" header="0.5" footer="0.5"/>
  <pageSetup paperSize="9" orientation="portrait" r:id="rId1"/>
  <headerFooter alignWithMargins="0"/>
  <rowBreaks count="1" manualBreakCount="1">
    <brk id="93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381" t="s">
        <v>1407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1783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2005</v>
      </c>
      <c r="C7" s="204"/>
      <c r="D7" s="205">
        <f>+상수도사용원단위!K4</f>
        <v>0</v>
      </c>
      <c r="E7" s="205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204">
        <f>+B7+1</f>
        <v>2006</v>
      </c>
      <c r="C8" s="204"/>
      <c r="D8" s="205">
        <f>+상수도사용원단위!K5</f>
        <v>0</v>
      </c>
      <c r="E8" s="205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f t="shared" ref="B9:B16" si="1">+B8+1</f>
        <v>2007</v>
      </c>
      <c r="C9" s="204"/>
      <c r="D9" s="205">
        <f>+상수도사용원단위!K6</f>
        <v>275</v>
      </c>
      <c r="E9" s="205"/>
      <c r="F9" s="206">
        <f t="shared" si="0"/>
        <v>275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f t="shared" si="1"/>
        <v>2008</v>
      </c>
      <c r="C10" s="204"/>
      <c r="D10" s="205">
        <f>+상수도사용원단위!K7</f>
        <v>237</v>
      </c>
      <c r="E10" s="205"/>
      <c r="F10" s="206">
        <f t="shared" si="0"/>
        <v>-38</v>
      </c>
      <c r="G10" s="206"/>
      <c r="H10" s="207">
        <f t="shared" ref="H10:H16" si="2">ROUND(F10/D9*100,2)</f>
        <v>-13.82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f t="shared" si="1"/>
        <v>2009</v>
      </c>
      <c r="C11" s="204"/>
      <c r="D11" s="205">
        <f>+상수도사용원단위!K8</f>
        <v>235</v>
      </c>
      <c r="E11" s="205"/>
      <c r="F11" s="206">
        <f t="shared" si="0"/>
        <v>-2</v>
      </c>
      <c r="G11" s="206"/>
      <c r="H11" s="207">
        <f t="shared" si="2"/>
        <v>-0.84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204">
        <f t="shared" si="1"/>
        <v>2010</v>
      </c>
      <c r="C12" s="204"/>
      <c r="D12" s="205">
        <f>+상수도사용원단위!K9</f>
        <v>264</v>
      </c>
      <c r="E12" s="205"/>
      <c r="F12" s="206">
        <f t="shared" si="0"/>
        <v>29</v>
      </c>
      <c r="G12" s="206"/>
      <c r="H12" s="207">
        <f t="shared" si="2"/>
        <v>12.34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204">
        <f t="shared" si="1"/>
        <v>2011</v>
      </c>
      <c r="C13" s="204"/>
      <c r="D13" s="205">
        <f>+상수도사용원단위!K10</f>
        <v>248</v>
      </c>
      <c r="E13" s="205"/>
      <c r="F13" s="206">
        <f t="shared" si="0"/>
        <v>-16</v>
      </c>
      <c r="G13" s="206"/>
      <c r="H13" s="207">
        <f t="shared" si="2"/>
        <v>-6.06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204">
        <f t="shared" si="1"/>
        <v>2012</v>
      </c>
      <c r="C14" s="204"/>
      <c r="D14" s="205">
        <f>+상수도사용원단위!K11</f>
        <v>242</v>
      </c>
      <c r="E14" s="205"/>
      <c r="F14" s="206">
        <f t="shared" si="0"/>
        <v>-6</v>
      </c>
      <c r="G14" s="206"/>
      <c r="H14" s="207">
        <f t="shared" si="2"/>
        <v>-2.42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204">
        <f t="shared" si="1"/>
        <v>2013</v>
      </c>
      <c r="C15" s="204"/>
      <c r="D15" s="205">
        <f>+상수도사용원단위!K12</f>
        <v>249</v>
      </c>
      <c r="E15" s="205"/>
      <c r="F15" s="206">
        <f t="shared" si="0"/>
        <v>7</v>
      </c>
      <c r="G15" s="206"/>
      <c r="H15" s="207">
        <f t="shared" si="2"/>
        <v>2.89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204">
        <f t="shared" si="1"/>
        <v>2014</v>
      </c>
      <c r="C16" s="204"/>
      <c r="D16" s="205">
        <f>+상수도사용원단위!K13</f>
        <v>264</v>
      </c>
      <c r="E16" s="205"/>
      <c r="F16" s="206">
        <f t="shared" si="0"/>
        <v>15</v>
      </c>
      <c r="G16" s="206"/>
      <c r="H16" s="207">
        <f t="shared" si="2"/>
        <v>6.02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2014</v>
      </c>
      <c r="E17" s="214"/>
      <c r="F17" s="215"/>
      <c r="G17" s="215"/>
      <c r="H17" s="216">
        <f>SUM(H7:H16)</f>
        <v>-1.8899999999999988</v>
      </c>
      <c r="I17" s="216"/>
      <c r="J17" s="217">
        <f>ROUND(AVERAGE(H8:H16),1)</f>
        <v>-0.2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3">ROUND(E$48+H$48*(B26-$C$4),0)</f>
        <v>264</v>
      </c>
      <c r="E26" s="221"/>
      <c r="F26" s="221">
        <v>0</v>
      </c>
      <c r="G26" s="221"/>
      <c r="H26" s="221">
        <f t="shared" ref="H26:H47" si="4">ROUND(D26*(1+F26),0)</f>
        <v>264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3"/>
        <v>293</v>
      </c>
      <c r="E27" s="269"/>
      <c r="F27" s="269">
        <v>0</v>
      </c>
      <c r="G27" s="269"/>
      <c r="H27" s="269">
        <f t="shared" si="4"/>
        <v>293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3"/>
        <v>323</v>
      </c>
      <c r="E28" s="221"/>
      <c r="F28" s="221">
        <v>0</v>
      </c>
      <c r="G28" s="221"/>
      <c r="H28" s="221">
        <f t="shared" si="4"/>
        <v>323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3"/>
        <v>352</v>
      </c>
      <c r="E29" s="221"/>
      <c r="F29" s="221">
        <v>0</v>
      </c>
      <c r="G29" s="221"/>
      <c r="H29" s="221">
        <f t="shared" si="4"/>
        <v>352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3"/>
        <v>381</v>
      </c>
      <c r="E30" s="221"/>
      <c r="F30" s="221">
        <v>0</v>
      </c>
      <c r="G30" s="221"/>
      <c r="H30" s="221">
        <f t="shared" si="4"/>
        <v>381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3"/>
        <v>411</v>
      </c>
      <c r="E31" s="221"/>
      <c r="F31" s="221">
        <v>0</v>
      </c>
      <c r="G31" s="221"/>
      <c r="H31" s="221">
        <f t="shared" si="4"/>
        <v>411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3"/>
        <v>440</v>
      </c>
      <c r="E32" s="269"/>
      <c r="F32" s="269">
        <v>0</v>
      </c>
      <c r="G32" s="269"/>
      <c r="H32" s="269">
        <f t="shared" si="4"/>
        <v>440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3"/>
        <v>469</v>
      </c>
      <c r="E33" s="221"/>
      <c r="F33" s="221">
        <v>0</v>
      </c>
      <c r="G33" s="221"/>
      <c r="H33" s="221">
        <f t="shared" si="4"/>
        <v>469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3"/>
        <v>498</v>
      </c>
      <c r="E34" s="221"/>
      <c r="F34" s="221">
        <v>0</v>
      </c>
      <c r="G34" s="221"/>
      <c r="H34" s="221">
        <f t="shared" si="4"/>
        <v>498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3"/>
        <v>528</v>
      </c>
      <c r="E35" s="221"/>
      <c r="F35" s="221">
        <v>0</v>
      </c>
      <c r="G35" s="221"/>
      <c r="H35" s="221">
        <f t="shared" si="4"/>
        <v>528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3"/>
        <v>557</v>
      </c>
      <c r="E36" s="221"/>
      <c r="F36" s="221">
        <v>0</v>
      </c>
      <c r="G36" s="221"/>
      <c r="H36" s="221">
        <f t="shared" si="4"/>
        <v>557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3"/>
        <v>586</v>
      </c>
      <c r="E37" s="269"/>
      <c r="F37" s="269">
        <v>0</v>
      </c>
      <c r="G37" s="269"/>
      <c r="H37" s="269">
        <f t="shared" si="4"/>
        <v>586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3"/>
        <v>616</v>
      </c>
      <c r="E38" s="221"/>
      <c r="F38" s="221">
        <v>0</v>
      </c>
      <c r="G38" s="221"/>
      <c r="H38" s="221">
        <f t="shared" si="4"/>
        <v>616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3"/>
        <v>645</v>
      </c>
      <c r="E39" s="221"/>
      <c r="F39" s="221">
        <v>0</v>
      </c>
      <c r="G39" s="221"/>
      <c r="H39" s="221">
        <f t="shared" si="4"/>
        <v>645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3"/>
        <v>674</v>
      </c>
      <c r="E40" s="221"/>
      <c r="F40" s="221">
        <v>0</v>
      </c>
      <c r="G40" s="221"/>
      <c r="H40" s="221">
        <f t="shared" si="4"/>
        <v>674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3"/>
        <v>704</v>
      </c>
      <c r="E41" s="221"/>
      <c r="F41" s="221">
        <v>0</v>
      </c>
      <c r="G41" s="221"/>
      <c r="H41" s="221">
        <f t="shared" si="4"/>
        <v>704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3"/>
        <v>733</v>
      </c>
      <c r="E42" s="269"/>
      <c r="F42" s="269">
        <v>0</v>
      </c>
      <c r="G42" s="269"/>
      <c r="H42" s="269">
        <f t="shared" si="4"/>
        <v>733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3"/>
        <v>762</v>
      </c>
      <c r="E43" s="221"/>
      <c r="F43" s="221">
        <v>0</v>
      </c>
      <c r="G43" s="221"/>
      <c r="H43" s="221">
        <f t="shared" si="4"/>
        <v>762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3"/>
        <v>791</v>
      </c>
      <c r="E44" s="221"/>
      <c r="F44" s="221">
        <v>0</v>
      </c>
      <c r="G44" s="221"/>
      <c r="H44" s="221">
        <f t="shared" si="4"/>
        <v>791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3"/>
        <v>821</v>
      </c>
      <c r="E45" s="221"/>
      <c r="F45" s="221">
        <v>0</v>
      </c>
      <c r="G45" s="221"/>
      <c r="H45" s="221">
        <f t="shared" si="4"/>
        <v>821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3"/>
        <v>850</v>
      </c>
      <c r="E46" s="221"/>
      <c r="F46" s="221">
        <v>0</v>
      </c>
      <c r="G46" s="221"/>
      <c r="H46" s="221">
        <f t="shared" si="4"/>
        <v>850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3"/>
        <v>879</v>
      </c>
      <c r="E47" s="269"/>
      <c r="F47" s="269">
        <v>0</v>
      </c>
      <c r="G47" s="269"/>
      <c r="H47" s="269">
        <f t="shared" si="4"/>
        <v>879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264</v>
      </c>
      <c r="F48" s="226"/>
      <c r="G48" s="224" t="s">
        <v>162</v>
      </c>
      <c r="H48" s="224">
        <f>ROUND((D$16-D$7)/(COUNT(D$7:D$16)-1),1)</f>
        <v>29.3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5">ROUND(E$82*H$82^(B60-$C$4),0)</f>
        <v>264</v>
      </c>
      <c r="E60" s="221"/>
      <c r="F60" s="221">
        <v>0</v>
      </c>
      <c r="G60" s="221"/>
      <c r="H60" s="221">
        <f t="shared" ref="H60:H81" si="6">ROUND(D60*(1+F60),0)</f>
        <v>264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5"/>
        <v>262</v>
      </c>
      <c r="E61" s="269"/>
      <c r="F61" s="269">
        <v>0</v>
      </c>
      <c r="G61" s="269"/>
      <c r="H61" s="269">
        <f t="shared" si="6"/>
        <v>262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5"/>
        <v>261</v>
      </c>
      <c r="E62" s="221"/>
      <c r="F62" s="221">
        <v>0</v>
      </c>
      <c r="G62" s="221"/>
      <c r="H62" s="221">
        <f t="shared" si="6"/>
        <v>261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5"/>
        <v>259</v>
      </c>
      <c r="E63" s="221"/>
      <c r="F63" s="221">
        <v>0</v>
      </c>
      <c r="G63" s="221"/>
      <c r="H63" s="221">
        <f t="shared" si="6"/>
        <v>259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5"/>
        <v>258</v>
      </c>
      <c r="E64" s="221"/>
      <c r="F64" s="221">
        <v>0</v>
      </c>
      <c r="G64" s="221"/>
      <c r="H64" s="221">
        <f t="shared" si="6"/>
        <v>258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5"/>
        <v>256</v>
      </c>
      <c r="E65" s="221"/>
      <c r="F65" s="221">
        <v>0</v>
      </c>
      <c r="G65" s="221"/>
      <c r="H65" s="221">
        <f t="shared" si="6"/>
        <v>256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5"/>
        <v>255</v>
      </c>
      <c r="E66" s="269"/>
      <c r="F66" s="269">
        <v>0</v>
      </c>
      <c r="G66" s="269"/>
      <c r="H66" s="269">
        <f t="shared" si="6"/>
        <v>255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5"/>
        <v>253</v>
      </c>
      <c r="E67" s="221"/>
      <c r="F67" s="221">
        <v>0</v>
      </c>
      <c r="G67" s="221"/>
      <c r="H67" s="221">
        <f t="shared" si="6"/>
        <v>253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5"/>
        <v>252</v>
      </c>
      <c r="E68" s="221"/>
      <c r="F68" s="221">
        <v>0</v>
      </c>
      <c r="G68" s="221"/>
      <c r="H68" s="221">
        <f t="shared" si="6"/>
        <v>252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5"/>
        <v>251</v>
      </c>
      <c r="E69" s="221"/>
      <c r="F69" s="221">
        <v>0</v>
      </c>
      <c r="G69" s="221"/>
      <c r="H69" s="221">
        <f t="shared" si="6"/>
        <v>251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5"/>
        <v>249</v>
      </c>
      <c r="E70" s="221"/>
      <c r="F70" s="221">
        <v>0</v>
      </c>
      <c r="G70" s="221"/>
      <c r="H70" s="221">
        <f t="shared" si="6"/>
        <v>249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5"/>
        <v>248</v>
      </c>
      <c r="E71" s="269"/>
      <c r="F71" s="269">
        <v>0</v>
      </c>
      <c r="G71" s="269"/>
      <c r="H71" s="269">
        <f t="shared" si="6"/>
        <v>248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5"/>
        <v>246</v>
      </c>
      <c r="E72" s="221"/>
      <c r="F72" s="221">
        <v>0</v>
      </c>
      <c r="G72" s="221"/>
      <c r="H72" s="221">
        <f t="shared" si="6"/>
        <v>246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5"/>
        <v>245</v>
      </c>
      <c r="E73" s="221"/>
      <c r="F73" s="221">
        <v>0</v>
      </c>
      <c r="G73" s="221"/>
      <c r="H73" s="221">
        <f t="shared" si="6"/>
        <v>245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5"/>
        <v>243</v>
      </c>
      <c r="E74" s="221"/>
      <c r="F74" s="221">
        <v>0</v>
      </c>
      <c r="G74" s="221"/>
      <c r="H74" s="221">
        <f t="shared" si="6"/>
        <v>243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5"/>
        <v>242</v>
      </c>
      <c r="E75" s="221"/>
      <c r="F75" s="221">
        <v>0</v>
      </c>
      <c r="G75" s="221"/>
      <c r="H75" s="221">
        <f t="shared" si="6"/>
        <v>242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5"/>
        <v>240</v>
      </c>
      <c r="E76" s="269"/>
      <c r="F76" s="269">
        <v>0</v>
      </c>
      <c r="G76" s="269"/>
      <c r="H76" s="269">
        <f t="shared" si="6"/>
        <v>240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5"/>
        <v>239</v>
      </c>
      <c r="E77" s="221"/>
      <c r="F77" s="221">
        <v>0</v>
      </c>
      <c r="G77" s="221"/>
      <c r="H77" s="221">
        <f t="shared" si="6"/>
        <v>239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5"/>
        <v>238</v>
      </c>
      <c r="E78" s="221"/>
      <c r="F78" s="221">
        <v>0</v>
      </c>
      <c r="G78" s="221"/>
      <c r="H78" s="221">
        <f t="shared" si="6"/>
        <v>238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5"/>
        <v>236</v>
      </c>
      <c r="E79" s="221"/>
      <c r="F79" s="221">
        <v>0</v>
      </c>
      <c r="G79" s="221"/>
      <c r="H79" s="221">
        <f t="shared" si="6"/>
        <v>236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5"/>
        <v>235</v>
      </c>
      <c r="E80" s="221"/>
      <c r="F80" s="221">
        <v>0</v>
      </c>
      <c r="G80" s="221"/>
      <c r="H80" s="221">
        <f t="shared" si="6"/>
        <v>235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5"/>
        <v>234</v>
      </c>
      <c r="E81" s="269"/>
      <c r="F81" s="269">
        <v>0</v>
      </c>
      <c r="G81" s="269"/>
      <c r="H81" s="269">
        <f t="shared" si="6"/>
        <v>234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264</v>
      </c>
      <c r="F82" s="226"/>
      <c r="G82" s="224" t="s">
        <v>179</v>
      </c>
      <c r="H82" s="224">
        <f>ROUND((E$82/D$9)^(1/(COUNT(D$9:D$16)-1)),6)</f>
        <v>0.99418499999999999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204">
        <f t="shared" ref="B99:B108" si="7">B7</f>
        <v>2005</v>
      </c>
      <c r="C99" s="204"/>
      <c r="D99" s="208">
        <f t="shared" ref="D99:D108" si="8">VLOOKUP(B99,B$7:E$16,3,FALSE)</f>
        <v>0</v>
      </c>
      <c r="E99" s="229">
        <f t="shared" ref="E99:E108" si="9">((COUNT(B$99:B$108)-1)/2)+(B99-$C$4)</f>
        <v>-4.5</v>
      </c>
      <c r="F99" s="208">
        <f t="shared" ref="F99:F108" si="10">E99^2</f>
        <v>20.25</v>
      </c>
      <c r="G99" s="206"/>
      <c r="H99" s="230">
        <f t="shared" ref="H99:H108" si="11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204">
        <f t="shared" si="7"/>
        <v>2006</v>
      </c>
      <c r="C100" s="204"/>
      <c r="D100" s="208">
        <f t="shared" si="8"/>
        <v>0</v>
      </c>
      <c r="E100" s="229">
        <f t="shared" si="9"/>
        <v>-3.5</v>
      </c>
      <c r="F100" s="208">
        <f t="shared" si="10"/>
        <v>12.25</v>
      </c>
      <c r="G100" s="206"/>
      <c r="H100" s="230">
        <f t="shared" si="11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204">
        <f t="shared" si="7"/>
        <v>2007</v>
      </c>
      <c r="C101" s="204"/>
      <c r="D101" s="208">
        <f t="shared" si="8"/>
        <v>275</v>
      </c>
      <c r="E101" s="229">
        <f t="shared" si="9"/>
        <v>-2.5</v>
      </c>
      <c r="F101" s="208">
        <f>E101^2</f>
        <v>6.25</v>
      </c>
      <c r="G101" s="206"/>
      <c r="H101" s="230">
        <f t="shared" si="11"/>
        <v>-687.5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204">
        <f t="shared" si="7"/>
        <v>2008</v>
      </c>
      <c r="C102" s="204"/>
      <c r="D102" s="208">
        <f t="shared" si="8"/>
        <v>237</v>
      </c>
      <c r="E102" s="229">
        <f t="shared" si="9"/>
        <v>-1.5</v>
      </c>
      <c r="F102" s="208">
        <f t="shared" si="10"/>
        <v>2.25</v>
      </c>
      <c r="G102" s="206"/>
      <c r="H102" s="230">
        <f t="shared" si="11"/>
        <v>-355.5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204">
        <f t="shared" si="7"/>
        <v>2009</v>
      </c>
      <c r="C103" s="204"/>
      <c r="D103" s="208">
        <f t="shared" si="8"/>
        <v>235</v>
      </c>
      <c r="E103" s="229">
        <f t="shared" si="9"/>
        <v>-0.5</v>
      </c>
      <c r="F103" s="208">
        <f t="shared" si="10"/>
        <v>0.25</v>
      </c>
      <c r="G103" s="206"/>
      <c r="H103" s="230">
        <f t="shared" si="11"/>
        <v>-117.5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204">
        <f t="shared" si="7"/>
        <v>2010</v>
      </c>
      <c r="C104" s="204"/>
      <c r="D104" s="208">
        <f t="shared" si="8"/>
        <v>264</v>
      </c>
      <c r="E104" s="229">
        <f t="shared" si="9"/>
        <v>0.5</v>
      </c>
      <c r="F104" s="208">
        <f t="shared" si="10"/>
        <v>0.25</v>
      </c>
      <c r="G104" s="206"/>
      <c r="H104" s="230">
        <f t="shared" si="11"/>
        <v>132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204">
        <f t="shared" si="7"/>
        <v>2011</v>
      </c>
      <c r="C105" s="204"/>
      <c r="D105" s="208">
        <f t="shared" si="8"/>
        <v>248</v>
      </c>
      <c r="E105" s="229">
        <f t="shared" si="9"/>
        <v>1.5</v>
      </c>
      <c r="F105" s="208">
        <f t="shared" si="10"/>
        <v>2.25</v>
      </c>
      <c r="G105" s="206"/>
      <c r="H105" s="230">
        <f t="shared" si="11"/>
        <v>372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204">
        <f t="shared" si="7"/>
        <v>2012</v>
      </c>
      <c r="C106" s="204"/>
      <c r="D106" s="208">
        <f t="shared" si="8"/>
        <v>242</v>
      </c>
      <c r="E106" s="229">
        <f t="shared" si="9"/>
        <v>2.5</v>
      </c>
      <c r="F106" s="208">
        <f t="shared" si="10"/>
        <v>6.25</v>
      </c>
      <c r="G106" s="206"/>
      <c r="H106" s="230">
        <f t="shared" si="11"/>
        <v>605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204">
        <f t="shared" si="7"/>
        <v>2013</v>
      </c>
      <c r="C107" s="204"/>
      <c r="D107" s="208">
        <f t="shared" si="8"/>
        <v>249</v>
      </c>
      <c r="E107" s="229">
        <f t="shared" si="9"/>
        <v>3.5</v>
      </c>
      <c r="F107" s="208">
        <f t="shared" si="10"/>
        <v>12.25</v>
      </c>
      <c r="G107" s="206"/>
      <c r="H107" s="230">
        <f t="shared" si="11"/>
        <v>871.5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204">
        <f t="shared" si="7"/>
        <v>2014</v>
      </c>
      <c r="C108" s="204"/>
      <c r="D108" s="208">
        <f t="shared" si="8"/>
        <v>264</v>
      </c>
      <c r="E108" s="229">
        <f t="shared" si="9"/>
        <v>4.5</v>
      </c>
      <c r="F108" s="208">
        <f t="shared" si="10"/>
        <v>20.25</v>
      </c>
      <c r="G108" s="206"/>
      <c r="H108" s="230">
        <f t="shared" si="11"/>
        <v>1188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2014</v>
      </c>
      <c r="E109" s="215"/>
      <c r="F109" s="233">
        <f>ROUND(SUM(F99:F108),0)</f>
        <v>83</v>
      </c>
      <c r="G109" s="212"/>
      <c r="H109" s="234">
        <f>SUM(H99:H108)</f>
        <v>2008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24.192771084337348</v>
      </c>
      <c r="H110" s="236" t="s">
        <v>199</v>
      </c>
      <c r="I110" s="201"/>
      <c r="J110" s="201"/>
      <c r="K110" s="201">
        <f>ROUND((F109*D109-H109*E109)/(COUNT(B$99:B$108)*F109-E109*E109),0)</f>
        <v>201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2">ROUNDUP(G$110*(B115-B$108+E$108)+K$110,0)</f>
        <v>310</v>
      </c>
      <c r="E115" s="221"/>
      <c r="F115" s="221">
        <v>0</v>
      </c>
      <c r="G115" s="221"/>
      <c r="H115" s="221">
        <f t="shared" ref="H115:H136" si="13">ROUND(D115*(1+F115),0)</f>
        <v>310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2"/>
        <v>335</v>
      </c>
      <c r="E116" s="269"/>
      <c r="F116" s="269">
        <v>0</v>
      </c>
      <c r="G116" s="269"/>
      <c r="H116" s="269">
        <f t="shared" si="13"/>
        <v>335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2"/>
        <v>359</v>
      </c>
      <c r="E117" s="221"/>
      <c r="F117" s="221">
        <v>0</v>
      </c>
      <c r="G117" s="221"/>
      <c r="H117" s="221">
        <f t="shared" si="13"/>
        <v>359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2"/>
        <v>383</v>
      </c>
      <c r="E118" s="221"/>
      <c r="F118" s="221">
        <v>0</v>
      </c>
      <c r="G118" s="221"/>
      <c r="H118" s="221">
        <f t="shared" si="13"/>
        <v>383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2"/>
        <v>407</v>
      </c>
      <c r="E119" s="221"/>
      <c r="F119" s="221">
        <v>0</v>
      </c>
      <c r="G119" s="221"/>
      <c r="H119" s="221">
        <f t="shared" si="13"/>
        <v>407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2"/>
        <v>431</v>
      </c>
      <c r="E120" s="221"/>
      <c r="F120" s="221">
        <v>0</v>
      </c>
      <c r="G120" s="221"/>
      <c r="H120" s="221">
        <f t="shared" si="13"/>
        <v>431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2"/>
        <v>456</v>
      </c>
      <c r="E121" s="269"/>
      <c r="F121" s="269">
        <v>0</v>
      </c>
      <c r="G121" s="269"/>
      <c r="H121" s="269">
        <f t="shared" si="13"/>
        <v>456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2"/>
        <v>480</v>
      </c>
      <c r="E122" s="221"/>
      <c r="F122" s="221">
        <v>0</v>
      </c>
      <c r="G122" s="221"/>
      <c r="H122" s="221">
        <f t="shared" si="13"/>
        <v>480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2"/>
        <v>504</v>
      </c>
      <c r="E123" s="221"/>
      <c r="F123" s="221">
        <v>0</v>
      </c>
      <c r="G123" s="221"/>
      <c r="H123" s="221">
        <f t="shared" si="13"/>
        <v>504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2"/>
        <v>528</v>
      </c>
      <c r="E124" s="221"/>
      <c r="F124" s="221">
        <v>0</v>
      </c>
      <c r="G124" s="221"/>
      <c r="H124" s="221">
        <f t="shared" si="13"/>
        <v>528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2"/>
        <v>552</v>
      </c>
      <c r="E125" s="221"/>
      <c r="F125" s="221">
        <v>0</v>
      </c>
      <c r="G125" s="221"/>
      <c r="H125" s="221">
        <f t="shared" si="13"/>
        <v>552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2"/>
        <v>576</v>
      </c>
      <c r="E126" s="269"/>
      <c r="F126" s="269">
        <v>0</v>
      </c>
      <c r="G126" s="269"/>
      <c r="H126" s="269">
        <f t="shared" si="13"/>
        <v>576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2"/>
        <v>601</v>
      </c>
      <c r="E127" s="221"/>
      <c r="F127" s="221">
        <v>0</v>
      </c>
      <c r="G127" s="221"/>
      <c r="H127" s="221">
        <f t="shared" si="13"/>
        <v>601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2"/>
        <v>625</v>
      </c>
      <c r="E128" s="221"/>
      <c r="F128" s="221">
        <v>0</v>
      </c>
      <c r="G128" s="221"/>
      <c r="H128" s="221">
        <f t="shared" si="13"/>
        <v>625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2"/>
        <v>649</v>
      </c>
      <c r="E129" s="221"/>
      <c r="F129" s="221">
        <v>0</v>
      </c>
      <c r="G129" s="221"/>
      <c r="H129" s="221">
        <f t="shared" si="13"/>
        <v>649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2"/>
        <v>673</v>
      </c>
      <c r="E130" s="221"/>
      <c r="F130" s="221">
        <v>0</v>
      </c>
      <c r="G130" s="221"/>
      <c r="H130" s="221">
        <f t="shared" si="13"/>
        <v>673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2"/>
        <v>697</v>
      </c>
      <c r="E131" s="269"/>
      <c r="F131" s="269">
        <v>0</v>
      </c>
      <c r="G131" s="269"/>
      <c r="H131" s="269">
        <f t="shared" si="13"/>
        <v>697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2"/>
        <v>722</v>
      </c>
      <c r="E132" s="221"/>
      <c r="F132" s="221">
        <v>0</v>
      </c>
      <c r="G132" s="221"/>
      <c r="H132" s="221">
        <f t="shared" si="13"/>
        <v>722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2"/>
        <v>746</v>
      </c>
      <c r="E133" s="221"/>
      <c r="F133" s="221">
        <v>0</v>
      </c>
      <c r="G133" s="221"/>
      <c r="H133" s="221">
        <f t="shared" si="13"/>
        <v>746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2"/>
        <v>770</v>
      </c>
      <c r="E134" s="221"/>
      <c r="F134" s="221">
        <v>0</v>
      </c>
      <c r="G134" s="221"/>
      <c r="H134" s="221">
        <f t="shared" si="13"/>
        <v>770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2"/>
        <v>794</v>
      </c>
      <c r="E135" s="221"/>
      <c r="F135" s="221">
        <v>0</v>
      </c>
      <c r="G135" s="221"/>
      <c r="H135" s="221">
        <f t="shared" si="13"/>
        <v>794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2"/>
        <v>818</v>
      </c>
      <c r="E136" s="269"/>
      <c r="F136" s="269">
        <v>0</v>
      </c>
      <c r="G136" s="269"/>
      <c r="H136" s="269">
        <f t="shared" si="13"/>
        <v>818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204">
        <f t="shared" ref="B146:B155" si="14">B99</f>
        <v>2005</v>
      </c>
      <c r="C146" s="204"/>
      <c r="D146" s="208">
        <f t="shared" ref="D146:D155" si="15">VLOOKUP(B146,B$7:E$16,3,FALSE)</f>
        <v>0</v>
      </c>
      <c r="E146" s="244">
        <f t="shared" ref="E146:E155" si="16">IF(G$140=FALSE,"",((COUNT(B$99:B$108)-1))+(B146-$C$4))</f>
        <v>0</v>
      </c>
      <c r="F146" s="245">
        <f>IF(E146=0,0,"")</f>
        <v>0</v>
      </c>
      <c r="G146" s="246">
        <f t="shared" ref="G146:G155" si="17">IF(F146="","",F146^2)</f>
        <v>0</v>
      </c>
      <c r="H146" s="231">
        <f t="shared" ref="H146:H155" si="18">IF(G146="","",ABS(D146-D$146))</f>
        <v>0</v>
      </c>
      <c r="I146" s="231"/>
      <c r="J146" s="245">
        <f>IF(H146=0,0,"")</f>
        <v>0</v>
      </c>
      <c r="K146" s="247">
        <f t="shared" ref="K146:K155" si="19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204">
        <f t="shared" si="14"/>
        <v>2006</v>
      </c>
      <c r="C147" s="204"/>
      <c r="D147" s="208">
        <f t="shared" si="15"/>
        <v>0</v>
      </c>
      <c r="E147" s="244">
        <f t="shared" si="16"/>
        <v>1</v>
      </c>
      <c r="F147" s="245">
        <f t="shared" ref="F147:F155" si="20">IF(E147="","",LOG(E147))</f>
        <v>0</v>
      </c>
      <c r="G147" s="246">
        <f t="shared" si="17"/>
        <v>0</v>
      </c>
      <c r="H147" s="231">
        <f t="shared" si="18"/>
        <v>0</v>
      </c>
      <c r="I147" s="231"/>
      <c r="J147" s="245">
        <f>IF(H147=0,0,"")</f>
        <v>0</v>
      </c>
      <c r="K147" s="247">
        <f t="shared" si="19"/>
        <v>0</v>
      </c>
      <c r="L147" s="203"/>
      <c r="M147" s="203"/>
      <c r="N147" s="203"/>
      <c r="O147" s="203"/>
    </row>
    <row r="148" spans="1:15" ht="15" customHeight="1">
      <c r="A148" s="203"/>
      <c r="B148" s="204">
        <f t="shared" si="14"/>
        <v>2007</v>
      </c>
      <c r="C148" s="204"/>
      <c r="D148" s="208">
        <f t="shared" si="15"/>
        <v>275</v>
      </c>
      <c r="E148" s="244">
        <f t="shared" si="16"/>
        <v>2</v>
      </c>
      <c r="F148" s="245">
        <f t="shared" si="20"/>
        <v>0.3010299956639812</v>
      </c>
      <c r="G148" s="246">
        <f t="shared" si="17"/>
        <v>9.0619058289456544E-2</v>
      </c>
      <c r="H148" s="231">
        <f t="shared" si="18"/>
        <v>275</v>
      </c>
      <c r="I148" s="231"/>
      <c r="J148" s="247">
        <f t="shared" ref="J148:J155" si="21">IF(H148="","",LOG(H148))</f>
        <v>2.4393326938302629</v>
      </c>
      <c r="K148" s="247">
        <f t="shared" si="19"/>
        <v>0.7343123102467316</v>
      </c>
      <c r="L148" s="203"/>
      <c r="M148" s="203"/>
      <c r="N148" s="203"/>
      <c r="O148" s="203"/>
    </row>
    <row r="149" spans="1:15" ht="15" customHeight="1">
      <c r="A149" s="203"/>
      <c r="B149" s="204">
        <f t="shared" si="14"/>
        <v>2008</v>
      </c>
      <c r="C149" s="204"/>
      <c r="D149" s="208">
        <f t="shared" si="15"/>
        <v>237</v>
      </c>
      <c r="E149" s="244">
        <f t="shared" si="16"/>
        <v>3</v>
      </c>
      <c r="F149" s="245">
        <f t="shared" si="20"/>
        <v>0.47712125471966244</v>
      </c>
      <c r="G149" s="246">
        <f t="shared" si="17"/>
        <v>0.227644691705265</v>
      </c>
      <c r="H149" s="231">
        <f t="shared" si="18"/>
        <v>237</v>
      </c>
      <c r="I149" s="231"/>
      <c r="J149" s="247">
        <f t="shared" si="21"/>
        <v>2.374748346010104</v>
      </c>
      <c r="K149" s="247">
        <f t="shared" si="19"/>
        <v>1.1330429104917839</v>
      </c>
      <c r="L149" s="203"/>
      <c r="M149" s="203"/>
      <c r="N149" s="203"/>
      <c r="O149" s="203"/>
    </row>
    <row r="150" spans="1:15" ht="15" customHeight="1">
      <c r="A150" s="203"/>
      <c r="B150" s="204">
        <f t="shared" si="14"/>
        <v>2009</v>
      </c>
      <c r="C150" s="204"/>
      <c r="D150" s="208">
        <f t="shared" si="15"/>
        <v>235</v>
      </c>
      <c r="E150" s="244">
        <f t="shared" si="16"/>
        <v>4</v>
      </c>
      <c r="F150" s="245">
        <f t="shared" si="20"/>
        <v>0.6020599913279624</v>
      </c>
      <c r="G150" s="246">
        <f t="shared" si="17"/>
        <v>0.36247623315782618</v>
      </c>
      <c r="H150" s="231">
        <f t="shared" si="18"/>
        <v>235</v>
      </c>
      <c r="I150" s="231"/>
      <c r="J150" s="247">
        <f t="shared" si="21"/>
        <v>2.3710678622717363</v>
      </c>
      <c r="K150" s="247">
        <f t="shared" si="19"/>
        <v>1.4275250965973318</v>
      </c>
      <c r="L150" s="203"/>
      <c r="M150" s="203"/>
      <c r="N150" s="203"/>
      <c r="O150" s="203"/>
    </row>
    <row r="151" spans="1:15" ht="15" customHeight="1">
      <c r="A151" s="203"/>
      <c r="B151" s="204">
        <f t="shared" si="14"/>
        <v>2010</v>
      </c>
      <c r="C151" s="204"/>
      <c r="D151" s="208">
        <f t="shared" si="15"/>
        <v>264</v>
      </c>
      <c r="E151" s="244">
        <f t="shared" si="16"/>
        <v>5</v>
      </c>
      <c r="F151" s="245">
        <f t="shared" si="20"/>
        <v>0.69897000433601886</v>
      </c>
      <c r="G151" s="246">
        <f t="shared" si="17"/>
        <v>0.4885590669614942</v>
      </c>
      <c r="H151" s="231">
        <f t="shared" si="18"/>
        <v>264</v>
      </c>
      <c r="I151" s="231"/>
      <c r="J151" s="247">
        <f t="shared" si="21"/>
        <v>2.4216039268698313</v>
      </c>
      <c r="K151" s="247">
        <f t="shared" si="19"/>
        <v>1.6926285072643263</v>
      </c>
      <c r="L151" s="203"/>
      <c r="M151" s="203"/>
      <c r="N151" s="203"/>
      <c r="O151" s="203"/>
    </row>
    <row r="152" spans="1:15" ht="15" customHeight="1">
      <c r="A152" s="203"/>
      <c r="B152" s="204">
        <f t="shared" si="14"/>
        <v>2011</v>
      </c>
      <c r="C152" s="204"/>
      <c r="D152" s="208">
        <f t="shared" si="15"/>
        <v>248</v>
      </c>
      <c r="E152" s="244">
        <f t="shared" si="16"/>
        <v>6</v>
      </c>
      <c r="F152" s="245">
        <f t="shared" si="20"/>
        <v>0.77815125038364363</v>
      </c>
      <c r="G152" s="246">
        <f t="shared" si="17"/>
        <v>0.60551936847362808</v>
      </c>
      <c r="H152" s="231">
        <f t="shared" si="18"/>
        <v>248</v>
      </c>
      <c r="I152" s="231"/>
      <c r="J152" s="247">
        <f t="shared" si="21"/>
        <v>2.3944516808262164</v>
      </c>
      <c r="K152" s="247">
        <f t="shared" si="19"/>
        <v>1.8632455694181376</v>
      </c>
      <c r="L152" s="203"/>
      <c r="M152" s="203"/>
      <c r="N152" s="203"/>
      <c r="O152" s="203"/>
    </row>
    <row r="153" spans="1:15" ht="15" customHeight="1">
      <c r="A153" s="203"/>
      <c r="B153" s="204">
        <f t="shared" si="14"/>
        <v>2012</v>
      </c>
      <c r="C153" s="204"/>
      <c r="D153" s="208">
        <f t="shared" si="15"/>
        <v>242</v>
      </c>
      <c r="E153" s="244">
        <f t="shared" si="16"/>
        <v>7</v>
      </c>
      <c r="F153" s="245">
        <f t="shared" si="20"/>
        <v>0.84509804001425681</v>
      </c>
      <c r="G153" s="246">
        <f t="shared" si="17"/>
        <v>0.71419069723593842</v>
      </c>
      <c r="H153" s="231">
        <f t="shared" si="18"/>
        <v>242</v>
      </c>
      <c r="I153" s="231"/>
      <c r="J153" s="247">
        <f t="shared" si="21"/>
        <v>2.3838153659804311</v>
      </c>
      <c r="K153" s="247">
        <f t="shared" si="19"/>
        <v>2.0145576935459304</v>
      </c>
      <c r="L153" s="203"/>
      <c r="M153" s="203"/>
      <c r="N153" s="203"/>
      <c r="O153" s="203"/>
    </row>
    <row r="154" spans="1:15" ht="15" customHeight="1">
      <c r="A154" s="203"/>
      <c r="B154" s="204">
        <f t="shared" si="14"/>
        <v>2013</v>
      </c>
      <c r="C154" s="204"/>
      <c r="D154" s="208">
        <f t="shared" si="15"/>
        <v>249</v>
      </c>
      <c r="E154" s="244">
        <f t="shared" si="16"/>
        <v>8</v>
      </c>
      <c r="F154" s="245">
        <f t="shared" si="20"/>
        <v>0.90308998699194354</v>
      </c>
      <c r="G154" s="246">
        <f t="shared" si="17"/>
        <v>0.81557152460510873</v>
      </c>
      <c r="H154" s="231">
        <f t="shared" si="18"/>
        <v>249</v>
      </c>
      <c r="I154" s="231"/>
      <c r="J154" s="247">
        <f t="shared" si="21"/>
        <v>2.3961993470957363</v>
      </c>
      <c r="K154" s="247">
        <f t="shared" si="19"/>
        <v>2.1639836371987919</v>
      </c>
      <c r="L154" s="203"/>
      <c r="M154" s="203"/>
      <c r="N154" s="203"/>
      <c r="O154" s="203"/>
    </row>
    <row r="155" spans="1:15" ht="15" customHeight="1">
      <c r="A155" s="203"/>
      <c r="B155" s="204">
        <f t="shared" si="14"/>
        <v>2014</v>
      </c>
      <c r="C155" s="204"/>
      <c r="D155" s="208">
        <f t="shared" si="15"/>
        <v>264</v>
      </c>
      <c r="E155" s="244">
        <f t="shared" si="16"/>
        <v>9</v>
      </c>
      <c r="F155" s="245">
        <f t="shared" si="20"/>
        <v>0.95424250943932487</v>
      </c>
      <c r="G155" s="246">
        <f t="shared" si="17"/>
        <v>0.91057876682105998</v>
      </c>
      <c r="H155" s="231">
        <f t="shared" si="18"/>
        <v>264</v>
      </c>
      <c r="I155" s="231"/>
      <c r="J155" s="247">
        <f t="shared" si="21"/>
        <v>2.4216039268698313</v>
      </c>
      <c r="K155" s="247">
        <f t="shared" si="19"/>
        <v>2.3107974080443912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19.202823149754149</v>
      </c>
      <c r="K156" s="253">
        <f>IF(K155="","",SUM(K146:K155))</f>
        <v>13.340093132807425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9.2125530131718723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1.8927799999999999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2">IF(J$157=0,0,ROUNDUP(D$146+E$157*(B162-B$146)^J$157,0))</f>
        <v>590</v>
      </c>
      <c r="E162" s="257"/>
      <c r="F162" s="205">
        <v>0</v>
      </c>
      <c r="G162" s="205"/>
      <c r="H162" s="205">
        <f t="shared" ref="H162:H183" si="23">ROUND(D162*(1+F162),0)</f>
        <v>590</v>
      </c>
      <c r="I162" s="205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2"/>
        <v>720</v>
      </c>
      <c r="E163" s="271"/>
      <c r="F163" s="272">
        <v>0</v>
      </c>
      <c r="G163" s="272"/>
      <c r="H163" s="272">
        <f t="shared" si="23"/>
        <v>720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2"/>
        <v>862</v>
      </c>
      <c r="E164" s="257"/>
      <c r="F164" s="258">
        <v>0</v>
      </c>
      <c r="G164" s="258"/>
      <c r="H164" s="258">
        <f t="shared" si="23"/>
        <v>862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2"/>
        <v>1017</v>
      </c>
      <c r="E165" s="257"/>
      <c r="F165" s="258">
        <v>0</v>
      </c>
      <c r="G165" s="258"/>
      <c r="H165" s="258">
        <f t="shared" si="23"/>
        <v>1017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2"/>
        <v>1183</v>
      </c>
      <c r="E166" s="257"/>
      <c r="F166" s="258">
        <v>0</v>
      </c>
      <c r="G166" s="258"/>
      <c r="H166" s="258">
        <f t="shared" si="23"/>
        <v>1183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2"/>
        <v>1361</v>
      </c>
      <c r="E167" s="257"/>
      <c r="F167" s="258">
        <v>0</v>
      </c>
      <c r="G167" s="258"/>
      <c r="H167" s="258">
        <f t="shared" si="23"/>
        <v>1361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2"/>
        <v>1551</v>
      </c>
      <c r="E168" s="271"/>
      <c r="F168" s="272">
        <v>0</v>
      </c>
      <c r="G168" s="272"/>
      <c r="H168" s="272">
        <f t="shared" si="23"/>
        <v>1551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2"/>
        <v>1752</v>
      </c>
      <c r="E169" s="257"/>
      <c r="F169" s="258">
        <v>0</v>
      </c>
      <c r="G169" s="258"/>
      <c r="H169" s="258">
        <f t="shared" si="23"/>
        <v>1752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2"/>
        <v>1965</v>
      </c>
      <c r="E170" s="257"/>
      <c r="F170" s="258">
        <v>0</v>
      </c>
      <c r="G170" s="258"/>
      <c r="H170" s="258">
        <f t="shared" si="23"/>
        <v>1965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2"/>
        <v>2190</v>
      </c>
      <c r="E171" s="257"/>
      <c r="F171" s="258">
        <v>0</v>
      </c>
      <c r="G171" s="258"/>
      <c r="H171" s="258">
        <f t="shared" si="23"/>
        <v>2190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2"/>
        <v>2426</v>
      </c>
      <c r="E172" s="257"/>
      <c r="F172" s="258">
        <v>0</v>
      </c>
      <c r="G172" s="258"/>
      <c r="H172" s="258">
        <f t="shared" si="23"/>
        <v>2426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2"/>
        <v>2673</v>
      </c>
      <c r="E173" s="271"/>
      <c r="F173" s="272">
        <v>0</v>
      </c>
      <c r="G173" s="272"/>
      <c r="H173" s="272">
        <f t="shared" si="23"/>
        <v>2673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2"/>
        <v>2932</v>
      </c>
      <c r="E174" s="257"/>
      <c r="F174" s="258">
        <v>0</v>
      </c>
      <c r="G174" s="258"/>
      <c r="H174" s="258">
        <f t="shared" si="23"/>
        <v>2932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2"/>
        <v>3202</v>
      </c>
      <c r="E175" s="257"/>
      <c r="F175" s="258">
        <v>0</v>
      </c>
      <c r="G175" s="258"/>
      <c r="H175" s="258">
        <f t="shared" si="23"/>
        <v>3202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2"/>
        <v>3483</v>
      </c>
      <c r="E176" s="257"/>
      <c r="F176" s="258">
        <v>0</v>
      </c>
      <c r="G176" s="258"/>
      <c r="H176" s="258">
        <f t="shared" si="23"/>
        <v>3483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2"/>
        <v>3775</v>
      </c>
      <c r="E177" s="257"/>
      <c r="F177" s="258">
        <v>0</v>
      </c>
      <c r="G177" s="258"/>
      <c r="H177" s="258">
        <f t="shared" si="23"/>
        <v>3775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2"/>
        <v>4078</v>
      </c>
      <c r="E178" s="271"/>
      <c r="F178" s="272">
        <v>0</v>
      </c>
      <c r="G178" s="272"/>
      <c r="H178" s="272">
        <f t="shared" si="23"/>
        <v>4078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2"/>
        <v>4392</v>
      </c>
      <c r="E179" s="257"/>
      <c r="F179" s="258">
        <v>0</v>
      </c>
      <c r="G179" s="258"/>
      <c r="H179" s="258">
        <f t="shared" si="23"/>
        <v>4392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2"/>
        <v>4717</v>
      </c>
      <c r="E180" s="257"/>
      <c r="F180" s="258">
        <v>0</v>
      </c>
      <c r="G180" s="258"/>
      <c r="H180" s="258">
        <f t="shared" si="23"/>
        <v>4717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2"/>
        <v>5053</v>
      </c>
      <c r="E181" s="257"/>
      <c r="F181" s="258">
        <v>0</v>
      </c>
      <c r="G181" s="258"/>
      <c r="H181" s="258">
        <f t="shared" si="23"/>
        <v>5053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2"/>
        <v>5400</v>
      </c>
      <c r="E182" s="257"/>
      <c r="F182" s="258">
        <v>0</v>
      </c>
      <c r="G182" s="258"/>
      <c r="H182" s="258">
        <f t="shared" si="23"/>
        <v>5400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2"/>
        <v>5758</v>
      </c>
      <c r="E183" s="271"/>
      <c r="F183" s="272">
        <v>0</v>
      </c>
      <c r="G183" s="272"/>
      <c r="H183" s="272">
        <f t="shared" si="23"/>
        <v>5758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600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204">
        <f t="shared" ref="B195:B204" si="24">B146</f>
        <v>2005</v>
      </c>
      <c r="C195" s="204"/>
      <c r="D195" s="208">
        <f t="shared" ref="D195:D204" si="25">VLOOKUP(B195,B$7:E$16,3,FALSE)</f>
        <v>0</v>
      </c>
      <c r="E195" s="244">
        <f t="shared" ref="E195:E204" si="26">((COUNT(B$195:B$204)-1)/2)+(B195-$C$4)</f>
        <v>-4.5</v>
      </c>
      <c r="F195" s="206">
        <f t="shared" ref="F195:F204" si="27">E195^2</f>
        <v>20.25</v>
      </c>
      <c r="G195" s="205">
        <f t="shared" ref="G195:G204" si="28">E$192-D195</f>
        <v>600</v>
      </c>
      <c r="H195" s="259">
        <v>0</v>
      </c>
      <c r="I195" s="245">
        <f t="shared" ref="I195:I204" si="29">LOG(G195)</f>
        <v>2.7781512503836434</v>
      </c>
      <c r="J195" s="246">
        <f>ROUND(H195-I195,6)</f>
        <v>-2.7781509999999998</v>
      </c>
      <c r="K195" s="246">
        <f t="shared" ref="K195:K204" si="30">E195*J195</f>
        <v>12.5016795</v>
      </c>
      <c r="L195" s="203"/>
      <c r="M195" s="203"/>
      <c r="N195" s="203"/>
      <c r="O195" s="203"/>
    </row>
    <row r="196" spans="1:15" ht="15" customHeight="1">
      <c r="A196" s="203"/>
      <c r="B196" s="204">
        <f t="shared" si="24"/>
        <v>2006</v>
      </c>
      <c r="C196" s="204"/>
      <c r="D196" s="208">
        <f t="shared" si="25"/>
        <v>0</v>
      </c>
      <c r="E196" s="244">
        <f t="shared" si="26"/>
        <v>-3.5</v>
      </c>
      <c r="F196" s="206">
        <f t="shared" si="27"/>
        <v>12.25</v>
      </c>
      <c r="G196" s="205">
        <f t="shared" si="28"/>
        <v>600</v>
      </c>
      <c r="H196" s="259">
        <v>0</v>
      </c>
      <c r="I196" s="245">
        <f t="shared" si="29"/>
        <v>2.7781512503836434</v>
      </c>
      <c r="J196" s="246">
        <f t="shared" ref="J196:J204" si="31">H196-I196</f>
        <v>-2.7781512503836434</v>
      </c>
      <c r="K196" s="246">
        <f t="shared" si="30"/>
        <v>9.7235293763427517</v>
      </c>
      <c r="L196" s="203"/>
      <c r="M196" s="203"/>
      <c r="N196" s="203"/>
      <c r="O196" s="203"/>
    </row>
    <row r="197" spans="1:15" ht="15" customHeight="1">
      <c r="A197" s="203"/>
      <c r="B197" s="204">
        <f t="shared" si="24"/>
        <v>2007</v>
      </c>
      <c r="C197" s="204"/>
      <c r="D197" s="208">
        <f t="shared" si="25"/>
        <v>275</v>
      </c>
      <c r="E197" s="244">
        <f t="shared" si="26"/>
        <v>-2.5</v>
      </c>
      <c r="F197" s="206">
        <f t="shared" si="27"/>
        <v>6.25</v>
      </c>
      <c r="G197" s="205">
        <f t="shared" si="28"/>
        <v>325</v>
      </c>
      <c r="H197" s="259">
        <f t="shared" ref="H197:H204" si="32">LOG(D197)</f>
        <v>2.4393326938302629</v>
      </c>
      <c r="I197" s="245">
        <f t="shared" si="29"/>
        <v>2.5118833609788744</v>
      </c>
      <c r="J197" s="246">
        <f t="shared" si="31"/>
        <v>-7.2550667148611581E-2</v>
      </c>
      <c r="K197" s="246">
        <f t="shared" si="30"/>
        <v>0.18137666787152895</v>
      </c>
      <c r="L197" s="203"/>
      <c r="M197" s="203"/>
      <c r="N197" s="203"/>
      <c r="O197" s="203"/>
    </row>
    <row r="198" spans="1:15" ht="15" customHeight="1">
      <c r="A198" s="203"/>
      <c r="B198" s="204">
        <f t="shared" si="24"/>
        <v>2008</v>
      </c>
      <c r="C198" s="204"/>
      <c r="D198" s="208">
        <f t="shared" si="25"/>
        <v>237</v>
      </c>
      <c r="E198" s="244">
        <f t="shared" si="26"/>
        <v>-1.5</v>
      </c>
      <c r="F198" s="206">
        <f t="shared" si="27"/>
        <v>2.25</v>
      </c>
      <c r="G198" s="205">
        <f t="shared" si="28"/>
        <v>363</v>
      </c>
      <c r="H198" s="259">
        <f t="shared" si="32"/>
        <v>2.374748346010104</v>
      </c>
      <c r="I198" s="245">
        <f t="shared" si="29"/>
        <v>2.5599066250361124</v>
      </c>
      <c r="J198" s="246">
        <f t="shared" si="31"/>
        <v>-0.18515827902600845</v>
      </c>
      <c r="K198" s="246">
        <f t="shared" si="30"/>
        <v>0.27773741853901268</v>
      </c>
      <c r="L198" s="203"/>
      <c r="M198" s="203"/>
      <c r="N198" s="203"/>
      <c r="O198" s="203"/>
    </row>
    <row r="199" spans="1:15" ht="15" customHeight="1">
      <c r="A199" s="203"/>
      <c r="B199" s="204">
        <f t="shared" si="24"/>
        <v>2009</v>
      </c>
      <c r="C199" s="204"/>
      <c r="D199" s="208">
        <f t="shared" si="25"/>
        <v>235</v>
      </c>
      <c r="E199" s="244">
        <f t="shared" si="26"/>
        <v>-0.5</v>
      </c>
      <c r="F199" s="206">
        <f t="shared" si="27"/>
        <v>0.25</v>
      </c>
      <c r="G199" s="205">
        <f t="shared" si="28"/>
        <v>365</v>
      </c>
      <c r="H199" s="259">
        <f t="shared" si="32"/>
        <v>2.3710678622717363</v>
      </c>
      <c r="I199" s="245">
        <f t="shared" si="29"/>
        <v>2.5622928644564746</v>
      </c>
      <c r="J199" s="246">
        <f t="shared" si="31"/>
        <v>-0.19122500218473837</v>
      </c>
      <c r="K199" s="246">
        <f t="shared" si="30"/>
        <v>9.5612501092369184E-2</v>
      </c>
      <c r="L199" s="203"/>
      <c r="M199" s="203"/>
      <c r="N199" s="203"/>
      <c r="O199" s="203"/>
    </row>
    <row r="200" spans="1:15" ht="15" customHeight="1">
      <c r="A200" s="203"/>
      <c r="B200" s="204">
        <f t="shared" si="24"/>
        <v>2010</v>
      </c>
      <c r="C200" s="204"/>
      <c r="D200" s="208">
        <f t="shared" si="25"/>
        <v>264</v>
      </c>
      <c r="E200" s="244">
        <f t="shared" si="26"/>
        <v>0.5</v>
      </c>
      <c r="F200" s="206">
        <f t="shared" si="27"/>
        <v>0.25</v>
      </c>
      <c r="G200" s="205">
        <f t="shared" si="28"/>
        <v>336</v>
      </c>
      <c r="H200" s="259">
        <f t="shared" si="32"/>
        <v>2.4216039268698313</v>
      </c>
      <c r="I200" s="245">
        <f t="shared" si="29"/>
        <v>2.5263392773898441</v>
      </c>
      <c r="J200" s="246">
        <f t="shared" si="31"/>
        <v>-0.10473535052001282</v>
      </c>
      <c r="K200" s="246">
        <f t="shared" si="30"/>
        <v>-5.2367675260006408E-2</v>
      </c>
      <c r="L200" s="203"/>
      <c r="M200" s="203"/>
      <c r="N200" s="203"/>
      <c r="O200" s="203"/>
    </row>
    <row r="201" spans="1:15" ht="15" customHeight="1">
      <c r="A201" s="203"/>
      <c r="B201" s="204">
        <f t="shared" si="24"/>
        <v>2011</v>
      </c>
      <c r="C201" s="204"/>
      <c r="D201" s="208">
        <f t="shared" si="25"/>
        <v>248</v>
      </c>
      <c r="E201" s="244">
        <f t="shared" si="26"/>
        <v>1.5</v>
      </c>
      <c r="F201" s="206">
        <f t="shared" si="27"/>
        <v>2.25</v>
      </c>
      <c r="G201" s="205">
        <f t="shared" si="28"/>
        <v>352</v>
      </c>
      <c r="H201" s="259">
        <f t="shared" si="32"/>
        <v>2.3944516808262164</v>
      </c>
      <c r="I201" s="245">
        <f t="shared" si="29"/>
        <v>2.5465426634781312</v>
      </c>
      <c r="J201" s="246">
        <f t="shared" si="31"/>
        <v>-0.15209098265191479</v>
      </c>
      <c r="K201" s="246">
        <f t="shared" si="30"/>
        <v>-0.22813647397787218</v>
      </c>
      <c r="L201" s="203"/>
      <c r="M201" s="203"/>
      <c r="N201" s="203"/>
      <c r="O201" s="203"/>
    </row>
    <row r="202" spans="1:15" ht="15" customHeight="1">
      <c r="A202" s="203"/>
      <c r="B202" s="204">
        <f t="shared" si="24"/>
        <v>2012</v>
      </c>
      <c r="C202" s="204"/>
      <c r="D202" s="208">
        <f t="shared" si="25"/>
        <v>242</v>
      </c>
      <c r="E202" s="244">
        <f t="shared" si="26"/>
        <v>2.5</v>
      </c>
      <c r="F202" s="206">
        <f t="shared" si="27"/>
        <v>6.25</v>
      </c>
      <c r="G202" s="205">
        <f t="shared" si="28"/>
        <v>358</v>
      </c>
      <c r="H202" s="259">
        <f t="shared" si="32"/>
        <v>2.3838153659804311</v>
      </c>
      <c r="I202" s="245">
        <f t="shared" si="29"/>
        <v>2.5538830266438746</v>
      </c>
      <c r="J202" s="246">
        <f t="shared" si="31"/>
        <v>-0.17006766066344348</v>
      </c>
      <c r="K202" s="246">
        <f t="shared" si="30"/>
        <v>-0.42516915165860869</v>
      </c>
      <c r="L202" s="203"/>
      <c r="M202" s="203"/>
      <c r="N202" s="203"/>
      <c r="O202" s="203"/>
    </row>
    <row r="203" spans="1:15" ht="15" customHeight="1">
      <c r="A203" s="203"/>
      <c r="B203" s="204">
        <f t="shared" si="24"/>
        <v>2013</v>
      </c>
      <c r="C203" s="204"/>
      <c r="D203" s="208">
        <f t="shared" si="25"/>
        <v>249</v>
      </c>
      <c r="E203" s="244">
        <f t="shared" si="26"/>
        <v>3.5</v>
      </c>
      <c r="F203" s="206">
        <f t="shared" si="27"/>
        <v>12.25</v>
      </c>
      <c r="G203" s="205">
        <f t="shared" si="28"/>
        <v>351</v>
      </c>
      <c r="H203" s="259">
        <f t="shared" si="32"/>
        <v>2.3961993470957363</v>
      </c>
      <c r="I203" s="245">
        <f t="shared" si="29"/>
        <v>2.5453071164658239</v>
      </c>
      <c r="J203" s="246">
        <f t="shared" si="31"/>
        <v>-0.14910776937008752</v>
      </c>
      <c r="K203" s="246">
        <f t="shared" si="30"/>
        <v>-0.52187719279530631</v>
      </c>
      <c r="L203" s="203"/>
      <c r="M203" s="203"/>
      <c r="N203" s="203"/>
      <c r="O203" s="203"/>
    </row>
    <row r="204" spans="1:15" ht="15" customHeight="1">
      <c r="A204" s="203"/>
      <c r="B204" s="204">
        <f t="shared" si="24"/>
        <v>2014</v>
      </c>
      <c r="C204" s="204"/>
      <c r="D204" s="208">
        <f t="shared" si="25"/>
        <v>264</v>
      </c>
      <c r="E204" s="244">
        <f t="shared" si="26"/>
        <v>4.5</v>
      </c>
      <c r="F204" s="206">
        <f t="shared" si="27"/>
        <v>20.25</v>
      </c>
      <c r="G204" s="205">
        <f t="shared" si="28"/>
        <v>336</v>
      </c>
      <c r="H204" s="259">
        <f t="shared" si="32"/>
        <v>2.4216039268698313</v>
      </c>
      <c r="I204" s="245">
        <f t="shared" si="29"/>
        <v>2.5263392773898441</v>
      </c>
      <c r="J204" s="246">
        <f t="shared" si="31"/>
        <v>-0.10473535052001282</v>
      </c>
      <c r="K204" s="246">
        <f t="shared" si="30"/>
        <v>-0.47130907734005767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2014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-6.6859733124684739</v>
      </c>
      <c r="K205" s="263">
        <f>SUM(K195:K204)</f>
        <v>21.081075892813807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1.5395000000000001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0.58483099999999999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3">ROUNDUP(E$192/(1+EXP(1)^(H$207-K$208*(B212-B$200+0.5))),0)</f>
        <v>450</v>
      </c>
      <c r="E212" s="208"/>
      <c r="F212" s="208">
        <v>0</v>
      </c>
      <c r="G212" s="208"/>
      <c r="H212" s="208">
        <f t="shared" ref="H212:H233" si="34">ROUND(D212*(1+F212),0)</f>
        <v>450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3"/>
        <v>506</v>
      </c>
      <c r="E213" s="269"/>
      <c r="F213" s="269">
        <v>0</v>
      </c>
      <c r="G213" s="269"/>
      <c r="H213" s="269">
        <f t="shared" si="34"/>
        <v>506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3"/>
        <v>544</v>
      </c>
      <c r="E214" s="221"/>
      <c r="F214" s="221">
        <v>0</v>
      </c>
      <c r="G214" s="221"/>
      <c r="H214" s="221">
        <f t="shared" si="34"/>
        <v>544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3"/>
        <v>568</v>
      </c>
      <c r="E215" s="221"/>
      <c r="F215" s="221">
        <v>0</v>
      </c>
      <c r="G215" s="221"/>
      <c r="H215" s="221">
        <f t="shared" si="34"/>
        <v>568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3"/>
        <v>582</v>
      </c>
      <c r="E216" s="221"/>
      <c r="F216" s="221">
        <v>0</v>
      </c>
      <c r="G216" s="221"/>
      <c r="H216" s="221">
        <f t="shared" si="34"/>
        <v>582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3"/>
        <v>590</v>
      </c>
      <c r="E217" s="221"/>
      <c r="F217" s="221">
        <v>0</v>
      </c>
      <c r="G217" s="221"/>
      <c r="H217" s="221">
        <f t="shared" si="34"/>
        <v>590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3"/>
        <v>595</v>
      </c>
      <c r="E218" s="269"/>
      <c r="F218" s="269">
        <v>0</v>
      </c>
      <c r="G218" s="269"/>
      <c r="H218" s="269">
        <f t="shared" si="34"/>
        <v>595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3"/>
        <v>597</v>
      </c>
      <c r="E219" s="221"/>
      <c r="F219" s="221">
        <v>0</v>
      </c>
      <c r="G219" s="221"/>
      <c r="H219" s="221">
        <f t="shared" si="34"/>
        <v>597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3"/>
        <v>599</v>
      </c>
      <c r="E220" s="221"/>
      <c r="F220" s="221">
        <v>0</v>
      </c>
      <c r="G220" s="221"/>
      <c r="H220" s="221">
        <f t="shared" si="34"/>
        <v>599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3"/>
        <v>599</v>
      </c>
      <c r="E221" s="221"/>
      <c r="F221" s="221">
        <v>0</v>
      </c>
      <c r="G221" s="221"/>
      <c r="H221" s="221">
        <f t="shared" si="34"/>
        <v>599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3"/>
        <v>600</v>
      </c>
      <c r="E222" s="221"/>
      <c r="F222" s="221">
        <v>0</v>
      </c>
      <c r="G222" s="221"/>
      <c r="H222" s="221">
        <f t="shared" si="34"/>
        <v>600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3"/>
        <v>600</v>
      </c>
      <c r="E223" s="269"/>
      <c r="F223" s="269">
        <v>0</v>
      </c>
      <c r="G223" s="269"/>
      <c r="H223" s="269">
        <f t="shared" si="34"/>
        <v>600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3"/>
        <v>600</v>
      </c>
      <c r="E224" s="221"/>
      <c r="F224" s="221">
        <v>0</v>
      </c>
      <c r="G224" s="221"/>
      <c r="H224" s="221">
        <f t="shared" si="34"/>
        <v>600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3"/>
        <v>600</v>
      </c>
      <c r="E225" s="221"/>
      <c r="F225" s="221">
        <v>0</v>
      </c>
      <c r="G225" s="221"/>
      <c r="H225" s="221">
        <f t="shared" si="34"/>
        <v>600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3"/>
        <v>600</v>
      </c>
      <c r="E226" s="221"/>
      <c r="F226" s="221">
        <v>0</v>
      </c>
      <c r="G226" s="221"/>
      <c r="H226" s="221">
        <f t="shared" si="34"/>
        <v>600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3"/>
        <v>600</v>
      </c>
      <c r="E227" s="221"/>
      <c r="F227" s="221">
        <v>0</v>
      </c>
      <c r="G227" s="221"/>
      <c r="H227" s="221">
        <f t="shared" si="34"/>
        <v>600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3"/>
        <v>600</v>
      </c>
      <c r="E228" s="269"/>
      <c r="F228" s="269">
        <v>0</v>
      </c>
      <c r="G228" s="269"/>
      <c r="H228" s="269">
        <f t="shared" si="34"/>
        <v>600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3"/>
        <v>600</v>
      </c>
      <c r="E229" s="221"/>
      <c r="F229" s="221">
        <v>0</v>
      </c>
      <c r="G229" s="221"/>
      <c r="H229" s="221">
        <f t="shared" si="34"/>
        <v>600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3"/>
        <v>600</v>
      </c>
      <c r="E230" s="221"/>
      <c r="F230" s="221">
        <v>0</v>
      </c>
      <c r="G230" s="221"/>
      <c r="H230" s="221">
        <f t="shared" si="34"/>
        <v>600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3"/>
        <v>600</v>
      </c>
      <c r="E231" s="221"/>
      <c r="F231" s="221">
        <v>0</v>
      </c>
      <c r="G231" s="221"/>
      <c r="H231" s="221">
        <f t="shared" si="34"/>
        <v>600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3"/>
        <v>600</v>
      </c>
      <c r="E232" s="221"/>
      <c r="F232" s="221">
        <v>0</v>
      </c>
      <c r="G232" s="221"/>
      <c r="H232" s="221">
        <f t="shared" si="34"/>
        <v>600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3"/>
        <v>600</v>
      </c>
      <c r="E233" s="269"/>
      <c r="F233" s="269">
        <v>0</v>
      </c>
      <c r="G233" s="269"/>
      <c r="H233" s="269">
        <f t="shared" si="34"/>
        <v>600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264</v>
      </c>
      <c r="E241" s="257">
        <f t="array" ref="E241">IF(B60=B241,H60)</f>
        <v>264</v>
      </c>
      <c r="F241" s="257">
        <f t="array" ref="F241">IF(B115=B241,H115)</f>
        <v>310</v>
      </c>
      <c r="G241" s="257">
        <f t="array" ref="G241">IF(B162=B241,H162)</f>
        <v>590</v>
      </c>
      <c r="H241" s="257">
        <f t="array" ref="H241">IF(B212=B241,H212)</f>
        <v>450</v>
      </c>
      <c r="I241" s="257">
        <f t="shared" ref="I241:I262" si="35">IF(G241=0,AVERAGE(D241,E241,F241,H241),AVERAGE(D241:H241))</f>
        <v>375.6</v>
      </c>
      <c r="J241" s="266">
        <f t="shared" ref="J241:J262" si="36">ROUND(AVERAGE(D241,F241:G241),0)</f>
        <v>388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293</v>
      </c>
      <c r="E242" s="271">
        <f t="array" ref="E242">IF(B61=B242,H61)</f>
        <v>262</v>
      </c>
      <c r="F242" s="271">
        <f t="array" ref="F242">IF(B116=B242,H116)</f>
        <v>335</v>
      </c>
      <c r="G242" s="271">
        <f t="array" ref="G242">IF(B163=B242,H163)</f>
        <v>720</v>
      </c>
      <c r="H242" s="271">
        <f t="array" ref="H242">IF(B213=B242,H213)</f>
        <v>506</v>
      </c>
      <c r="I242" s="271">
        <f t="shared" si="35"/>
        <v>423.2</v>
      </c>
      <c r="J242" s="273">
        <f t="shared" si="36"/>
        <v>449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323</v>
      </c>
      <c r="E243" s="257">
        <f t="array" ref="E243">IF(B62=B243,H62)</f>
        <v>261</v>
      </c>
      <c r="F243" s="257">
        <f t="array" ref="F243">IF(B117=B243,H117)</f>
        <v>359</v>
      </c>
      <c r="G243" s="257">
        <f t="array" ref="G243">IF(B164=B243,H164)</f>
        <v>862</v>
      </c>
      <c r="H243" s="257">
        <f t="array" ref="H243">IF(B214=B243,H214)</f>
        <v>544</v>
      </c>
      <c r="I243" s="257">
        <f t="shared" si="35"/>
        <v>469.8</v>
      </c>
      <c r="J243" s="266">
        <f t="shared" si="36"/>
        <v>515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352</v>
      </c>
      <c r="E244" s="257">
        <f t="array" ref="E244">IF(B63=B244,H63)</f>
        <v>259</v>
      </c>
      <c r="F244" s="257">
        <f t="array" ref="F244">IF(B118=B244,H118)</f>
        <v>383</v>
      </c>
      <c r="G244" s="257">
        <f t="array" ref="G244">IF(B165=B244,H165)</f>
        <v>1017</v>
      </c>
      <c r="H244" s="257">
        <f t="array" ref="H244">IF(B215=B244,H215)</f>
        <v>568</v>
      </c>
      <c r="I244" s="257">
        <f t="shared" si="35"/>
        <v>515.79999999999995</v>
      </c>
      <c r="J244" s="266">
        <f t="shared" si="36"/>
        <v>584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381</v>
      </c>
      <c r="E245" s="257">
        <f t="array" ref="E245">IF(B64=B245,H64)</f>
        <v>258</v>
      </c>
      <c r="F245" s="257">
        <f t="array" ref="F245">IF(B119=B245,H119)</f>
        <v>407</v>
      </c>
      <c r="G245" s="257">
        <f t="array" ref="G245">IF(B166=B245,H166)</f>
        <v>1183</v>
      </c>
      <c r="H245" s="257">
        <f t="array" ref="H245">IF(B216=B245,H216)</f>
        <v>582</v>
      </c>
      <c r="I245" s="257">
        <f t="shared" si="35"/>
        <v>562.20000000000005</v>
      </c>
      <c r="J245" s="266">
        <f t="shared" si="36"/>
        <v>657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411</v>
      </c>
      <c r="E246" s="257">
        <f t="array" ref="E246">IF(B65=B246,H65)</f>
        <v>256</v>
      </c>
      <c r="F246" s="257">
        <f t="array" ref="F246">IF(B120=B246,H120)</f>
        <v>431</v>
      </c>
      <c r="G246" s="257">
        <f t="array" ref="G246">IF(B167=B246,H167)</f>
        <v>1361</v>
      </c>
      <c r="H246" s="257">
        <f t="array" ref="H246">IF(B217=B246,H217)</f>
        <v>590</v>
      </c>
      <c r="I246" s="257">
        <f t="shared" si="35"/>
        <v>609.79999999999995</v>
      </c>
      <c r="J246" s="266">
        <f t="shared" si="36"/>
        <v>734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440</v>
      </c>
      <c r="E247" s="271">
        <f t="array" ref="E247">IF(B66=B247,H66)</f>
        <v>255</v>
      </c>
      <c r="F247" s="271">
        <f t="array" ref="F247">IF(B121=B247,H121)</f>
        <v>456</v>
      </c>
      <c r="G247" s="271">
        <f t="array" ref="G247">IF(B168=B247,H168)</f>
        <v>1551</v>
      </c>
      <c r="H247" s="271">
        <f t="array" ref="H247">IF(B218=B247,H218)</f>
        <v>595</v>
      </c>
      <c r="I247" s="271">
        <f t="shared" si="35"/>
        <v>659.4</v>
      </c>
      <c r="J247" s="273">
        <f t="shared" si="36"/>
        <v>816</v>
      </c>
      <c r="K247" s="272"/>
      <c r="L247" s="203"/>
      <c r="M247" s="203"/>
      <c r="N247" s="203"/>
      <c r="O247" s="203">
        <v>193</v>
      </c>
    </row>
    <row r="248" spans="1:15" ht="15" customHeight="1">
      <c r="A248" s="203"/>
      <c r="B248" s="220">
        <v>2021</v>
      </c>
      <c r="C248" s="221"/>
      <c r="D248" s="257">
        <f t="array" ref="D248">IF(B33=B248,H33)</f>
        <v>469</v>
      </c>
      <c r="E248" s="257">
        <f t="array" ref="E248">IF(B67=B248,H67)</f>
        <v>253</v>
      </c>
      <c r="F248" s="257">
        <f t="array" ref="F248">IF(B122=B248,H122)</f>
        <v>480</v>
      </c>
      <c r="G248" s="257">
        <f t="array" ref="G248">IF(B169=B248,H169)</f>
        <v>1752</v>
      </c>
      <c r="H248" s="257">
        <f t="array" ref="H248">IF(B219=B248,H219)</f>
        <v>597</v>
      </c>
      <c r="I248" s="257">
        <f t="shared" si="35"/>
        <v>710.2</v>
      </c>
      <c r="J248" s="266">
        <f t="shared" si="36"/>
        <v>900</v>
      </c>
      <c r="K248" s="258"/>
      <c r="L248" s="203"/>
      <c r="M248" s="203"/>
      <c r="N248" s="203"/>
      <c r="O248" s="203">
        <f>+O247*0.9</f>
        <v>173.70000000000002</v>
      </c>
    </row>
    <row r="249" spans="1:15" ht="15" customHeight="1">
      <c r="A249" s="203"/>
      <c r="B249" s="220">
        <v>2022</v>
      </c>
      <c r="C249" s="221"/>
      <c r="D249" s="257">
        <f t="array" ref="D249">IF(B34=B249,H34)</f>
        <v>498</v>
      </c>
      <c r="E249" s="257">
        <f t="array" ref="E249">IF(B68=B249,H68)</f>
        <v>252</v>
      </c>
      <c r="F249" s="257">
        <f t="array" ref="F249">IF(B123=B249,H123)</f>
        <v>504</v>
      </c>
      <c r="G249" s="257">
        <f t="array" ref="G249">IF(B170=B249,H170)</f>
        <v>1965</v>
      </c>
      <c r="H249" s="257">
        <f t="array" ref="H249">IF(B220=B249,H220)</f>
        <v>599</v>
      </c>
      <c r="I249" s="257">
        <f t="shared" si="35"/>
        <v>763.6</v>
      </c>
      <c r="J249" s="266">
        <f t="shared" si="36"/>
        <v>989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528</v>
      </c>
      <c r="E250" s="257">
        <f t="array" ref="E250">IF(B69=B250,H69)</f>
        <v>251</v>
      </c>
      <c r="F250" s="257">
        <f t="array" ref="F250">IF(B124=B250,H124)</f>
        <v>528</v>
      </c>
      <c r="G250" s="257">
        <f t="array" ref="G250">IF(B171=B250,H171)</f>
        <v>2190</v>
      </c>
      <c r="H250" s="257">
        <f t="array" ref="H250">IF(B221=B250,H221)</f>
        <v>599</v>
      </c>
      <c r="I250" s="257">
        <f t="shared" si="35"/>
        <v>819.2</v>
      </c>
      <c r="J250" s="266">
        <f t="shared" si="36"/>
        <v>1082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557</v>
      </c>
      <c r="E251" s="257">
        <f t="array" ref="E251">IF(B70=B251,H70)</f>
        <v>249</v>
      </c>
      <c r="F251" s="257">
        <f t="array" ref="F251">IF(B125=B251,H125)</f>
        <v>552</v>
      </c>
      <c r="G251" s="257">
        <f t="array" ref="G251">IF(B172=B251,H172)</f>
        <v>2426</v>
      </c>
      <c r="H251" s="257">
        <f t="array" ref="H251">IF(B222=B251,H222)</f>
        <v>600</v>
      </c>
      <c r="I251" s="257">
        <f t="shared" si="35"/>
        <v>876.8</v>
      </c>
      <c r="J251" s="266">
        <f t="shared" si="36"/>
        <v>1178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586</v>
      </c>
      <c r="E252" s="271">
        <f t="array" ref="E252">IF(B71=B252,H71)</f>
        <v>248</v>
      </c>
      <c r="F252" s="271">
        <f t="array" ref="F252">IF(B126=B252,H126)</f>
        <v>576</v>
      </c>
      <c r="G252" s="271">
        <f t="array" ref="G252">IF(B173=B252,H173)</f>
        <v>2673</v>
      </c>
      <c r="H252" s="271">
        <f t="array" ref="H252">IF(B223=B252,H223)</f>
        <v>600</v>
      </c>
      <c r="I252" s="271">
        <f t="shared" si="35"/>
        <v>936.6</v>
      </c>
      <c r="J252" s="273">
        <f t="shared" si="36"/>
        <v>1278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616</v>
      </c>
      <c r="E253" s="257">
        <f t="array" ref="E253">IF(B72=B253,H72)</f>
        <v>246</v>
      </c>
      <c r="F253" s="257">
        <f t="array" ref="F253">IF(B127=B253,H127)</f>
        <v>601</v>
      </c>
      <c r="G253" s="257">
        <f t="array" ref="G253">IF(B174=B253,H174)</f>
        <v>2932</v>
      </c>
      <c r="H253" s="257">
        <f t="array" ref="H253">IF(B224=B253,H224)</f>
        <v>600</v>
      </c>
      <c r="I253" s="257">
        <f t="shared" si="35"/>
        <v>999</v>
      </c>
      <c r="J253" s="266">
        <f t="shared" si="36"/>
        <v>1383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645</v>
      </c>
      <c r="E254" s="257">
        <f t="array" ref="E254">IF(B73=B254,H73)</f>
        <v>245</v>
      </c>
      <c r="F254" s="257">
        <f t="array" ref="F254">IF(B128=B254,H128)</f>
        <v>625</v>
      </c>
      <c r="G254" s="257">
        <f t="array" ref="G254">IF(B175=B254,H175)</f>
        <v>3202</v>
      </c>
      <c r="H254" s="257">
        <f t="array" ref="H254">IF(B225=B254,H225)</f>
        <v>600</v>
      </c>
      <c r="I254" s="257">
        <f t="shared" si="35"/>
        <v>1063.4000000000001</v>
      </c>
      <c r="J254" s="266">
        <f t="shared" si="36"/>
        <v>1491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674</v>
      </c>
      <c r="E255" s="257">
        <f t="array" ref="E255">IF(B74=B255,H74)</f>
        <v>243</v>
      </c>
      <c r="F255" s="257">
        <f t="array" ref="F255">IF(B129=B255,H129)</f>
        <v>649</v>
      </c>
      <c r="G255" s="257">
        <f t="array" ref="G255">IF(B176=B255,H176)</f>
        <v>3483</v>
      </c>
      <c r="H255" s="257">
        <f t="array" ref="H255">IF(B226=B255,H226)</f>
        <v>600</v>
      </c>
      <c r="I255" s="257">
        <f t="shared" si="35"/>
        <v>1129.8</v>
      </c>
      <c r="J255" s="266">
        <f t="shared" si="36"/>
        <v>1602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704</v>
      </c>
      <c r="E256" s="257">
        <f t="array" ref="E256">IF(B75=B256,H75)</f>
        <v>242</v>
      </c>
      <c r="F256" s="257">
        <f t="array" ref="F256">IF(B130=B256,H130)</f>
        <v>673</v>
      </c>
      <c r="G256" s="257">
        <f t="array" ref="G256">IF(B177=B256,H177)</f>
        <v>3775</v>
      </c>
      <c r="H256" s="257">
        <f t="array" ref="H256">IF(B227=B256,H227)</f>
        <v>600</v>
      </c>
      <c r="I256" s="257">
        <f t="shared" si="35"/>
        <v>1198.8</v>
      </c>
      <c r="J256" s="266">
        <f t="shared" si="36"/>
        <v>1717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733</v>
      </c>
      <c r="E257" s="271">
        <f t="array" ref="E257">IF(B76=B257,H76)</f>
        <v>240</v>
      </c>
      <c r="F257" s="271">
        <f t="array" ref="F257">IF(B131=B257,H131)</f>
        <v>697</v>
      </c>
      <c r="G257" s="271">
        <f t="array" ref="G257">IF(B178=B257,H178)</f>
        <v>4078</v>
      </c>
      <c r="H257" s="271">
        <f t="array" ref="H257">IF(B228=B257,H228)</f>
        <v>600</v>
      </c>
      <c r="I257" s="271">
        <f t="shared" si="35"/>
        <v>1269.5999999999999</v>
      </c>
      <c r="J257" s="273">
        <f t="shared" si="36"/>
        <v>1836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762</v>
      </c>
      <c r="E258" s="257">
        <f t="array" ref="E258">IF(B77=B258,H77)</f>
        <v>239</v>
      </c>
      <c r="F258" s="257">
        <f t="array" ref="F258">IF(B132=B258,H132)</f>
        <v>722</v>
      </c>
      <c r="G258" s="257">
        <f t="array" ref="G258">IF(B179=B258,H179)</f>
        <v>4392</v>
      </c>
      <c r="H258" s="257">
        <f t="array" ref="H258">IF(B229=B258,H229)</f>
        <v>600</v>
      </c>
      <c r="I258" s="257">
        <f t="shared" si="35"/>
        <v>1343</v>
      </c>
      <c r="J258" s="266">
        <f t="shared" si="36"/>
        <v>1959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791</v>
      </c>
      <c r="E259" s="257">
        <f t="array" ref="E259">IF(B78=B259,H78)</f>
        <v>238</v>
      </c>
      <c r="F259" s="257">
        <f t="array" ref="F259">IF(B133=B259,H133)</f>
        <v>746</v>
      </c>
      <c r="G259" s="257">
        <f t="array" ref="G259">IF(B180=B259,H180)</f>
        <v>4717</v>
      </c>
      <c r="H259" s="257">
        <f t="array" ref="H259">IF(B230=B259,H230)</f>
        <v>600</v>
      </c>
      <c r="I259" s="257">
        <f t="shared" si="35"/>
        <v>1418.4</v>
      </c>
      <c r="J259" s="266">
        <f t="shared" si="36"/>
        <v>2085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821</v>
      </c>
      <c r="E260" s="257">
        <f t="array" ref="E260">IF(B79=B260,H79)</f>
        <v>236</v>
      </c>
      <c r="F260" s="257">
        <f t="array" ref="F260">IF(B134=B260,H134)</f>
        <v>770</v>
      </c>
      <c r="G260" s="257">
        <f t="array" ref="G260">IF(B181=B260,H181)</f>
        <v>5053</v>
      </c>
      <c r="H260" s="257">
        <f t="array" ref="H260">IF(B231=B260,H231)</f>
        <v>600</v>
      </c>
      <c r="I260" s="257">
        <f t="shared" si="35"/>
        <v>1496</v>
      </c>
      <c r="J260" s="266">
        <f t="shared" si="36"/>
        <v>2215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850</v>
      </c>
      <c r="E261" s="257">
        <f t="array" ref="E261">IF(B80=B261,H80)</f>
        <v>235</v>
      </c>
      <c r="F261" s="257">
        <f t="array" ref="F261">IF(B135=B261,H135)</f>
        <v>794</v>
      </c>
      <c r="G261" s="257">
        <f t="array" ref="G261">IF(B182=B261,H182)</f>
        <v>5400</v>
      </c>
      <c r="H261" s="257">
        <f t="array" ref="H261">IF(B232=B261,H232)</f>
        <v>600</v>
      </c>
      <c r="I261" s="257">
        <f t="shared" si="35"/>
        <v>1575.8</v>
      </c>
      <c r="J261" s="266">
        <f t="shared" si="36"/>
        <v>2348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879</v>
      </c>
      <c r="E262" s="271">
        <f t="array" ref="E262">IF(B81=B262,H81)</f>
        <v>234</v>
      </c>
      <c r="F262" s="271">
        <f t="array" ref="F262">IF(B136=B262,H136)</f>
        <v>818</v>
      </c>
      <c r="G262" s="271">
        <f t="array" ref="G262">IF(B183=B262,H183)</f>
        <v>5758</v>
      </c>
      <c r="H262" s="271">
        <f t="array" ref="H262">IF(B233=B262,H233)</f>
        <v>600</v>
      </c>
      <c r="I262" s="271">
        <f t="shared" si="35"/>
        <v>1657.8</v>
      </c>
      <c r="J262" s="273">
        <f t="shared" si="36"/>
        <v>2485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381" t="s">
        <v>1407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1783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204">
        <v>2010</v>
      </c>
      <c r="C7" s="204"/>
      <c r="D7" s="205">
        <f>+'감곡면(10년) (사)'!D12</f>
        <v>264</v>
      </c>
      <c r="E7" s="205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204">
        <f>+B7+1</f>
        <v>2011</v>
      </c>
      <c r="C8" s="204"/>
      <c r="D8" s="205">
        <f>+'감곡면(10년) (사)'!D13</f>
        <v>248</v>
      </c>
      <c r="E8" s="205"/>
      <c r="F8" s="206">
        <f>D8-D7</f>
        <v>-16</v>
      </c>
      <c r="G8" s="206"/>
      <c r="H8" s="207">
        <f>ROUND(F8/D7*100,2)</f>
        <v>-6.06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204">
        <f>+B8+1</f>
        <v>2012</v>
      </c>
      <c r="C9" s="204"/>
      <c r="D9" s="205">
        <f>+'감곡면(10년) (사)'!D14</f>
        <v>242</v>
      </c>
      <c r="E9" s="205"/>
      <c r="F9" s="206">
        <f>D9-D8</f>
        <v>-6</v>
      </c>
      <c r="G9" s="206"/>
      <c r="H9" s="207">
        <f>ROUND(F9/D8*100,2)</f>
        <v>-2.42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204">
        <f>+B9+1</f>
        <v>2013</v>
      </c>
      <c r="C10" s="204"/>
      <c r="D10" s="205">
        <f>+'감곡면(10년) (사)'!D15</f>
        <v>249</v>
      </c>
      <c r="E10" s="205"/>
      <c r="F10" s="206">
        <f>D10-D9</f>
        <v>7</v>
      </c>
      <c r="G10" s="206"/>
      <c r="H10" s="207">
        <f>ROUND(F10/D9*100,2)</f>
        <v>2.89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204">
        <f>+B10+1</f>
        <v>2014</v>
      </c>
      <c r="C11" s="204"/>
      <c r="D11" s="205">
        <f>+'감곡면(10년) (사)'!D16</f>
        <v>264</v>
      </c>
      <c r="E11" s="205"/>
      <c r="F11" s="206">
        <f>D11-D10</f>
        <v>15</v>
      </c>
      <c r="G11" s="206"/>
      <c r="H11" s="207">
        <f>ROUND(F11/D10*100,2)</f>
        <v>6.02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1267</v>
      </c>
      <c r="E12" s="214"/>
      <c r="F12" s="215"/>
      <c r="G12" s="215"/>
      <c r="H12" s="216">
        <f>SUM(H7:H11)</f>
        <v>0.42999999999999972</v>
      </c>
      <c r="I12" s="216"/>
      <c r="J12" s="217">
        <f>ROUND(AVERAGE(H7:H11),1)</f>
        <v>0.1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264</v>
      </c>
      <c r="E21" s="221"/>
      <c r="F21" s="221">
        <v>0</v>
      </c>
      <c r="G21" s="221"/>
      <c r="H21" s="221">
        <f t="shared" ref="H21:H42" si="1">ROUND(D21*(1+F21),0)</f>
        <v>264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264</v>
      </c>
      <c r="E22" s="269"/>
      <c r="F22" s="269">
        <v>0</v>
      </c>
      <c r="G22" s="269"/>
      <c r="H22" s="269">
        <f t="shared" si="1"/>
        <v>264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264</v>
      </c>
      <c r="E23" s="221"/>
      <c r="F23" s="221">
        <v>0</v>
      </c>
      <c r="G23" s="221"/>
      <c r="H23" s="221">
        <f t="shared" si="1"/>
        <v>264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264</v>
      </c>
      <c r="E24" s="221"/>
      <c r="F24" s="221">
        <v>0</v>
      </c>
      <c r="G24" s="221"/>
      <c r="H24" s="221">
        <f t="shared" si="1"/>
        <v>264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264</v>
      </c>
      <c r="E25" s="221"/>
      <c r="F25" s="221">
        <v>0</v>
      </c>
      <c r="G25" s="221"/>
      <c r="H25" s="221">
        <f t="shared" si="1"/>
        <v>264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264</v>
      </c>
      <c r="E26" s="221"/>
      <c r="F26" s="221">
        <v>0</v>
      </c>
      <c r="G26" s="221"/>
      <c r="H26" s="221">
        <f t="shared" si="1"/>
        <v>264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264</v>
      </c>
      <c r="E27" s="269"/>
      <c r="F27" s="269">
        <v>0</v>
      </c>
      <c r="G27" s="269"/>
      <c r="H27" s="269">
        <f t="shared" si="1"/>
        <v>264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264</v>
      </c>
      <c r="E28" s="221"/>
      <c r="F28" s="221">
        <v>0</v>
      </c>
      <c r="G28" s="221"/>
      <c r="H28" s="221">
        <f t="shared" si="1"/>
        <v>264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264</v>
      </c>
      <c r="E29" s="221"/>
      <c r="F29" s="221">
        <v>0</v>
      </c>
      <c r="G29" s="221"/>
      <c r="H29" s="221">
        <f t="shared" si="1"/>
        <v>264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264</v>
      </c>
      <c r="E30" s="221"/>
      <c r="F30" s="221">
        <v>0</v>
      </c>
      <c r="G30" s="221"/>
      <c r="H30" s="221">
        <f t="shared" si="1"/>
        <v>264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264</v>
      </c>
      <c r="E31" s="221"/>
      <c r="F31" s="221">
        <v>0</v>
      </c>
      <c r="G31" s="221"/>
      <c r="H31" s="221">
        <f t="shared" si="1"/>
        <v>264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264</v>
      </c>
      <c r="E32" s="269"/>
      <c r="F32" s="269">
        <v>0</v>
      </c>
      <c r="G32" s="269"/>
      <c r="H32" s="269">
        <f t="shared" si="1"/>
        <v>264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264</v>
      </c>
      <c r="E33" s="221"/>
      <c r="F33" s="221">
        <v>0</v>
      </c>
      <c r="G33" s="221"/>
      <c r="H33" s="221">
        <f t="shared" si="1"/>
        <v>264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264</v>
      </c>
      <c r="E34" s="221"/>
      <c r="F34" s="221">
        <v>0</v>
      </c>
      <c r="G34" s="221"/>
      <c r="H34" s="221">
        <f t="shared" si="1"/>
        <v>264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264</v>
      </c>
      <c r="E35" s="221"/>
      <c r="F35" s="221">
        <v>0</v>
      </c>
      <c r="G35" s="221"/>
      <c r="H35" s="221">
        <f t="shared" si="1"/>
        <v>264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264</v>
      </c>
      <c r="E36" s="221"/>
      <c r="F36" s="221">
        <v>0</v>
      </c>
      <c r="G36" s="221"/>
      <c r="H36" s="221">
        <f t="shared" si="1"/>
        <v>264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264</v>
      </c>
      <c r="E37" s="269"/>
      <c r="F37" s="269">
        <v>0</v>
      </c>
      <c r="G37" s="269"/>
      <c r="H37" s="269">
        <f t="shared" si="1"/>
        <v>264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264</v>
      </c>
      <c r="E38" s="221"/>
      <c r="F38" s="221">
        <v>0</v>
      </c>
      <c r="G38" s="221"/>
      <c r="H38" s="221">
        <f t="shared" si="1"/>
        <v>264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264</v>
      </c>
      <c r="E39" s="221"/>
      <c r="F39" s="221">
        <v>0</v>
      </c>
      <c r="G39" s="221"/>
      <c r="H39" s="221">
        <f t="shared" si="1"/>
        <v>264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264</v>
      </c>
      <c r="E40" s="221"/>
      <c r="F40" s="221">
        <v>0</v>
      </c>
      <c r="G40" s="221"/>
      <c r="H40" s="221">
        <f t="shared" si="1"/>
        <v>264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264</v>
      </c>
      <c r="E41" s="221"/>
      <c r="F41" s="221">
        <v>0</v>
      </c>
      <c r="G41" s="221"/>
      <c r="H41" s="221">
        <f t="shared" si="1"/>
        <v>264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264</v>
      </c>
      <c r="E42" s="269"/>
      <c r="F42" s="269">
        <v>0</v>
      </c>
      <c r="G42" s="269"/>
      <c r="H42" s="269">
        <f t="shared" si="1"/>
        <v>264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264</v>
      </c>
      <c r="F43" s="226"/>
      <c r="G43" s="224" t="s">
        <v>162</v>
      </c>
      <c r="H43" s="224">
        <f>ROUND((D$11-D$7)/(COUNT(D$7:D$11)-1),1)</f>
        <v>0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264</v>
      </c>
      <c r="E55" s="221"/>
      <c r="F55" s="221">
        <v>0</v>
      </c>
      <c r="G55" s="221"/>
      <c r="H55" s="221">
        <f t="shared" ref="H55:H76" si="3">ROUND(D55*(1+F55),0)</f>
        <v>264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264</v>
      </c>
      <c r="E56" s="269"/>
      <c r="F56" s="269">
        <v>0</v>
      </c>
      <c r="G56" s="269"/>
      <c r="H56" s="269">
        <f t="shared" si="3"/>
        <v>264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264</v>
      </c>
      <c r="E57" s="221"/>
      <c r="F57" s="221">
        <v>0</v>
      </c>
      <c r="G57" s="221"/>
      <c r="H57" s="221">
        <f t="shared" si="3"/>
        <v>264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264</v>
      </c>
      <c r="E58" s="221"/>
      <c r="F58" s="221">
        <v>0</v>
      </c>
      <c r="G58" s="221"/>
      <c r="H58" s="221">
        <f t="shared" si="3"/>
        <v>264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264</v>
      </c>
      <c r="E59" s="221"/>
      <c r="F59" s="221">
        <v>0</v>
      </c>
      <c r="G59" s="221"/>
      <c r="H59" s="221">
        <f t="shared" si="3"/>
        <v>264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264</v>
      </c>
      <c r="E60" s="221"/>
      <c r="F60" s="221">
        <v>0</v>
      </c>
      <c r="G60" s="221"/>
      <c r="H60" s="221">
        <f t="shared" si="3"/>
        <v>264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264</v>
      </c>
      <c r="E61" s="269"/>
      <c r="F61" s="269">
        <v>0</v>
      </c>
      <c r="G61" s="269"/>
      <c r="H61" s="269">
        <f t="shared" si="3"/>
        <v>264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264</v>
      </c>
      <c r="E62" s="221"/>
      <c r="F62" s="221">
        <v>0</v>
      </c>
      <c r="G62" s="221"/>
      <c r="H62" s="221">
        <f t="shared" si="3"/>
        <v>264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264</v>
      </c>
      <c r="E63" s="221"/>
      <c r="F63" s="221">
        <v>0</v>
      </c>
      <c r="G63" s="221"/>
      <c r="H63" s="221">
        <f t="shared" si="3"/>
        <v>264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264</v>
      </c>
      <c r="E64" s="221"/>
      <c r="F64" s="221">
        <v>0</v>
      </c>
      <c r="G64" s="221"/>
      <c r="H64" s="221">
        <f t="shared" si="3"/>
        <v>264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264</v>
      </c>
      <c r="E65" s="221"/>
      <c r="F65" s="221">
        <v>0</v>
      </c>
      <c r="G65" s="221"/>
      <c r="H65" s="221">
        <f t="shared" si="3"/>
        <v>264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264</v>
      </c>
      <c r="E66" s="269"/>
      <c r="F66" s="269">
        <v>0</v>
      </c>
      <c r="G66" s="269"/>
      <c r="H66" s="269">
        <f t="shared" si="3"/>
        <v>264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264</v>
      </c>
      <c r="E67" s="221"/>
      <c r="F67" s="221">
        <v>0</v>
      </c>
      <c r="G67" s="221"/>
      <c r="H67" s="221">
        <f t="shared" si="3"/>
        <v>264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264</v>
      </c>
      <c r="E68" s="221"/>
      <c r="F68" s="221">
        <v>0</v>
      </c>
      <c r="G68" s="221"/>
      <c r="H68" s="221">
        <f t="shared" si="3"/>
        <v>264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264</v>
      </c>
      <c r="E69" s="221"/>
      <c r="F69" s="221">
        <v>0</v>
      </c>
      <c r="G69" s="221"/>
      <c r="H69" s="221">
        <f t="shared" si="3"/>
        <v>264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264</v>
      </c>
      <c r="E70" s="221"/>
      <c r="F70" s="221">
        <v>0</v>
      </c>
      <c r="G70" s="221"/>
      <c r="H70" s="221">
        <f t="shared" si="3"/>
        <v>264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264</v>
      </c>
      <c r="E71" s="269"/>
      <c r="F71" s="269">
        <v>0</v>
      </c>
      <c r="G71" s="269"/>
      <c r="H71" s="269">
        <f t="shared" si="3"/>
        <v>264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264</v>
      </c>
      <c r="E72" s="221"/>
      <c r="F72" s="221">
        <v>0</v>
      </c>
      <c r="G72" s="221"/>
      <c r="H72" s="221">
        <f t="shared" si="3"/>
        <v>264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264</v>
      </c>
      <c r="E73" s="221"/>
      <c r="F73" s="221">
        <v>0</v>
      </c>
      <c r="G73" s="221"/>
      <c r="H73" s="221">
        <f t="shared" si="3"/>
        <v>264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264</v>
      </c>
      <c r="E74" s="221"/>
      <c r="F74" s="221">
        <v>0</v>
      </c>
      <c r="G74" s="221"/>
      <c r="H74" s="221">
        <f t="shared" si="3"/>
        <v>264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264</v>
      </c>
      <c r="E75" s="221"/>
      <c r="F75" s="221">
        <v>0</v>
      </c>
      <c r="G75" s="221"/>
      <c r="H75" s="221">
        <f t="shared" si="3"/>
        <v>264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264</v>
      </c>
      <c r="E76" s="269"/>
      <c r="F76" s="269">
        <v>0</v>
      </c>
      <c r="G76" s="269"/>
      <c r="H76" s="269">
        <f t="shared" si="3"/>
        <v>264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264</v>
      </c>
      <c r="F77" s="226"/>
      <c r="G77" s="224" t="s">
        <v>179</v>
      </c>
      <c r="H77" s="224">
        <f>ROUND((E$77/D$7)^(1/(COUNT(D$7:D$11)-1)),6)</f>
        <v>1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204">
        <f>B7</f>
        <v>2010</v>
      </c>
      <c r="C94" s="204"/>
      <c r="D94" s="208">
        <f>VLOOKUP(B94,B$7:E$11,3,FALSE)</f>
        <v>264</v>
      </c>
      <c r="E94" s="204">
        <f>((COUNT(B$94:B$98)-1)/2)+(B94-$C$4)</f>
        <v>-2</v>
      </c>
      <c r="F94" s="208">
        <f>E94^2</f>
        <v>4</v>
      </c>
      <c r="G94" s="206"/>
      <c r="H94" s="230">
        <f>ROUND(D94*E94,2)</f>
        <v>-528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204">
        <f>B8</f>
        <v>2011</v>
      </c>
      <c r="C95" s="204"/>
      <c r="D95" s="208">
        <f>VLOOKUP(B95,B$7:E$11,3,FALSE)</f>
        <v>248</v>
      </c>
      <c r="E95" s="204">
        <f>((COUNT(B$94:B$98)-1)/2)+(B95-$C$4)</f>
        <v>-1</v>
      </c>
      <c r="F95" s="208">
        <f>E95^2</f>
        <v>1</v>
      </c>
      <c r="G95" s="206"/>
      <c r="H95" s="230">
        <f>ROUND(D95*E95,2)</f>
        <v>-248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204">
        <f>B9</f>
        <v>2012</v>
      </c>
      <c r="C96" s="204"/>
      <c r="D96" s="208">
        <f>VLOOKUP(B96,B$7:E$11,3,FALSE)</f>
        <v>242</v>
      </c>
      <c r="E96" s="204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204">
        <f>B10</f>
        <v>2013</v>
      </c>
      <c r="C97" s="204"/>
      <c r="D97" s="208">
        <f>VLOOKUP(B97,B$7:E$11,3,FALSE)</f>
        <v>249</v>
      </c>
      <c r="E97" s="204">
        <f>((COUNT(B$94:B$98)-1)/2)+(B97-$C$4)</f>
        <v>1</v>
      </c>
      <c r="F97" s="208">
        <f>E97^2</f>
        <v>1</v>
      </c>
      <c r="G97" s="206"/>
      <c r="H97" s="230">
        <f>ROUND(D97*E97,2)</f>
        <v>249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204">
        <f>B11</f>
        <v>2014</v>
      </c>
      <c r="C98" s="204"/>
      <c r="D98" s="208">
        <f>VLOOKUP(B98,B$7:E$11,3,FALSE)</f>
        <v>264</v>
      </c>
      <c r="E98" s="204">
        <f>((COUNT(B$94:B$98)-1)/2)+(B98-$C$4)</f>
        <v>2</v>
      </c>
      <c r="F98" s="208">
        <f>E98^2</f>
        <v>4</v>
      </c>
      <c r="G98" s="206"/>
      <c r="H98" s="230">
        <f>ROUND(D98*E98,2)</f>
        <v>528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1267</v>
      </c>
      <c r="E99" s="215"/>
      <c r="F99" s="233">
        <f>ROUND(SUM(F94:F98),0)</f>
        <v>10</v>
      </c>
      <c r="G99" s="212"/>
      <c r="H99" s="211">
        <f>SUM(H94:H98)</f>
        <v>1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0.1</v>
      </c>
      <c r="H100" s="236" t="s">
        <v>199</v>
      </c>
      <c r="I100" s="201"/>
      <c r="J100" s="201"/>
      <c r="K100" s="201">
        <f>ROUND((F99*D99-H99*E99)/(COUNT(B$94:B$98)*F99-E99*E99),0)</f>
        <v>253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254</v>
      </c>
      <c r="E105" s="221"/>
      <c r="F105" s="221">
        <v>0</v>
      </c>
      <c r="G105" s="221"/>
      <c r="H105" s="221">
        <f t="shared" ref="H105:H126" si="5">ROUND(D105*(1+F105),0)</f>
        <v>254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254</v>
      </c>
      <c r="E106" s="269"/>
      <c r="F106" s="269">
        <v>0</v>
      </c>
      <c r="G106" s="269"/>
      <c r="H106" s="269">
        <f t="shared" si="5"/>
        <v>254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254</v>
      </c>
      <c r="E107" s="221"/>
      <c r="F107" s="221">
        <v>0</v>
      </c>
      <c r="G107" s="221"/>
      <c r="H107" s="221">
        <f t="shared" si="5"/>
        <v>254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254</v>
      </c>
      <c r="E108" s="221"/>
      <c r="F108" s="221">
        <v>0</v>
      </c>
      <c r="G108" s="221"/>
      <c r="H108" s="221">
        <f t="shared" si="5"/>
        <v>254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254</v>
      </c>
      <c r="E109" s="221"/>
      <c r="F109" s="221">
        <v>0</v>
      </c>
      <c r="G109" s="221"/>
      <c r="H109" s="221">
        <f t="shared" si="5"/>
        <v>254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254</v>
      </c>
      <c r="E110" s="221"/>
      <c r="F110" s="221">
        <v>0</v>
      </c>
      <c r="G110" s="221"/>
      <c r="H110" s="221">
        <f t="shared" si="5"/>
        <v>254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254</v>
      </c>
      <c r="E111" s="269"/>
      <c r="F111" s="269">
        <v>0</v>
      </c>
      <c r="G111" s="269"/>
      <c r="H111" s="269">
        <f t="shared" si="5"/>
        <v>254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254</v>
      </c>
      <c r="E112" s="221"/>
      <c r="F112" s="221">
        <v>0</v>
      </c>
      <c r="G112" s="221"/>
      <c r="H112" s="221">
        <f t="shared" si="5"/>
        <v>254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254</v>
      </c>
      <c r="E113" s="221"/>
      <c r="F113" s="221">
        <v>0</v>
      </c>
      <c r="G113" s="221"/>
      <c r="H113" s="221">
        <f t="shared" si="5"/>
        <v>254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255</v>
      </c>
      <c r="E114" s="221"/>
      <c r="F114" s="221">
        <v>0</v>
      </c>
      <c r="G114" s="221"/>
      <c r="H114" s="221">
        <f t="shared" si="5"/>
        <v>255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255</v>
      </c>
      <c r="E115" s="221"/>
      <c r="F115" s="221">
        <v>0</v>
      </c>
      <c r="G115" s="221"/>
      <c r="H115" s="221">
        <f t="shared" si="5"/>
        <v>255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255</v>
      </c>
      <c r="E116" s="269"/>
      <c r="F116" s="269">
        <v>0</v>
      </c>
      <c r="G116" s="269"/>
      <c r="H116" s="269">
        <f t="shared" si="5"/>
        <v>255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255</v>
      </c>
      <c r="E117" s="221"/>
      <c r="F117" s="221">
        <v>0</v>
      </c>
      <c r="G117" s="221"/>
      <c r="H117" s="221">
        <f t="shared" si="5"/>
        <v>255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255</v>
      </c>
      <c r="E118" s="221"/>
      <c r="F118" s="221">
        <v>0</v>
      </c>
      <c r="G118" s="221"/>
      <c r="H118" s="221">
        <f t="shared" si="5"/>
        <v>255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255</v>
      </c>
      <c r="E119" s="221"/>
      <c r="F119" s="221">
        <v>0</v>
      </c>
      <c r="G119" s="221"/>
      <c r="H119" s="221">
        <f t="shared" si="5"/>
        <v>255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255</v>
      </c>
      <c r="E120" s="221"/>
      <c r="F120" s="221">
        <v>0</v>
      </c>
      <c r="G120" s="221"/>
      <c r="H120" s="221">
        <f t="shared" si="5"/>
        <v>255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255</v>
      </c>
      <c r="E121" s="269"/>
      <c r="F121" s="269">
        <v>0</v>
      </c>
      <c r="G121" s="269"/>
      <c r="H121" s="269">
        <f t="shared" si="5"/>
        <v>255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255</v>
      </c>
      <c r="E122" s="221"/>
      <c r="F122" s="221">
        <v>0</v>
      </c>
      <c r="G122" s="221"/>
      <c r="H122" s="221">
        <f t="shared" si="5"/>
        <v>255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255</v>
      </c>
      <c r="E123" s="221"/>
      <c r="F123" s="221">
        <v>0</v>
      </c>
      <c r="G123" s="221"/>
      <c r="H123" s="221">
        <f t="shared" si="5"/>
        <v>255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256</v>
      </c>
      <c r="E124" s="221"/>
      <c r="F124" s="221">
        <v>0</v>
      </c>
      <c r="G124" s="221"/>
      <c r="H124" s="221">
        <f t="shared" si="5"/>
        <v>256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256</v>
      </c>
      <c r="E125" s="221"/>
      <c r="F125" s="221">
        <v>0</v>
      </c>
      <c r="G125" s="221"/>
      <c r="H125" s="221">
        <f t="shared" si="5"/>
        <v>256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256</v>
      </c>
      <c r="E126" s="269"/>
      <c r="F126" s="269">
        <v>0</v>
      </c>
      <c r="G126" s="269"/>
      <c r="H126" s="269">
        <f t="shared" si="5"/>
        <v>256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204">
        <f>B94</f>
        <v>2010</v>
      </c>
      <c r="C136" s="204"/>
      <c r="D136" s="208">
        <f>VLOOKUP(B136,B$7:E$11,3,FALSE)</f>
        <v>264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204">
        <f>B95</f>
        <v>2011</v>
      </c>
      <c r="C137" s="204"/>
      <c r="D137" s="208">
        <f>VLOOKUP(B137,B$7:E$11,3,FALSE)</f>
        <v>248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16</v>
      </c>
      <c r="I137" s="231"/>
      <c r="J137" s="247">
        <f>IF(H137="","",LOG(H137))</f>
        <v>1.2041199826559248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204">
        <f>B96</f>
        <v>2012</v>
      </c>
      <c r="C138" s="204"/>
      <c r="D138" s="208">
        <f>VLOOKUP(B138,B$7:E$11,3,FALSE)</f>
        <v>242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22</v>
      </c>
      <c r="I138" s="231"/>
      <c r="J138" s="247">
        <f>IF(H138="","",LOG(H138))</f>
        <v>1.3424226808222062</v>
      </c>
      <c r="K138" s="247">
        <f>IF(J138="","",J138*F138)</f>
        <v>0.40410949378713873</v>
      </c>
      <c r="L138" s="203"/>
      <c r="M138" s="203"/>
      <c r="N138" s="203"/>
      <c r="O138" s="203"/>
    </row>
    <row r="139" spans="1:15" ht="15" customHeight="1">
      <c r="A139" s="203"/>
      <c r="B139" s="204">
        <f>B97</f>
        <v>2013</v>
      </c>
      <c r="C139" s="204"/>
      <c r="D139" s="208">
        <f>VLOOKUP(B139,B$7:E$11,3,FALSE)</f>
        <v>249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15</v>
      </c>
      <c r="I139" s="231"/>
      <c r="J139" s="247">
        <f>IF(H139="","",LOG(H139))</f>
        <v>1.1760912590556813</v>
      </c>
      <c r="K139" s="247">
        <f>IF(J139="","",J139*F139)</f>
        <v>0.56113813718547423</v>
      </c>
      <c r="L139" s="203"/>
      <c r="M139" s="203"/>
      <c r="N139" s="203"/>
      <c r="O139" s="203"/>
    </row>
    <row r="140" spans="1:15" ht="15" customHeight="1">
      <c r="A140" s="203"/>
      <c r="B140" s="204">
        <f>B98</f>
        <v>2014</v>
      </c>
      <c r="C140" s="204"/>
      <c r="D140" s="978">
        <f>VLOOKUP(B140,B$7:E$11,3,FALSE)+0.01</f>
        <v>264.01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9.9999999999909051E-3</v>
      </c>
      <c r="I140" s="231"/>
      <c r="J140" s="247">
        <f>IF(H140="","",LOG(H140))</f>
        <v>-2.0000000000003948</v>
      </c>
      <c r="K140" s="247">
        <f>IF(J140="","",J140*F140)</f>
        <v>-1.2041199826561624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1.7226339225334173</v>
      </c>
      <c r="K141" s="253">
        <f>IF(K140="","",SUM(K136:K140))</f>
        <v>-0.23887235168354937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19.221365081076293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-4.0747900000000001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265</v>
      </c>
      <c r="E147" s="257"/>
      <c r="F147" s="205">
        <v>0</v>
      </c>
      <c r="G147" s="205"/>
      <c r="H147" s="205">
        <f t="shared" ref="H147:H168" si="7">ROUND(D147*(1+F147),0)</f>
        <v>265</v>
      </c>
      <c r="I147" s="205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265</v>
      </c>
      <c r="E148" s="271"/>
      <c r="F148" s="272">
        <v>0</v>
      </c>
      <c r="G148" s="272"/>
      <c r="H148" s="272">
        <f t="shared" si="7"/>
        <v>265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265</v>
      </c>
      <c r="E149" s="257"/>
      <c r="F149" s="258">
        <v>0</v>
      </c>
      <c r="G149" s="258"/>
      <c r="H149" s="258">
        <f t="shared" si="7"/>
        <v>265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265</v>
      </c>
      <c r="E150" s="257"/>
      <c r="F150" s="258">
        <v>0</v>
      </c>
      <c r="G150" s="258"/>
      <c r="H150" s="258">
        <f t="shared" si="7"/>
        <v>265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265</v>
      </c>
      <c r="E151" s="257"/>
      <c r="F151" s="258">
        <v>0</v>
      </c>
      <c r="G151" s="258"/>
      <c r="H151" s="258">
        <f t="shared" si="7"/>
        <v>265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265</v>
      </c>
      <c r="E152" s="257"/>
      <c r="F152" s="258">
        <v>0</v>
      </c>
      <c r="G152" s="258"/>
      <c r="H152" s="258">
        <f t="shared" si="7"/>
        <v>265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265</v>
      </c>
      <c r="E153" s="271"/>
      <c r="F153" s="272">
        <v>0</v>
      </c>
      <c r="G153" s="272"/>
      <c r="H153" s="272">
        <f t="shared" si="7"/>
        <v>265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265</v>
      </c>
      <c r="E154" s="257"/>
      <c r="F154" s="258">
        <v>0</v>
      </c>
      <c r="G154" s="258"/>
      <c r="H154" s="258">
        <f t="shared" si="7"/>
        <v>265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265</v>
      </c>
      <c r="E155" s="257"/>
      <c r="F155" s="258">
        <v>0</v>
      </c>
      <c r="G155" s="258"/>
      <c r="H155" s="258">
        <f t="shared" si="7"/>
        <v>265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265</v>
      </c>
      <c r="E156" s="257"/>
      <c r="F156" s="258">
        <v>0</v>
      </c>
      <c r="G156" s="258"/>
      <c r="H156" s="258">
        <f t="shared" si="7"/>
        <v>265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265</v>
      </c>
      <c r="E157" s="257"/>
      <c r="F157" s="258">
        <v>0</v>
      </c>
      <c r="G157" s="258"/>
      <c r="H157" s="258">
        <f t="shared" si="7"/>
        <v>265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265</v>
      </c>
      <c r="E158" s="271"/>
      <c r="F158" s="272">
        <v>0</v>
      </c>
      <c r="G158" s="272"/>
      <c r="H158" s="272">
        <f t="shared" si="7"/>
        <v>265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265</v>
      </c>
      <c r="E159" s="257"/>
      <c r="F159" s="258">
        <v>0</v>
      </c>
      <c r="G159" s="258"/>
      <c r="H159" s="258">
        <f t="shared" si="7"/>
        <v>265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265</v>
      </c>
      <c r="E160" s="257"/>
      <c r="F160" s="258">
        <v>0</v>
      </c>
      <c r="G160" s="258"/>
      <c r="H160" s="258">
        <f t="shared" si="7"/>
        <v>265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265</v>
      </c>
      <c r="E161" s="257"/>
      <c r="F161" s="258">
        <v>0</v>
      </c>
      <c r="G161" s="258"/>
      <c r="H161" s="258">
        <f t="shared" si="7"/>
        <v>265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265</v>
      </c>
      <c r="E162" s="257"/>
      <c r="F162" s="258">
        <v>0</v>
      </c>
      <c r="G162" s="258"/>
      <c r="H162" s="258">
        <f t="shared" si="7"/>
        <v>265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265</v>
      </c>
      <c r="E163" s="271"/>
      <c r="F163" s="272">
        <v>0</v>
      </c>
      <c r="G163" s="272"/>
      <c r="H163" s="272">
        <f t="shared" si="7"/>
        <v>265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265</v>
      </c>
      <c r="E164" s="257"/>
      <c r="F164" s="258">
        <v>0</v>
      </c>
      <c r="G164" s="258"/>
      <c r="H164" s="258">
        <f t="shared" si="7"/>
        <v>265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265</v>
      </c>
      <c r="E165" s="257"/>
      <c r="F165" s="258">
        <v>0</v>
      </c>
      <c r="G165" s="258"/>
      <c r="H165" s="258">
        <f t="shared" si="7"/>
        <v>265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265</v>
      </c>
      <c r="E166" s="257"/>
      <c r="F166" s="258">
        <v>0</v>
      </c>
      <c r="G166" s="258"/>
      <c r="H166" s="258">
        <f t="shared" si="7"/>
        <v>265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265</v>
      </c>
      <c r="E167" s="257"/>
      <c r="F167" s="258">
        <v>0</v>
      </c>
      <c r="G167" s="258"/>
      <c r="H167" s="258">
        <f t="shared" si="7"/>
        <v>265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265</v>
      </c>
      <c r="E168" s="271"/>
      <c r="F168" s="272">
        <v>0</v>
      </c>
      <c r="G168" s="272"/>
      <c r="H168" s="272">
        <f t="shared" si="7"/>
        <v>265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600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204">
        <f>B136</f>
        <v>2010</v>
      </c>
      <c r="C180" s="204"/>
      <c r="D180" s="208">
        <f>VLOOKUP(B180,B$7:E$11,3,FALSE)</f>
        <v>264</v>
      </c>
      <c r="E180" s="244">
        <f>((COUNT(B$180:B$184)-1)/2)+(B180-$C$4)</f>
        <v>-2</v>
      </c>
      <c r="F180" s="206">
        <f>E180^2</f>
        <v>4</v>
      </c>
      <c r="G180" s="205">
        <f>E$177-D180</f>
        <v>336</v>
      </c>
      <c r="H180" s="259">
        <f>LOG(D180)</f>
        <v>2.4216039268698313</v>
      </c>
      <c r="I180" s="245">
        <f>LOG(G180)</f>
        <v>2.5263392773898441</v>
      </c>
      <c r="J180" s="246">
        <f>H180-I180</f>
        <v>-0.10473535052001282</v>
      </c>
      <c r="K180" s="246">
        <f>E180*J180</f>
        <v>0.20947070104002563</v>
      </c>
      <c r="L180" s="203"/>
      <c r="M180" s="203"/>
      <c r="N180" s="203"/>
      <c r="O180" s="203"/>
    </row>
    <row r="181" spans="1:15" ht="15" customHeight="1">
      <c r="A181" s="203"/>
      <c r="B181" s="204">
        <f>B137</f>
        <v>2011</v>
      </c>
      <c r="C181" s="204"/>
      <c r="D181" s="208">
        <f>VLOOKUP(B181,B$7:E$11,3,FALSE)</f>
        <v>248</v>
      </c>
      <c r="E181" s="244">
        <f>((COUNT(B$180:B$184)-1)/2)+(B181-$C$4)</f>
        <v>-1</v>
      </c>
      <c r="F181" s="206">
        <f>E181^2</f>
        <v>1</v>
      </c>
      <c r="G181" s="205">
        <f>E$177-D181</f>
        <v>352</v>
      </c>
      <c r="H181" s="259">
        <f>LOG(D181)</f>
        <v>2.3944516808262164</v>
      </c>
      <c r="I181" s="245">
        <f>LOG(G181)</f>
        <v>2.5465426634781312</v>
      </c>
      <c r="J181" s="246">
        <f>H181-I181</f>
        <v>-0.15209098265191479</v>
      </c>
      <c r="K181" s="246">
        <f>E181*J181</f>
        <v>0.15209098265191479</v>
      </c>
      <c r="L181" s="203"/>
      <c r="M181" s="203"/>
      <c r="N181" s="203"/>
      <c r="O181" s="203"/>
    </row>
    <row r="182" spans="1:15" ht="15" customHeight="1">
      <c r="A182" s="203"/>
      <c r="B182" s="204">
        <f>B138</f>
        <v>2012</v>
      </c>
      <c r="C182" s="204"/>
      <c r="D182" s="208">
        <f>VLOOKUP(B182,B$7:E$11,3,FALSE)</f>
        <v>242</v>
      </c>
      <c r="E182" s="244">
        <f>((COUNT(B$180:B$184)-1)/2)+(B182-$C$4)</f>
        <v>0</v>
      </c>
      <c r="F182" s="206">
        <f>E182^2</f>
        <v>0</v>
      </c>
      <c r="G182" s="205">
        <f>E$177-D182</f>
        <v>358</v>
      </c>
      <c r="H182" s="259">
        <f>LOG(D182)</f>
        <v>2.3838153659804311</v>
      </c>
      <c r="I182" s="245">
        <f>LOG(G182)</f>
        <v>2.5538830266438746</v>
      </c>
      <c r="J182" s="246">
        <f>H182-I182</f>
        <v>-0.17006766066344348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204">
        <f>B139</f>
        <v>2013</v>
      </c>
      <c r="C183" s="204"/>
      <c r="D183" s="208">
        <f>VLOOKUP(B183,B$7:E$11,3,FALSE)</f>
        <v>249</v>
      </c>
      <c r="E183" s="244">
        <f>((COUNT(B$180:B$184)-1)/2)+(B183-$C$4)</f>
        <v>1</v>
      </c>
      <c r="F183" s="206">
        <f>E183^2</f>
        <v>1</v>
      </c>
      <c r="G183" s="205">
        <f>E$177-D183</f>
        <v>351</v>
      </c>
      <c r="H183" s="259">
        <f>LOG(D183)</f>
        <v>2.3961993470957363</v>
      </c>
      <c r="I183" s="245">
        <f>LOG(G183)</f>
        <v>2.5453071164658239</v>
      </c>
      <c r="J183" s="246">
        <f>H183-I183</f>
        <v>-0.14910776937008752</v>
      </c>
      <c r="K183" s="246">
        <f>E183*J183</f>
        <v>-0.14910776937008752</v>
      </c>
      <c r="L183" s="203"/>
      <c r="M183" s="203"/>
      <c r="N183" s="203"/>
      <c r="O183" s="203"/>
    </row>
    <row r="184" spans="1:15" ht="15" customHeight="1">
      <c r="A184" s="203"/>
      <c r="B184" s="204">
        <f>B140</f>
        <v>2014</v>
      </c>
      <c r="C184" s="204"/>
      <c r="D184" s="208">
        <f>VLOOKUP(B184,B$7:E$11,3,FALSE)</f>
        <v>264</v>
      </c>
      <c r="E184" s="244">
        <f>((COUNT(B$180:B$184)-1)/2)+(B184-$C$4)</f>
        <v>2</v>
      </c>
      <c r="F184" s="206">
        <f>E184^2</f>
        <v>4</v>
      </c>
      <c r="G184" s="205">
        <f>E$177-D184</f>
        <v>336</v>
      </c>
      <c r="H184" s="259">
        <f>LOG(D184)</f>
        <v>2.4216039268698313</v>
      </c>
      <c r="I184" s="245">
        <f>LOG(G184)</f>
        <v>2.5263392773898441</v>
      </c>
      <c r="J184" s="246">
        <f>H184-I184</f>
        <v>-0.10473535052001282</v>
      </c>
      <c r="K184" s="246">
        <f>E184*J184</f>
        <v>-0.20947070104002563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1267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-0.68073711372547141</v>
      </c>
      <c r="K185" s="263">
        <f>SUM(K180:K184)</f>
        <v>2.9832132818272683E-3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0.31348999999999999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6.87E-4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254</v>
      </c>
      <c r="E192" s="208"/>
      <c r="F192" s="208">
        <v>0</v>
      </c>
      <c r="G192" s="208"/>
      <c r="H192" s="208">
        <f t="shared" ref="H192:H213" si="9">ROUND(D192*(1+F192),0)</f>
        <v>254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254</v>
      </c>
      <c r="E193" s="269"/>
      <c r="F193" s="269">
        <v>0</v>
      </c>
      <c r="G193" s="269"/>
      <c r="H193" s="269">
        <f t="shared" si="9"/>
        <v>254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255</v>
      </c>
      <c r="E194" s="221"/>
      <c r="F194" s="221">
        <v>0</v>
      </c>
      <c r="G194" s="221"/>
      <c r="H194" s="221">
        <f t="shared" si="9"/>
        <v>255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255</v>
      </c>
      <c r="E195" s="221"/>
      <c r="F195" s="221">
        <v>0</v>
      </c>
      <c r="G195" s="221"/>
      <c r="H195" s="221">
        <f t="shared" si="9"/>
        <v>255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255</v>
      </c>
      <c r="E196" s="221"/>
      <c r="F196" s="221">
        <v>0</v>
      </c>
      <c r="G196" s="221"/>
      <c r="H196" s="221">
        <f t="shared" si="9"/>
        <v>255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255</v>
      </c>
      <c r="E197" s="221"/>
      <c r="F197" s="221">
        <v>0</v>
      </c>
      <c r="G197" s="221"/>
      <c r="H197" s="221">
        <f t="shared" si="9"/>
        <v>255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255</v>
      </c>
      <c r="E198" s="269"/>
      <c r="F198" s="269">
        <v>0</v>
      </c>
      <c r="G198" s="269"/>
      <c r="H198" s="269">
        <f t="shared" si="9"/>
        <v>255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255</v>
      </c>
      <c r="E199" s="221"/>
      <c r="F199" s="221">
        <v>0</v>
      </c>
      <c r="G199" s="221"/>
      <c r="H199" s="221">
        <f t="shared" si="9"/>
        <v>255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255</v>
      </c>
      <c r="E200" s="221"/>
      <c r="F200" s="221">
        <v>0</v>
      </c>
      <c r="G200" s="221"/>
      <c r="H200" s="221">
        <f t="shared" si="9"/>
        <v>255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255</v>
      </c>
      <c r="E201" s="221"/>
      <c r="F201" s="221">
        <v>0</v>
      </c>
      <c r="G201" s="221"/>
      <c r="H201" s="221">
        <f t="shared" si="9"/>
        <v>255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255</v>
      </c>
      <c r="E202" s="221"/>
      <c r="F202" s="221">
        <v>0</v>
      </c>
      <c r="G202" s="221"/>
      <c r="H202" s="221">
        <f t="shared" si="9"/>
        <v>255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255</v>
      </c>
      <c r="E203" s="269"/>
      <c r="F203" s="269">
        <v>0</v>
      </c>
      <c r="G203" s="269"/>
      <c r="H203" s="269">
        <f t="shared" si="9"/>
        <v>255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256</v>
      </c>
      <c r="E204" s="221"/>
      <c r="F204" s="221">
        <v>0</v>
      </c>
      <c r="G204" s="221"/>
      <c r="H204" s="221">
        <f t="shared" si="9"/>
        <v>256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256</v>
      </c>
      <c r="E205" s="221"/>
      <c r="F205" s="221">
        <v>0</v>
      </c>
      <c r="G205" s="221"/>
      <c r="H205" s="221">
        <f t="shared" si="9"/>
        <v>256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256</v>
      </c>
      <c r="E206" s="221"/>
      <c r="F206" s="221">
        <v>0</v>
      </c>
      <c r="G206" s="221"/>
      <c r="H206" s="221">
        <f t="shared" si="9"/>
        <v>256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256</v>
      </c>
      <c r="E207" s="221"/>
      <c r="F207" s="221">
        <v>0</v>
      </c>
      <c r="G207" s="221"/>
      <c r="H207" s="221">
        <f t="shared" si="9"/>
        <v>256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256</v>
      </c>
      <c r="E208" s="269"/>
      <c r="F208" s="269">
        <v>0</v>
      </c>
      <c r="G208" s="269"/>
      <c r="H208" s="269">
        <f t="shared" si="9"/>
        <v>256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256</v>
      </c>
      <c r="E209" s="221"/>
      <c r="F209" s="221">
        <v>0</v>
      </c>
      <c r="G209" s="221"/>
      <c r="H209" s="221">
        <f t="shared" si="9"/>
        <v>256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256</v>
      </c>
      <c r="E210" s="221"/>
      <c r="F210" s="221">
        <v>0</v>
      </c>
      <c r="G210" s="221"/>
      <c r="H210" s="221">
        <f t="shared" si="9"/>
        <v>256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256</v>
      </c>
      <c r="E211" s="221"/>
      <c r="F211" s="221">
        <v>0</v>
      </c>
      <c r="G211" s="221"/>
      <c r="H211" s="221">
        <f t="shared" si="9"/>
        <v>256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256</v>
      </c>
      <c r="E212" s="221"/>
      <c r="F212" s="221">
        <v>0</v>
      </c>
      <c r="G212" s="221"/>
      <c r="H212" s="221">
        <f t="shared" si="9"/>
        <v>256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256</v>
      </c>
      <c r="E213" s="269"/>
      <c r="F213" s="269">
        <v>0</v>
      </c>
      <c r="G213" s="269"/>
      <c r="H213" s="269">
        <f t="shared" si="9"/>
        <v>256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264</v>
      </c>
      <c r="E221" s="257">
        <f t="array" ref="E221">IF(B55=B221,H55)</f>
        <v>264</v>
      </c>
      <c r="F221" s="257">
        <f t="array" ref="F221">IF(B105=B221,H105)</f>
        <v>254</v>
      </c>
      <c r="G221" s="257">
        <f t="array" ref="G221">IF(B147=B221,H147)</f>
        <v>265</v>
      </c>
      <c r="H221" s="257">
        <f t="array" ref="H221">IF(B192=B221,H192)</f>
        <v>254</v>
      </c>
      <c r="I221" s="257">
        <f t="shared" ref="I221:I242" si="10">IF(G221=0,AVERAGE(D221,E221,F221,H221),AVERAGE(D221:H221))</f>
        <v>260.2</v>
      </c>
      <c r="J221" s="266">
        <f t="shared" ref="J221:J242" si="11">ROUND(AVERAGE(D221,F221:G221),0)</f>
        <v>261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264</v>
      </c>
      <c r="E222" s="271">
        <f t="array" ref="E222">IF(B56=B222,H56)</f>
        <v>264</v>
      </c>
      <c r="F222" s="271">
        <f t="array" ref="F222">IF(B106=B222,H106)</f>
        <v>254</v>
      </c>
      <c r="G222" s="271">
        <f t="array" ref="G222">IF(B148=B222,H148)</f>
        <v>265</v>
      </c>
      <c r="H222" s="271">
        <f t="array" ref="H222">IF(B193=B222,H193)</f>
        <v>254</v>
      </c>
      <c r="I222" s="271">
        <f t="shared" si="10"/>
        <v>260.2</v>
      </c>
      <c r="J222" s="273">
        <f t="shared" si="11"/>
        <v>261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264</v>
      </c>
      <c r="E223" s="257">
        <f t="array" ref="E223">IF(B57=B223,H57)</f>
        <v>264</v>
      </c>
      <c r="F223" s="257">
        <f t="array" ref="F223">IF(B107=B223,H107)</f>
        <v>254</v>
      </c>
      <c r="G223" s="257">
        <f t="array" ref="G223">IF(B149=B223,H149)</f>
        <v>265</v>
      </c>
      <c r="H223" s="257">
        <f t="array" ref="H223">IF(B194=B223,H194)</f>
        <v>255</v>
      </c>
      <c r="I223" s="257">
        <f t="shared" si="10"/>
        <v>260.39999999999998</v>
      </c>
      <c r="J223" s="266">
        <f t="shared" si="11"/>
        <v>261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264</v>
      </c>
      <c r="E224" s="257">
        <f t="array" ref="E224">IF(B58=B224,H58)</f>
        <v>264</v>
      </c>
      <c r="F224" s="257">
        <f t="array" ref="F224">IF(B108=B224,H108)</f>
        <v>254</v>
      </c>
      <c r="G224" s="257">
        <f t="array" ref="G224">IF(B150=B224,H150)</f>
        <v>265</v>
      </c>
      <c r="H224" s="257">
        <f t="array" ref="H224">IF(B195=B224,H195)</f>
        <v>255</v>
      </c>
      <c r="I224" s="257">
        <f t="shared" si="10"/>
        <v>260.39999999999998</v>
      </c>
      <c r="J224" s="266">
        <f t="shared" si="11"/>
        <v>261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264</v>
      </c>
      <c r="E225" s="257">
        <f t="array" ref="E225">IF(B59=B225,H59)</f>
        <v>264</v>
      </c>
      <c r="F225" s="257">
        <f t="array" ref="F225">IF(B109=B225,H109)</f>
        <v>254</v>
      </c>
      <c r="G225" s="257">
        <f t="array" ref="G225">IF(B151=B225,H151)</f>
        <v>265</v>
      </c>
      <c r="H225" s="257">
        <f t="array" ref="H225">IF(B196=B225,H196)</f>
        <v>255</v>
      </c>
      <c r="I225" s="257">
        <f t="shared" si="10"/>
        <v>260.39999999999998</v>
      </c>
      <c r="J225" s="266">
        <f t="shared" si="11"/>
        <v>261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264</v>
      </c>
      <c r="E226" s="257">
        <f t="array" ref="E226">IF(B60=B226,H60)</f>
        <v>264</v>
      </c>
      <c r="F226" s="257">
        <f t="array" ref="F226">IF(B110=B226,H110)</f>
        <v>254</v>
      </c>
      <c r="G226" s="257">
        <f t="array" ref="G226">IF(B152=B226,H152)</f>
        <v>265</v>
      </c>
      <c r="H226" s="257">
        <f t="array" ref="H226">IF(B197=B226,H197)</f>
        <v>255</v>
      </c>
      <c r="I226" s="257">
        <f t="shared" si="10"/>
        <v>260.39999999999998</v>
      </c>
      <c r="J226" s="266">
        <f t="shared" si="11"/>
        <v>261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264</v>
      </c>
      <c r="E227" s="271">
        <f t="array" ref="E227">IF(B61=B227,H61)</f>
        <v>264</v>
      </c>
      <c r="F227" s="271">
        <f t="array" ref="F227">IF(B111=B227,H111)</f>
        <v>254</v>
      </c>
      <c r="G227" s="271">
        <f t="array" ref="G227">IF(B153=B227,H153)</f>
        <v>265</v>
      </c>
      <c r="H227" s="271">
        <f t="array" ref="H227">IF(B198=B227,H198)</f>
        <v>255</v>
      </c>
      <c r="I227" s="271">
        <f t="shared" si="10"/>
        <v>260.39999999999998</v>
      </c>
      <c r="J227" s="273">
        <f t="shared" si="11"/>
        <v>261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264</v>
      </c>
      <c r="E228" s="257">
        <f t="array" ref="E228">IF(B62=B228,H62)</f>
        <v>264</v>
      </c>
      <c r="F228" s="257">
        <f t="array" ref="F228">IF(B112=B228,H112)</f>
        <v>254</v>
      </c>
      <c r="G228" s="257">
        <f t="array" ref="G228">IF(B154=B228,H154)</f>
        <v>265</v>
      </c>
      <c r="H228" s="257">
        <f t="array" ref="H228">IF(B199=B228,H199)</f>
        <v>255</v>
      </c>
      <c r="I228" s="257">
        <f t="shared" si="10"/>
        <v>260.39999999999998</v>
      </c>
      <c r="J228" s="266">
        <f t="shared" si="11"/>
        <v>261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264</v>
      </c>
      <c r="E229" s="257">
        <f t="array" ref="E229">IF(B63=B229,H63)</f>
        <v>264</v>
      </c>
      <c r="F229" s="257">
        <f t="array" ref="F229">IF(B113=B229,H113)</f>
        <v>254</v>
      </c>
      <c r="G229" s="257">
        <f t="array" ref="G229">IF(B155=B229,H155)</f>
        <v>265</v>
      </c>
      <c r="H229" s="257">
        <f t="array" ref="H229">IF(B200=B229,H200)</f>
        <v>255</v>
      </c>
      <c r="I229" s="257">
        <f t="shared" si="10"/>
        <v>260.39999999999998</v>
      </c>
      <c r="J229" s="266">
        <f t="shared" si="11"/>
        <v>261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264</v>
      </c>
      <c r="E230" s="257">
        <f t="array" ref="E230">IF(B64=B230,H64)</f>
        <v>264</v>
      </c>
      <c r="F230" s="257">
        <f t="array" ref="F230">IF(B114=B230,H114)</f>
        <v>255</v>
      </c>
      <c r="G230" s="257">
        <f t="array" ref="G230">IF(B156=B230,H156)</f>
        <v>265</v>
      </c>
      <c r="H230" s="257">
        <f t="array" ref="H230">IF(B201=B230,H201)</f>
        <v>255</v>
      </c>
      <c r="I230" s="257">
        <f t="shared" si="10"/>
        <v>260.60000000000002</v>
      </c>
      <c r="J230" s="266">
        <f t="shared" si="11"/>
        <v>261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264</v>
      </c>
      <c r="E231" s="257">
        <f t="array" ref="E231">IF(B65=B231,H65)</f>
        <v>264</v>
      </c>
      <c r="F231" s="257">
        <f t="array" ref="F231">IF(B115=B231,H115)</f>
        <v>255</v>
      </c>
      <c r="G231" s="257">
        <f t="array" ref="G231">IF(B157=B231,H157)</f>
        <v>265</v>
      </c>
      <c r="H231" s="257">
        <f t="array" ref="H231">IF(B202=B231,H202)</f>
        <v>255</v>
      </c>
      <c r="I231" s="257">
        <f t="shared" si="10"/>
        <v>260.60000000000002</v>
      </c>
      <c r="J231" s="266">
        <f t="shared" si="11"/>
        <v>261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264</v>
      </c>
      <c r="E232" s="271">
        <f t="array" ref="E232">IF(B66=B232,H66)</f>
        <v>264</v>
      </c>
      <c r="F232" s="271">
        <f t="array" ref="F232">IF(B116=B232,H116)</f>
        <v>255</v>
      </c>
      <c r="G232" s="271">
        <f t="array" ref="G232">IF(B158=B232,H158)</f>
        <v>265</v>
      </c>
      <c r="H232" s="271">
        <f t="array" ref="H232">IF(B203=B232,H203)</f>
        <v>255</v>
      </c>
      <c r="I232" s="271">
        <f t="shared" si="10"/>
        <v>260.60000000000002</v>
      </c>
      <c r="J232" s="273">
        <f t="shared" si="11"/>
        <v>261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264</v>
      </c>
      <c r="E233" s="257">
        <f t="array" ref="E233">IF(B67=B233,H67)</f>
        <v>264</v>
      </c>
      <c r="F233" s="257">
        <f t="array" ref="F233">IF(B117=B233,H117)</f>
        <v>255</v>
      </c>
      <c r="G233" s="257">
        <f t="array" ref="G233">IF(B159=B233,H159)</f>
        <v>265</v>
      </c>
      <c r="H233" s="257">
        <f t="array" ref="H233">IF(B204=B233,H204)</f>
        <v>256</v>
      </c>
      <c r="I233" s="257">
        <f t="shared" si="10"/>
        <v>260.8</v>
      </c>
      <c r="J233" s="266">
        <f t="shared" si="11"/>
        <v>261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264</v>
      </c>
      <c r="E234" s="257">
        <f t="array" ref="E234">IF(B68=B234,H68)</f>
        <v>264</v>
      </c>
      <c r="F234" s="257">
        <f t="array" ref="F234">IF(B118=B234,H118)</f>
        <v>255</v>
      </c>
      <c r="G234" s="257">
        <f t="array" ref="G234">IF(B160=B234,H160)</f>
        <v>265</v>
      </c>
      <c r="H234" s="257">
        <f t="array" ref="H234">IF(B205=B234,H205)</f>
        <v>256</v>
      </c>
      <c r="I234" s="257">
        <f t="shared" si="10"/>
        <v>260.8</v>
      </c>
      <c r="J234" s="266">
        <f t="shared" si="11"/>
        <v>261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264</v>
      </c>
      <c r="E235" s="257">
        <f t="array" ref="E235">IF(B69=B235,H69)</f>
        <v>264</v>
      </c>
      <c r="F235" s="257">
        <f t="array" ref="F235">IF(B119=B235,H119)</f>
        <v>255</v>
      </c>
      <c r="G235" s="257">
        <f t="array" ref="G235">IF(B161=B235,H161)</f>
        <v>265</v>
      </c>
      <c r="H235" s="257">
        <f t="array" ref="H235">IF(B206=B235,H206)</f>
        <v>256</v>
      </c>
      <c r="I235" s="257">
        <f t="shared" si="10"/>
        <v>260.8</v>
      </c>
      <c r="J235" s="266">
        <f t="shared" si="11"/>
        <v>261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264</v>
      </c>
      <c r="E236" s="257">
        <f t="array" ref="E236">IF(B70=B236,H70)</f>
        <v>264</v>
      </c>
      <c r="F236" s="257">
        <f t="array" ref="F236">IF(B120=B236,H120)</f>
        <v>255</v>
      </c>
      <c r="G236" s="257">
        <f t="array" ref="G236">IF(B162=B236,H162)</f>
        <v>265</v>
      </c>
      <c r="H236" s="257">
        <f t="array" ref="H236">IF(B207=B236,H207)</f>
        <v>256</v>
      </c>
      <c r="I236" s="257">
        <f t="shared" si="10"/>
        <v>260.8</v>
      </c>
      <c r="J236" s="266">
        <f t="shared" si="11"/>
        <v>261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264</v>
      </c>
      <c r="E237" s="271">
        <f t="array" ref="E237">IF(B71=B237,H71)</f>
        <v>264</v>
      </c>
      <c r="F237" s="271">
        <f t="array" ref="F237">IF(B121=B237,H121)</f>
        <v>255</v>
      </c>
      <c r="G237" s="271">
        <f t="array" ref="G237">IF(B163=B237,H163)</f>
        <v>265</v>
      </c>
      <c r="H237" s="271">
        <f t="array" ref="H237">IF(B208=B237,H208)</f>
        <v>256</v>
      </c>
      <c r="I237" s="271">
        <f t="shared" si="10"/>
        <v>260.8</v>
      </c>
      <c r="J237" s="273">
        <f t="shared" si="11"/>
        <v>261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264</v>
      </c>
      <c r="E238" s="257">
        <f t="array" ref="E238">IF(B72=B238,H72)</f>
        <v>264</v>
      </c>
      <c r="F238" s="257">
        <f t="array" ref="F238">IF(B122=B238,H122)</f>
        <v>255</v>
      </c>
      <c r="G238" s="257">
        <f t="array" ref="G238">IF(B164=B238,H164)</f>
        <v>265</v>
      </c>
      <c r="H238" s="257">
        <f t="array" ref="H238">IF(B209=B238,H209)</f>
        <v>256</v>
      </c>
      <c r="I238" s="257">
        <f t="shared" si="10"/>
        <v>260.8</v>
      </c>
      <c r="J238" s="266">
        <f t="shared" si="11"/>
        <v>261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264</v>
      </c>
      <c r="E239" s="257">
        <f t="array" ref="E239">IF(B73=B239,H73)</f>
        <v>264</v>
      </c>
      <c r="F239" s="257">
        <f t="array" ref="F239">IF(B123=B239,H123)</f>
        <v>255</v>
      </c>
      <c r="G239" s="257">
        <f t="array" ref="G239">IF(B165=B239,H165)</f>
        <v>265</v>
      </c>
      <c r="H239" s="257">
        <f t="array" ref="H239">IF(B210=B239,H210)</f>
        <v>256</v>
      </c>
      <c r="I239" s="257">
        <f t="shared" si="10"/>
        <v>260.8</v>
      </c>
      <c r="J239" s="266">
        <f t="shared" si="11"/>
        <v>261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264</v>
      </c>
      <c r="E240" s="257">
        <f t="array" ref="E240">IF(B74=B240,H74)</f>
        <v>264</v>
      </c>
      <c r="F240" s="257">
        <f t="array" ref="F240">IF(B124=B240,H124)</f>
        <v>256</v>
      </c>
      <c r="G240" s="257">
        <f t="array" ref="G240">IF(B166=B240,H166)</f>
        <v>265</v>
      </c>
      <c r="H240" s="257">
        <f t="array" ref="H240">IF(B211=B240,H211)</f>
        <v>256</v>
      </c>
      <c r="I240" s="257">
        <f t="shared" si="10"/>
        <v>261</v>
      </c>
      <c r="J240" s="266">
        <f t="shared" si="11"/>
        <v>262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264</v>
      </c>
      <c r="E241" s="257">
        <f t="array" ref="E241">IF(B75=B241,H75)</f>
        <v>264</v>
      </c>
      <c r="F241" s="257">
        <f t="array" ref="F241">IF(B125=B241,H125)</f>
        <v>256</v>
      </c>
      <c r="G241" s="257">
        <f t="array" ref="G241">IF(B167=B241,H167)</f>
        <v>265</v>
      </c>
      <c r="H241" s="257">
        <f t="array" ref="H241">IF(B212=B241,H212)</f>
        <v>256</v>
      </c>
      <c r="I241" s="257">
        <f t="shared" si="10"/>
        <v>261</v>
      </c>
      <c r="J241" s="266">
        <f t="shared" si="11"/>
        <v>262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264</v>
      </c>
      <c r="E242" s="271">
        <f t="array" ref="E242">IF(B76=B242,H76)</f>
        <v>264</v>
      </c>
      <c r="F242" s="271">
        <f t="array" ref="F242">IF(B126=B242,H126)</f>
        <v>256</v>
      </c>
      <c r="G242" s="271">
        <f t="array" ref="G242">IF(B168=B242,H168)</f>
        <v>265</v>
      </c>
      <c r="H242" s="271">
        <f t="array" ref="H242">IF(B213=B242,H213)</f>
        <v>256</v>
      </c>
      <c r="I242" s="271">
        <f t="shared" si="10"/>
        <v>261</v>
      </c>
      <c r="J242" s="273">
        <f t="shared" si="11"/>
        <v>262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1">
    <mergeCell ref="E177:F177"/>
  </mergeCells>
  <phoneticPr fontId="7" type="noConversion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6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1379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1782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2005</v>
      </c>
      <c r="C7" s="840"/>
      <c r="D7" s="844">
        <f>+상수도사용원단위!J4</f>
        <v>0</v>
      </c>
      <c r="E7" s="844"/>
      <c r="F7" s="206">
        <f>D7-D7</f>
        <v>0</v>
      </c>
      <c r="G7" s="206"/>
      <c r="H7" s="207">
        <f>F7</f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2006</v>
      </c>
      <c r="C8" s="840"/>
      <c r="D8" s="844">
        <f>+상수도사용원단위!J5</f>
        <v>0</v>
      </c>
      <c r="E8" s="844"/>
      <c r="F8" s="206">
        <f t="shared" ref="F8:F16" si="0">D8-D7</f>
        <v>0</v>
      </c>
      <c r="G8" s="206"/>
      <c r="H8" s="207">
        <v>0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ref="B9:B16" si="1">+B8+1</f>
        <v>2007</v>
      </c>
      <c r="C9" s="840"/>
      <c r="D9" s="844">
        <f>+상수도사용원단위!J6</f>
        <v>405</v>
      </c>
      <c r="E9" s="844"/>
      <c r="F9" s="206">
        <f t="shared" si="0"/>
        <v>405</v>
      </c>
      <c r="G9" s="206"/>
      <c r="H9" s="207">
        <v>0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1"/>
        <v>2008</v>
      </c>
      <c r="C10" s="840"/>
      <c r="D10" s="844">
        <f>+상수도사용원단위!J7</f>
        <v>390</v>
      </c>
      <c r="E10" s="844"/>
      <c r="F10" s="206">
        <f t="shared" si="0"/>
        <v>-15</v>
      </c>
      <c r="G10" s="206"/>
      <c r="H10" s="207">
        <f t="shared" ref="H10:H16" si="2">ROUND(F10/D9*100,2)</f>
        <v>-3.7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1"/>
        <v>2009</v>
      </c>
      <c r="C11" s="840"/>
      <c r="D11" s="844">
        <f>+상수도사용원단위!J8</f>
        <v>324</v>
      </c>
      <c r="E11" s="844"/>
      <c r="F11" s="206">
        <f t="shared" si="0"/>
        <v>-66</v>
      </c>
      <c r="G11" s="206"/>
      <c r="H11" s="207">
        <f t="shared" si="2"/>
        <v>-16.920000000000002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1"/>
        <v>2010</v>
      </c>
      <c r="C12" s="840"/>
      <c r="D12" s="844">
        <f>+상수도사용원단위!J9</f>
        <v>344</v>
      </c>
      <c r="E12" s="844"/>
      <c r="F12" s="206">
        <f t="shared" si="0"/>
        <v>20</v>
      </c>
      <c r="G12" s="206"/>
      <c r="H12" s="207">
        <f t="shared" si="2"/>
        <v>6.17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>
      <c r="A13" s="203"/>
      <c r="B13" s="840">
        <f t="shared" si="1"/>
        <v>2011</v>
      </c>
      <c r="C13" s="840"/>
      <c r="D13" s="844">
        <f>+상수도사용원단위!J10</f>
        <v>380</v>
      </c>
      <c r="E13" s="844"/>
      <c r="F13" s="206">
        <f t="shared" si="0"/>
        <v>36</v>
      </c>
      <c r="G13" s="206"/>
      <c r="H13" s="207">
        <f t="shared" si="2"/>
        <v>10.47</v>
      </c>
      <c r="I13" s="208"/>
      <c r="J13" s="210">
        <v>0</v>
      </c>
      <c r="K13" s="210"/>
      <c r="L13" s="203"/>
      <c r="M13" s="203"/>
      <c r="N13" s="203"/>
      <c r="O13" s="203"/>
    </row>
    <row r="14" spans="1:15" ht="15" customHeight="1">
      <c r="A14" s="203"/>
      <c r="B14" s="840">
        <f t="shared" si="1"/>
        <v>2012</v>
      </c>
      <c r="C14" s="840"/>
      <c r="D14" s="844">
        <f>+상수도사용원단위!J11</f>
        <v>286</v>
      </c>
      <c r="E14" s="844"/>
      <c r="F14" s="206">
        <f t="shared" si="0"/>
        <v>-94</v>
      </c>
      <c r="G14" s="206"/>
      <c r="H14" s="207">
        <f t="shared" si="2"/>
        <v>-24.74</v>
      </c>
      <c r="I14" s="208"/>
      <c r="J14" s="210">
        <v>0</v>
      </c>
      <c r="K14" s="210"/>
      <c r="L14" s="203"/>
      <c r="M14" s="203"/>
      <c r="N14" s="203"/>
      <c r="O14" s="203"/>
    </row>
    <row r="15" spans="1:15" ht="15" customHeight="1">
      <c r="A15" s="203"/>
      <c r="B15" s="840">
        <f t="shared" si="1"/>
        <v>2013</v>
      </c>
      <c r="C15" s="840"/>
      <c r="D15" s="844">
        <f>+상수도사용원단위!J12</f>
        <v>269</v>
      </c>
      <c r="E15" s="844"/>
      <c r="F15" s="206">
        <f t="shared" si="0"/>
        <v>-17</v>
      </c>
      <c r="G15" s="206"/>
      <c r="H15" s="207">
        <f t="shared" si="2"/>
        <v>-5.94</v>
      </c>
      <c r="I15" s="208"/>
      <c r="J15" s="210">
        <v>0</v>
      </c>
      <c r="K15" s="210"/>
      <c r="L15" s="203"/>
      <c r="M15" s="203"/>
      <c r="N15" s="203"/>
      <c r="O15" s="203"/>
    </row>
    <row r="16" spans="1:15" ht="15" customHeight="1">
      <c r="A16" s="203"/>
      <c r="B16" s="840">
        <f t="shared" si="1"/>
        <v>2014</v>
      </c>
      <c r="C16" s="840"/>
      <c r="D16" s="844">
        <f>+상수도사용원단위!J13</f>
        <v>138</v>
      </c>
      <c r="E16" s="844"/>
      <c r="F16" s="206">
        <f t="shared" si="0"/>
        <v>-131</v>
      </c>
      <c r="G16" s="206"/>
      <c r="H16" s="207">
        <f t="shared" si="2"/>
        <v>-48.7</v>
      </c>
      <c r="I16" s="208"/>
      <c r="J16" s="210">
        <v>0</v>
      </c>
      <c r="K16" s="210"/>
      <c r="L16" s="203"/>
      <c r="M16" s="203"/>
      <c r="N16" s="203"/>
      <c r="O16" s="203"/>
    </row>
    <row r="17" spans="1:15" ht="15" customHeight="1" thickBot="1">
      <c r="A17" s="203"/>
      <c r="B17" s="211" t="s">
        <v>146</v>
      </c>
      <c r="C17" s="212"/>
      <c r="D17" s="213">
        <f>SUM(D7:D16)</f>
        <v>2536</v>
      </c>
      <c r="E17" s="214"/>
      <c r="F17" s="215"/>
      <c r="G17" s="215"/>
      <c r="H17" s="216">
        <f>SUM(H7:H16)</f>
        <v>-83.36</v>
      </c>
      <c r="I17" s="216"/>
      <c r="J17" s="217">
        <f>ROUND(AVERAGE(H8:H16),1)</f>
        <v>-9.3000000000000007</v>
      </c>
      <c r="K17" s="217"/>
      <c r="L17" s="203"/>
      <c r="M17" s="203"/>
      <c r="N17" s="203"/>
      <c r="O17" s="203"/>
    </row>
    <row r="18" spans="1:15" ht="15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8" t="s">
        <v>147</v>
      </c>
      <c r="C19" s="219"/>
      <c r="D19" s="219"/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3"/>
      <c r="C20" s="219" t="s">
        <v>148</v>
      </c>
      <c r="D20" s="219" t="s">
        <v>149</v>
      </c>
      <c r="E20" s="219"/>
      <c r="F20" s="219"/>
      <c r="G20" s="203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1"/>
      <c r="C21" s="201" t="s">
        <v>150</v>
      </c>
      <c r="D21" s="219" t="s">
        <v>151</v>
      </c>
      <c r="E21" s="201"/>
      <c r="F21" s="201"/>
      <c r="G21" s="203"/>
      <c r="H21" s="203"/>
      <c r="I21" s="203"/>
      <c r="J21" s="203"/>
      <c r="K21" s="203"/>
      <c r="L21" s="203"/>
      <c r="M21" s="203"/>
      <c r="N21" s="203"/>
      <c r="O21" s="203"/>
    </row>
    <row r="22" spans="1:15" ht="15" customHeight="1">
      <c r="A22" s="203"/>
      <c r="B22" s="219"/>
      <c r="C22" s="219"/>
      <c r="D22" s="219" t="s">
        <v>152</v>
      </c>
      <c r="E22" s="219"/>
      <c r="F22" s="219"/>
      <c r="G22" s="203"/>
      <c r="H22" s="203"/>
      <c r="I22" s="203"/>
      <c r="J22" s="203"/>
      <c r="K22" s="203"/>
      <c r="L22" s="203"/>
      <c r="M22" s="203"/>
      <c r="N22" s="203"/>
      <c r="O22" s="203"/>
    </row>
    <row r="23" spans="1:15" ht="15" customHeight="1">
      <c r="A23" s="203"/>
      <c r="B23" s="219"/>
      <c r="C23" s="219"/>
      <c r="D23" s="219" t="s">
        <v>153</v>
      </c>
      <c r="E23" s="219"/>
      <c r="F23" s="219"/>
      <c r="G23" s="203"/>
      <c r="H23" s="203"/>
      <c r="I23" s="203"/>
      <c r="J23" s="203"/>
      <c r="K23" s="203"/>
      <c r="L23" s="203"/>
      <c r="M23" s="203"/>
      <c r="N23" s="203"/>
      <c r="O23" s="203"/>
    </row>
    <row r="24" spans="1:15" ht="15" customHeight="1" thickBot="1">
      <c r="A24" s="203"/>
      <c r="B24" s="203"/>
      <c r="C24" s="203"/>
      <c r="D24" s="203"/>
      <c r="E24" s="203"/>
      <c r="F24" s="208" t="s">
        <v>154</v>
      </c>
      <c r="G24" s="208"/>
      <c r="H24" s="203"/>
      <c r="I24" s="203"/>
      <c r="J24" s="203"/>
      <c r="K24" s="203"/>
      <c r="L24" s="203"/>
      <c r="M24" s="203"/>
      <c r="N24" s="203"/>
      <c r="O24" s="203"/>
    </row>
    <row r="25" spans="1:15" ht="15" customHeight="1">
      <c r="A25" s="203"/>
      <c r="B25" s="202" t="s">
        <v>141</v>
      </c>
      <c r="C25" s="202"/>
      <c r="D25" s="202" t="s">
        <v>156</v>
      </c>
      <c r="E25" s="202"/>
      <c r="F25" s="202" t="s">
        <v>157</v>
      </c>
      <c r="G25" s="202"/>
      <c r="H25" s="202" t="s">
        <v>158</v>
      </c>
      <c r="I25" s="202"/>
      <c r="J25" s="202" t="s">
        <v>27</v>
      </c>
      <c r="K25" s="202"/>
      <c r="L25" s="203"/>
      <c r="M25" s="203"/>
      <c r="N25" s="203"/>
      <c r="O25" s="203"/>
    </row>
    <row r="26" spans="1:15" ht="15" customHeight="1">
      <c r="A26" s="203"/>
      <c r="B26" s="220">
        <v>2014</v>
      </c>
      <c r="C26" s="221"/>
      <c r="D26" s="221">
        <f t="shared" ref="D26:D47" si="3">ROUND(E$48+H$48*(B26-$C$4),0)</f>
        <v>138</v>
      </c>
      <c r="E26" s="221"/>
      <c r="F26" s="221">
        <v>0</v>
      </c>
      <c r="G26" s="221"/>
      <c r="H26" s="221">
        <f t="shared" ref="H26:H47" si="4">ROUND(D26*(1+F26),0)</f>
        <v>138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2015</v>
      </c>
      <c r="C27" s="269"/>
      <c r="D27" s="269">
        <f t="shared" si="3"/>
        <v>153</v>
      </c>
      <c r="E27" s="269"/>
      <c r="F27" s="269">
        <v>0</v>
      </c>
      <c r="G27" s="269"/>
      <c r="H27" s="269">
        <f t="shared" si="4"/>
        <v>153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2016</v>
      </c>
      <c r="C28" s="221"/>
      <c r="D28" s="221">
        <f t="shared" si="3"/>
        <v>169</v>
      </c>
      <c r="E28" s="221"/>
      <c r="F28" s="221">
        <v>0</v>
      </c>
      <c r="G28" s="221"/>
      <c r="H28" s="221">
        <f t="shared" si="4"/>
        <v>169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2017</v>
      </c>
      <c r="C29" s="221"/>
      <c r="D29" s="221">
        <f t="shared" si="3"/>
        <v>184</v>
      </c>
      <c r="E29" s="221"/>
      <c r="F29" s="221">
        <v>0</v>
      </c>
      <c r="G29" s="221"/>
      <c r="H29" s="221">
        <f t="shared" si="4"/>
        <v>184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2018</v>
      </c>
      <c r="C30" s="221"/>
      <c r="D30" s="221">
        <f t="shared" si="3"/>
        <v>199</v>
      </c>
      <c r="E30" s="221"/>
      <c r="F30" s="221">
        <v>0</v>
      </c>
      <c r="G30" s="221"/>
      <c r="H30" s="221">
        <f t="shared" si="4"/>
        <v>199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2019</v>
      </c>
      <c r="C31" s="221"/>
      <c r="D31" s="221">
        <f t="shared" si="3"/>
        <v>215</v>
      </c>
      <c r="E31" s="221"/>
      <c r="F31" s="221">
        <v>0</v>
      </c>
      <c r="G31" s="221"/>
      <c r="H31" s="221">
        <f t="shared" si="4"/>
        <v>215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2020</v>
      </c>
      <c r="C32" s="269"/>
      <c r="D32" s="269">
        <f t="shared" si="3"/>
        <v>230</v>
      </c>
      <c r="E32" s="269"/>
      <c r="F32" s="269">
        <v>0</v>
      </c>
      <c r="G32" s="269"/>
      <c r="H32" s="269">
        <f t="shared" si="4"/>
        <v>230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2021</v>
      </c>
      <c r="C33" s="221"/>
      <c r="D33" s="221">
        <f t="shared" si="3"/>
        <v>245</v>
      </c>
      <c r="E33" s="221"/>
      <c r="F33" s="221">
        <v>0</v>
      </c>
      <c r="G33" s="221"/>
      <c r="H33" s="221">
        <f t="shared" si="4"/>
        <v>245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2022</v>
      </c>
      <c r="C34" s="221"/>
      <c r="D34" s="221">
        <f t="shared" si="3"/>
        <v>260</v>
      </c>
      <c r="E34" s="221"/>
      <c r="F34" s="221">
        <v>0</v>
      </c>
      <c r="G34" s="221"/>
      <c r="H34" s="221">
        <f t="shared" si="4"/>
        <v>260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2023</v>
      </c>
      <c r="C35" s="221"/>
      <c r="D35" s="221">
        <f t="shared" si="3"/>
        <v>276</v>
      </c>
      <c r="E35" s="221"/>
      <c r="F35" s="221">
        <v>0</v>
      </c>
      <c r="G35" s="221"/>
      <c r="H35" s="221">
        <f t="shared" si="4"/>
        <v>276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2024</v>
      </c>
      <c r="C36" s="221"/>
      <c r="D36" s="221">
        <f t="shared" si="3"/>
        <v>291</v>
      </c>
      <c r="E36" s="221"/>
      <c r="F36" s="221">
        <v>0</v>
      </c>
      <c r="G36" s="221"/>
      <c r="H36" s="221">
        <f t="shared" si="4"/>
        <v>291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2025</v>
      </c>
      <c r="C37" s="269"/>
      <c r="D37" s="269">
        <f t="shared" si="3"/>
        <v>306</v>
      </c>
      <c r="E37" s="269"/>
      <c r="F37" s="269">
        <v>0</v>
      </c>
      <c r="G37" s="269"/>
      <c r="H37" s="269">
        <f t="shared" si="4"/>
        <v>306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2026</v>
      </c>
      <c r="C38" s="221"/>
      <c r="D38" s="221">
        <f t="shared" si="3"/>
        <v>322</v>
      </c>
      <c r="E38" s="221"/>
      <c r="F38" s="221">
        <v>0</v>
      </c>
      <c r="G38" s="221"/>
      <c r="H38" s="221">
        <f t="shared" si="4"/>
        <v>322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2027</v>
      </c>
      <c r="C39" s="221"/>
      <c r="D39" s="221">
        <f t="shared" si="3"/>
        <v>337</v>
      </c>
      <c r="E39" s="221"/>
      <c r="F39" s="221">
        <v>0</v>
      </c>
      <c r="G39" s="221"/>
      <c r="H39" s="221">
        <f t="shared" si="4"/>
        <v>337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2028</v>
      </c>
      <c r="C40" s="221"/>
      <c r="D40" s="221">
        <f t="shared" si="3"/>
        <v>352</v>
      </c>
      <c r="E40" s="221"/>
      <c r="F40" s="221">
        <v>0</v>
      </c>
      <c r="G40" s="221"/>
      <c r="H40" s="221">
        <f t="shared" si="4"/>
        <v>352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2029</v>
      </c>
      <c r="C41" s="221"/>
      <c r="D41" s="221">
        <f t="shared" si="3"/>
        <v>368</v>
      </c>
      <c r="E41" s="221"/>
      <c r="F41" s="221">
        <v>0</v>
      </c>
      <c r="G41" s="221"/>
      <c r="H41" s="221">
        <f t="shared" si="4"/>
        <v>368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>
      <c r="A42" s="203"/>
      <c r="B42" s="268">
        <v>2030</v>
      </c>
      <c r="C42" s="269"/>
      <c r="D42" s="269">
        <f t="shared" si="3"/>
        <v>383</v>
      </c>
      <c r="E42" s="269"/>
      <c r="F42" s="269">
        <v>0</v>
      </c>
      <c r="G42" s="269"/>
      <c r="H42" s="269">
        <f t="shared" si="4"/>
        <v>383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0">
        <v>2031</v>
      </c>
      <c r="C43" s="221"/>
      <c r="D43" s="221">
        <f t="shared" si="3"/>
        <v>398</v>
      </c>
      <c r="E43" s="221"/>
      <c r="F43" s="221">
        <v>0</v>
      </c>
      <c r="G43" s="221"/>
      <c r="H43" s="221">
        <f t="shared" si="4"/>
        <v>398</v>
      </c>
      <c r="I43" s="221"/>
      <c r="J43" s="222">
        <v>0</v>
      </c>
      <c r="K43" s="222"/>
      <c r="L43" s="203"/>
      <c r="M43" s="203"/>
      <c r="N43" s="203"/>
      <c r="O43" s="203"/>
    </row>
    <row r="44" spans="1:15" ht="15" customHeight="1">
      <c r="A44" s="203"/>
      <c r="B44" s="220">
        <v>2032</v>
      </c>
      <c r="C44" s="221"/>
      <c r="D44" s="221">
        <f t="shared" si="3"/>
        <v>413</v>
      </c>
      <c r="E44" s="221"/>
      <c r="F44" s="221">
        <v>0</v>
      </c>
      <c r="G44" s="221"/>
      <c r="H44" s="221">
        <f t="shared" si="4"/>
        <v>413</v>
      </c>
      <c r="I44" s="221"/>
      <c r="J44" s="222">
        <v>0</v>
      </c>
      <c r="K44" s="222"/>
      <c r="L44" s="203"/>
      <c r="M44" s="203"/>
      <c r="N44" s="203"/>
      <c r="O44" s="203"/>
    </row>
    <row r="45" spans="1:15" ht="15" customHeight="1">
      <c r="A45" s="203"/>
      <c r="B45" s="220">
        <v>2033</v>
      </c>
      <c r="C45" s="221"/>
      <c r="D45" s="221">
        <f t="shared" si="3"/>
        <v>429</v>
      </c>
      <c r="E45" s="221"/>
      <c r="F45" s="221">
        <v>0</v>
      </c>
      <c r="G45" s="221"/>
      <c r="H45" s="221">
        <f t="shared" si="4"/>
        <v>429</v>
      </c>
      <c r="I45" s="221"/>
      <c r="J45" s="222">
        <v>0</v>
      </c>
      <c r="K45" s="222"/>
      <c r="L45" s="203"/>
      <c r="M45" s="203"/>
      <c r="N45" s="203"/>
      <c r="O45" s="203"/>
    </row>
    <row r="46" spans="1:15" ht="15" customHeight="1">
      <c r="A46" s="203"/>
      <c r="B46" s="220">
        <v>2034</v>
      </c>
      <c r="C46" s="221"/>
      <c r="D46" s="221">
        <f t="shared" si="3"/>
        <v>444</v>
      </c>
      <c r="E46" s="221"/>
      <c r="F46" s="221">
        <v>0</v>
      </c>
      <c r="G46" s="221"/>
      <c r="H46" s="221">
        <f t="shared" si="4"/>
        <v>444</v>
      </c>
      <c r="I46" s="221"/>
      <c r="J46" s="222">
        <v>0</v>
      </c>
      <c r="K46" s="222"/>
      <c r="L46" s="203"/>
      <c r="M46" s="203"/>
      <c r="N46" s="203"/>
      <c r="O46" s="203"/>
    </row>
    <row r="47" spans="1:15" ht="15" customHeight="1" thickBot="1">
      <c r="A47" s="203"/>
      <c r="B47" s="268">
        <v>2035</v>
      </c>
      <c r="C47" s="269"/>
      <c r="D47" s="269">
        <f t="shared" si="3"/>
        <v>459</v>
      </c>
      <c r="E47" s="269"/>
      <c r="F47" s="269">
        <v>0</v>
      </c>
      <c r="G47" s="269"/>
      <c r="H47" s="269">
        <f t="shared" si="4"/>
        <v>459</v>
      </c>
      <c r="I47" s="269"/>
      <c r="J47" s="270">
        <v>0</v>
      </c>
      <c r="K47" s="270"/>
      <c r="L47" s="203"/>
      <c r="M47" s="203"/>
      <c r="N47" s="203"/>
      <c r="O47" s="203"/>
    </row>
    <row r="48" spans="1:15" ht="15" customHeight="1">
      <c r="A48" s="203"/>
      <c r="B48" s="223" t="s">
        <v>160</v>
      </c>
      <c r="C48" s="223"/>
      <c r="D48" s="224" t="s">
        <v>161</v>
      </c>
      <c r="E48" s="225">
        <f>D$16</f>
        <v>138</v>
      </c>
      <c r="F48" s="226"/>
      <c r="G48" s="224" t="s">
        <v>162</v>
      </c>
      <c r="H48" s="224">
        <f>ROUND((D$16-D$7)/(COUNT(D$7:D$16)-1),1)</f>
        <v>15.3</v>
      </c>
      <c r="I48" s="224"/>
      <c r="J48" s="224" t="s">
        <v>163</v>
      </c>
      <c r="K48" s="227" t="s">
        <v>164</v>
      </c>
      <c r="L48" s="203"/>
      <c r="M48" s="203"/>
      <c r="N48" s="203"/>
      <c r="O48" s="203"/>
    </row>
    <row r="49" spans="1:15" ht="15" customHeight="1">
      <c r="A49" s="203"/>
      <c r="B49" s="237"/>
      <c r="C49" s="237"/>
      <c r="D49" s="240"/>
      <c r="E49" s="267"/>
      <c r="F49" s="239"/>
      <c r="G49" s="240"/>
      <c r="H49" s="240"/>
      <c r="I49" s="240"/>
      <c r="J49" s="240"/>
      <c r="K49" s="241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18" t="s">
        <v>165</v>
      </c>
      <c r="C52" s="219"/>
      <c r="D52" s="219"/>
      <c r="E52" s="219"/>
      <c r="F52" s="219"/>
      <c r="G52" s="219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3"/>
      <c r="C53" s="219" t="s">
        <v>148</v>
      </c>
      <c r="D53" s="219" t="s">
        <v>167</v>
      </c>
      <c r="E53" s="219"/>
      <c r="F53" s="219"/>
      <c r="G53" s="219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1"/>
      <c r="C54" s="201" t="s">
        <v>150</v>
      </c>
      <c r="D54" s="219" t="s">
        <v>151</v>
      </c>
      <c r="E54" s="201"/>
      <c r="F54" s="201"/>
      <c r="G54" s="201"/>
      <c r="H54" s="203"/>
      <c r="I54" s="203"/>
      <c r="J54" s="203"/>
      <c r="K54" s="203"/>
      <c r="L54" s="203"/>
      <c r="M54" s="203"/>
      <c r="N54" s="203"/>
      <c r="O54" s="203"/>
    </row>
    <row r="55" spans="1:15" ht="15" customHeight="1">
      <c r="A55" s="203"/>
      <c r="B55" s="219"/>
      <c r="C55" s="219"/>
      <c r="D55" s="219" t="s">
        <v>152</v>
      </c>
      <c r="E55" s="219"/>
      <c r="F55" s="219"/>
      <c r="G55" s="219"/>
      <c r="H55" s="203"/>
      <c r="I55" s="203"/>
      <c r="J55" s="203"/>
      <c r="K55" s="203"/>
      <c r="L55" s="203"/>
      <c r="M55" s="203"/>
      <c r="N55" s="203"/>
      <c r="O55" s="203"/>
    </row>
    <row r="56" spans="1:15" ht="15" customHeight="1">
      <c r="A56" s="203"/>
      <c r="B56" s="219"/>
      <c r="C56" s="219"/>
      <c r="D56" s="219" t="s">
        <v>171</v>
      </c>
      <c r="E56" s="219"/>
      <c r="F56" s="219"/>
      <c r="G56" s="219"/>
      <c r="H56" s="203"/>
      <c r="I56" s="203"/>
      <c r="J56" s="203"/>
      <c r="K56" s="203"/>
      <c r="L56" s="203"/>
      <c r="M56" s="203"/>
      <c r="N56" s="203"/>
      <c r="O56" s="203"/>
    </row>
    <row r="57" spans="1:15" ht="15" customHeight="1">
      <c r="A57" s="203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L57" s="203"/>
      <c r="M57" s="203"/>
      <c r="N57" s="203"/>
      <c r="O57" s="203"/>
    </row>
    <row r="58" spans="1:15" ht="15" customHeight="1" thickBot="1">
      <c r="A58" s="203"/>
      <c r="B58" s="203"/>
      <c r="C58" s="203"/>
      <c r="D58" s="203"/>
      <c r="E58" s="203"/>
      <c r="F58" s="208" t="s">
        <v>172</v>
      </c>
      <c r="G58" s="208"/>
      <c r="H58" s="203"/>
      <c r="I58" s="203"/>
      <c r="J58" s="203"/>
      <c r="K58" s="203"/>
      <c r="L58" s="203"/>
      <c r="M58" s="203"/>
      <c r="N58" s="203"/>
      <c r="O58" s="203"/>
    </row>
    <row r="59" spans="1:15" ht="15" customHeight="1">
      <c r="A59" s="203"/>
      <c r="B59" s="202" t="s">
        <v>141</v>
      </c>
      <c r="C59" s="202"/>
      <c r="D59" s="202" t="s">
        <v>156</v>
      </c>
      <c r="E59" s="202"/>
      <c r="F59" s="202" t="s">
        <v>157</v>
      </c>
      <c r="G59" s="202"/>
      <c r="H59" s="202" t="s">
        <v>158</v>
      </c>
      <c r="I59" s="202"/>
      <c r="J59" s="202" t="s">
        <v>27</v>
      </c>
      <c r="K59" s="202"/>
      <c r="L59" s="203"/>
      <c r="M59" s="203"/>
      <c r="N59" s="203"/>
      <c r="O59" s="203"/>
    </row>
    <row r="60" spans="1:15" ht="15" customHeight="1">
      <c r="A60" s="203"/>
      <c r="B60" s="220">
        <v>2014</v>
      </c>
      <c r="C60" s="221"/>
      <c r="D60" s="221">
        <f t="shared" ref="D60:D81" si="5">ROUND(E$82*H$82^(B60-$C$4),0)</f>
        <v>138</v>
      </c>
      <c r="E60" s="221"/>
      <c r="F60" s="221">
        <v>0</v>
      </c>
      <c r="G60" s="221"/>
      <c r="H60" s="221">
        <f t="shared" ref="H60:H81" si="6">ROUND(D60*(1+F60),0)</f>
        <v>138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2015</v>
      </c>
      <c r="C61" s="269"/>
      <c r="D61" s="269">
        <f t="shared" si="5"/>
        <v>118</v>
      </c>
      <c r="E61" s="269"/>
      <c r="F61" s="269">
        <v>0</v>
      </c>
      <c r="G61" s="269"/>
      <c r="H61" s="269">
        <f t="shared" si="6"/>
        <v>118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2016</v>
      </c>
      <c r="C62" s="221"/>
      <c r="D62" s="221">
        <f t="shared" si="5"/>
        <v>101</v>
      </c>
      <c r="E62" s="221"/>
      <c r="F62" s="221">
        <v>0</v>
      </c>
      <c r="G62" s="221"/>
      <c r="H62" s="221">
        <f t="shared" si="6"/>
        <v>101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2017</v>
      </c>
      <c r="C63" s="221"/>
      <c r="D63" s="221">
        <f t="shared" si="5"/>
        <v>87</v>
      </c>
      <c r="E63" s="221"/>
      <c r="F63" s="221">
        <v>0</v>
      </c>
      <c r="G63" s="221"/>
      <c r="H63" s="221">
        <f t="shared" si="6"/>
        <v>87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2018</v>
      </c>
      <c r="C64" s="221"/>
      <c r="D64" s="221">
        <f t="shared" si="5"/>
        <v>75</v>
      </c>
      <c r="E64" s="221"/>
      <c r="F64" s="221">
        <v>0</v>
      </c>
      <c r="G64" s="221"/>
      <c r="H64" s="221">
        <f t="shared" si="6"/>
        <v>75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2019</v>
      </c>
      <c r="C65" s="221"/>
      <c r="D65" s="221">
        <f t="shared" si="5"/>
        <v>64</v>
      </c>
      <c r="E65" s="221"/>
      <c r="F65" s="221">
        <v>0</v>
      </c>
      <c r="G65" s="221"/>
      <c r="H65" s="221">
        <f t="shared" si="6"/>
        <v>64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2020</v>
      </c>
      <c r="C66" s="269"/>
      <c r="D66" s="269">
        <f t="shared" si="5"/>
        <v>55</v>
      </c>
      <c r="E66" s="269"/>
      <c r="F66" s="269">
        <v>0</v>
      </c>
      <c r="G66" s="269"/>
      <c r="H66" s="269">
        <f t="shared" si="6"/>
        <v>55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2021</v>
      </c>
      <c r="C67" s="221"/>
      <c r="D67" s="221">
        <f t="shared" si="5"/>
        <v>47</v>
      </c>
      <c r="E67" s="221"/>
      <c r="F67" s="221">
        <v>0</v>
      </c>
      <c r="G67" s="221"/>
      <c r="H67" s="221">
        <f t="shared" si="6"/>
        <v>47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2022</v>
      </c>
      <c r="C68" s="221"/>
      <c r="D68" s="221">
        <f t="shared" si="5"/>
        <v>40</v>
      </c>
      <c r="E68" s="221"/>
      <c r="F68" s="221">
        <v>0</v>
      </c>
      <c r="G68" s="221"/>
      <c r="H68" s="221">
        <f t="shared" si="6"/>
        <v>40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2023</v>
      </c>
      <c r="C69" s="221"/>
      <c r="D69" s="221">
        <f t="shared" si="5"/>
        <v>35</v>
      </c>
      <c r="E69" s="221"/>
      <c r="F69" s="221">
        <v>0</v>
      </c>
      <c r="G69" s="221"/>
      <c r="H69" s="221">
        <f t="shared" si="6"/>
        <v>35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2024</v>
      </c>
      <c r="C70" s="221"/>
      <c r="D70" s="221">
        <f t="shared" si="5"/>
        <v>30</v>
      </c>
      <c r="E70" s="221"/>
      <c r="F70" s="221">
        <v>0</v>
      </c>
      <c r="G70" s="221"/>
      <c r="H70" s="221">
        <f t="shared" si="6"/>
        <v>30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2025</v>
      </c>
      <c r="C71" s="269"/>
      <c r="D71" s="269">
        <f t="shared" si="5"/>
        <v>25</v>
      </c>
      <c r="E71" s="269"/>
      <c r="F71" s="269">
        <v>0</v>
      </c>
      <c r="G71" s="269"/>
      <c r="H71" s="269">
        <f t="shared" si="6"/>
        <v>25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2026</v>
      </c>
      <c r="C72" s="221"/>
      <c r="D72" s="221">
        <f t="shared" si="5"/>
        <v>22</v>
      </c>
      <c r="E72" s="221"/>
      <c r="F72" s="221">
        <v>0</v>
      </c>
      <c r="G72" s="221"/>
      <c r="H72" s="221">
        <f t="shared" si="6"/>
        <v>22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2027</v>
      </c>
      <c r="C73" s="221"/>
      <c r="D73" s="221">
        <f t="shared" si="5"/>
        <v>19</v>
      </c>
      <c r="E73" s="221"/>
      <c r="F73" s="221">
        <v>0</v>
      </c>
      <c r="G73" s="221"/>
      <c r="H73" s="221">
        <f t="shared" si="6"/>
        <v>19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2028</v>
      </c>
      <c r="C74" s="221"/>
      <c r="D74" s="221">
        <f t="shared" si="5"/>
        <v>16</v>
      </c>
      <c r="E74" s="221"/>
      <c r="F74" s="221">
        <v>0</v>
      </c>
      <c r="G74" s="221"/>
      <c r="H74" s="221">
        <f t="shared" si="6"/>
        <v>16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2029</v>
      </c>
      <c r="C75" s="221"/>
      <c r="D75" s="221">
        <f t="shared" si="5"/>
        <v>14</v>
      </c>
      <c r="E75" s="221"/>
      <c r="F75" s="221">
        <v>0</v>
      </c>
      <c r="G75" s="221"/>
      <c r="H75" s="221">
        <f t="shared" si="6"/>
        <v>14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>
      <c r="A76" s="203"/>
      <c r="B76" s="268">
        <v>2030</v>
      </c>
      <c r="C76" s="269"/>
      <c r="D76" s="269">
        <f t="shared" si="5"/>
        <v>12</v>
      </c>
      <c r="E76" s="269"/>
      <c r="F76" s="269">
        <v>0</v>
      </c>
      <c r="G76" s="269"/>
      <c r="H76" s="269">
        <f t="shared" si="6"/>
        <v>12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0">
        <v>2031</v>
      </c>
      <c r="C77" s="221"/>
      <c r="D77" s="221">
        <f t="shared" si="5"/>
        <v>10</v>
      </c>
      <c r="E77" s="221"/>
      <c r="F77" s="221">
        <v>0</v>
      </c>
      <c r="G77" s="221"/>
      <c r="H77" s="221">
        <f t="shared" si="6"/>
        <v>10</v>
      </c>
      <c r="I77" s="221"/>
      <c r="J77" s="222">
        <v>0</v>
      </c>
      <c r="K77" s="222"/>
      <c r="L77" s="203"/>
      <c r="M77" s="203"/>
      <c r="N77" s="203"/>
      <c r="O77" s="203"/>
    </row>
    <row r="78" spans="1:15" ht="15" customHeight="1">
      <c r="A78" s="203"/>
      <c r="B78" s="220">
        <v>2032</v>
      </c>
      <c r="C78" s="221"/>
      <c r="D78" s="221">
        <f t="shared" si="5"/>
        <v>9</v>
      </c>
      <c r="E78" s="221"/>
      <c r="F78" s="221">
        <v>0</v>
      </c>
      <c r="G78" s="221"/>
      <c r="H78" s="221">
        <f t="shared" si="6"/>
        <v>9</v>
      </c>
      <c r="I78" s="221"/>
      <c r="J78" s="222">
        <v>0</v>
      </c>
      <c r="K78" s="222"/>
      <c r="L78" s="203"/>
      <c r="M78" s="203"/>
      <c r="N78" s="203"/>
      <c r="O78" s="203"/>
    </row>
    <row r="79" spans="1:15" ht="15" customHeight="1">
      <c r="A79" s="203"/>
      <c r="B79" s="220">
        <v>2033</v>
      </c>
      <c r="C79" s="221"/>
      <c r="D79" s="221">
        <f t="shared" si="5"/>
        <v>7</v>
      </c>
      <c r="E79" s="221"/>
      <c r="F79" s="221">
        <v>0</v>
      </c>
      <c r="G79" s="221"/>
      <c r="H79" s="221">
        <f t="shared" si="6"/>
        <v>7</v>
      </c>
      <c r="I79" s="221"/>
      <c r="J79" s="222">
        <v>0</v>
      </c>
      <c r="K79" s="222"/>
      <c r="L79" s="203"/>
      <c r="M79" s="203"/>
      <c r="N79" s="203"/>
      <c r="O79" s="203"/>
    </row>
    <row r="80" spans="1:15" ht="15" customHeight="1">
      <c r="A80" s="203"/>
      <c r="B80" s="220">
        <v>2034</v>
      </c>
      <c r="C80" s="221"/>
      <c r="D80" s="221">
        <f t="shared" si="5"/>
        <v>6</v>
      </c>
      <c r="E80" s="221"/>
      <c r="F80" s="221">
        <v>0</v>
      </c>
      <c r="G80" s="221"/>
      <c r="H80" s="221">
        <f t="shared" si="6"/>
        <v>6</v>
      </c>
      <c r="I80" s="221"/>
      <c r="J80" s="222">
        <v>0</v>
      </c>
      <c r="K80" s="222"/>
      <c r="L80" s="203"/>
      <c r="M80" s="203"/>
      <c r="N80" s="203"/>
      <c r="O80" s="203"/>
    </row>
    <row r="81" spans="1:15" ht="15" customHeight="1" thickBot="1">
      <c r="A81" s="203"/>
      <c r="B81" s="268">
        <v>2035</v>
      </c>
      <c r="C81" s="269"/>
      <c r="D81" s="269">
        <f t="shared" si="5"/>
        <v>5</v>
      </c>
      <c r="E81" s="269"/>
      <c r="F81" s="269">
        <v>0</v>
      </c>
      <c r="G81" s="269"/>
      <c r="H81" s="269">
        <f t="shared" si="6"/>
        <v>5</v>
      </c>
      <c r="I81" s="269"/>
      <c r="J81" s="270">
        <v>0</v>
      </c>
      <c r="K81" s="270"/>
      <c r="L81" s="203"/>
      <c r="M81" s="203"/>
      <c r="N81" s="203"/>
      <c r="O81" s="203"/>
    </row>
    <row r="82" spans="1:15" ht="15" customHeight="1">
      <c r="A82" s="203"/>
      <c r="B82" s="223" t="s">
        <v>177</v>
      </c>
      <c r="C82" s="223"/>
      <c r="D82" s="224" t="s">
        <v>161</v>
      </c>
      <c r="E82" s="225">
        <f>D$16</f>
        <v>138</v>
      </c>
      <c r="F82" s="226"/>
      <c r="G82" s="224" t="s">
        <v>179</v>
      </c>
      <c r="H82" s="224">
        <f>ROUND((E$82/D$9)^(1/(COUNT(D$9:D$16)-1)),6)</f>
        <v>0.85743899999999995</v>
      </c>
      <c r="I82" s="224"/>
      <c r="J82" s="224" t="s">
        <v>163</v>
      </c>
      <c r="K82" s="227" t="s">
        <v>164</v>
      </c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>
      <c r="A92" s="203"/>
      <c r="B92" s="218" t="s">
        <v>182</v>
      </c>
      <c r="C92" s="219"/>
      <c r="D92" s="219"/>
      <c r="E92" s="219"/>
      <c r="F92" s="203"/>
      <c r="G92" s="203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3"/>
      <c r="C93" s="219" t="s">
        <v>148</v>
      </c>
      <c r="D93" s="219" t="s">
        <v>184</v>
      </c>
      <c r="E93" s="219"/>
      <c r="F93" s="203"/>
      <c r="G93" s="203"/>
      <c r="H93" s="203"/>
      <c r="I93" s="203"/>
      <c r="J93" s="203"/>
      <c r="K93" s="203"/>
      <c r="L93" s="203"/>
      <c r="M93" s="203"/>
      <c r="N93" s="203"/>
      <c r="O93" s="203"/>
    </row>
    <row r="94" spans="1:15" ht="15" customHeight="1">
      <c r="A94" s="203"/>
      <c r="B94" s="219"/>
      <c r="C94" s="228" t="s">
        <v>185</v>
      </c>
      <c r="D94" s="219" t="s">
        <v>186</v>
      </c>
      <c r="E94" s="201"/>
      <c r="F94" s="203"/>
      <c r="G94" s="203"/>
      <c r="H94" s="203"/>
      <c r="I94" s="203"/>
      <c r="J94" s="203"/>
      <c r="K94" s="203"/>
      <c r="L94" s="203"/>
      <c r="M94" s="203"/>
      <c r="N94" s="203"/>
      <c r="O94" s="203"/>
    </row>
    <row r="95" spans="1:15" ht="15" customHeight="1">
      <c r="A95" s="203"/>
      <c r="B95" s="219"/>
      <c r="C95" s="219"/>
      <c r="D95" s="219" t="s">
        <v>187</v>
      </c>
      <c r="E95" s="219"/>
      <c r="F95" s="203"/>
      <c r="G95" s="203"/>
      <c r="H95" s="203"/>
      <c r="I95" s="203"/>
      <c r="J95" s="203"/>
      <c r="K95" s="203"/>
      <c r="L95" s="203"/>
      <c r="M95" s="203"/>
      <c r="N95" s="203"/>
      <c r="O95" s="203"/>
    </row>
    <row r="96" spans="1:15" ht="15" customHeight="1">
      <c r="A96" s="203"/>
      <c r="B96" s="201"/>
      <c r="C96" s="219"/>
      <c r="D96" s="219" t="s">
        <v>188</v>
      </c>
      <c r="E96" s="219"/>
      <c r="F96" s="203"/>
      <c r="G96" s="203"/>
      <c r="H96" s="203"/>
      <c r="I96" s="203"/>
      <c r="J96" s="203"/>
      <c r="K96" s="203"/>
      <c r="L96" s="203"/>
      <c r="M96" s="203"/>
      <c r="N96" s="203"/>
      <c r="O96" s="203"/>
    </row>
    <row r="97" spans="1:15" ht="15" customHeight="1" thickBot="1">
      <c r="A97" s="203"/>
      <c r="B97" s="203"/>
      <c r="C97" s="203"/>
      <c r="D97" s="203"/>
      <c r="E97" s="203"/>
      <c r="F97" s="208" t="s">
        <v>189</v>
      </c>
      <c r="G97" s="208"/>
      <c r="H97" s="203"/>
      <c r="I97" s="203"/>
      <c r="J97" s="203"/>
      <c r="K97" s="203"/>
      <c r="L97" s="203"/>
      <c r="M97" s="203"/>
      <c r="N97" s="203"/>
      <c r="O97" s="203"/>
    </row>
    <row r="98" spans="1:15" ht="15" customHeight="1">
      <c r="A98" s="203"/>
      <c r="B98" s="202" t="s">
        <v>141</v>
      </c>
      <c r="C98" s="202"/>
      <c r="D98" s="202" t="s">
        <v>191</v>
      </c>
      <c r="E98" s="202" t="s">
        <v>192</v>
      </c>
      <c r="F98" s="202" t="s">
        <v>193</v>
      </c>
      <c r="G98" s="202"/>
      <c r="H98" s="202" t="s">
        <v>194</v>
      </c>
      <c r="I98" s="202"/>
      <c r="J98" s="202" t="s">
        <v>27</v>
      </c>
      <c r="K98" s="202"/>
      <c r="L98" s="203"/>
      <c r="M98" s="203"/>
      <c r="N98" s="203"/>
      <c r="O98" s="203"/>
    </row>
    <row r="99" spans="1:15" ht="15" customHeight="1">
      <c r="A99" s="203"/>
      <c r="B99" s="840">
        <f t="shared" ref="B99:B108" si="7">B7</f>
        <v>2005</v>
      </c>
      <c r="C99" s="840"/>
      <c r="D99" s="208">
        <f t="shared" ref="D99:D108" si="8">VLOOKUP(B99,B$7:E$16,3,FALSE)</f>
        <v>0</v>
      </c>
      <c r="E99" s="229">
        <f t="shared" ref="E99:E108" si="9">((COUNT(B$99:B$108)-1)/2)+(B99-$C$4)</f>
        <v>-4.5</v>
      </c>
      <c r="F99" s="208">
        <f t="shared" ref="F99:F108" si="10">E99^2</f>
        <v>20.25</v>
      </c>
      <c r="G99" s="206"/>
      <c r="H99" s="230">
        <f t="shared" ref="H99:H108" si="11">ROUND(D99*E99,2)</f>
        <v>0</v>
      </c>
      <c r="I99" s="231"/>
      <c r="J99" s="210">
        <v>0</v>
      </c>
      <c r="K99" s="210"/>
      <c r="L99" s="203"/>
      <c r="M99" s="203"/>
      <c r="N99" s="203"/>
      <c r="O99" s="203"/>
    </row>
    <row r="100" spans="1:15" ht="15" customHeight="1">
      <c r="A100" s="203"/>
      <c r="B100" s="840">
        <f t="shared" si="7"/>
        <v>2006</v>
      </c>
      <c r="C100" s="840"/>
      <c r="D100" s="208">
        <f t="shared" si="8"/>
        <v>0</v>
      </c>
      <c r="E100" s="229">
        <f t="shared" si="9"/>
        <v>-3.5</v>
      </c>
      <c r="F100" s="208">
        <f t="shared" si="10"/>
        <v>12.25</v>
      </c>
      <c r="G100" s="206"/>
      <c r="H100" s="230">
        <f t="shared" si="11"/>
        <v>0</v>
      </c>
      <c r="I100" s="231"/>
      <c r="J100" s="210">
        <v>0</v>
      </c>
      <c r="K100" s="210"/>
      <c r="L100" s="203"/>
      <c r="M100" s="203"/>
      <c r="N100" s="203"/>
      <c r="O100" s="203"/>
    </row>
    <row r="101" spans="1:15" ht="15" customHeight="1">
      <c r="A101" s="203"/>
      <c r="B101" s="840">
        <f t="shared" si="7"/>
        <v>2007</v>
      </c>
      <c r="C101" s="840"/>
      <c r="D101" s="208">
        <f t="shared" si="8"/>
        <v>405</v>
      </c>
      <c r="E101" s="229">
        <f t="shared" si="9"/>
        <v>-2.5</v>
      </c>
      <c r="F101" s="208">
        <f>E101^2</f>
        <v>6.25</v>
      </c>
      <c r="G101" s="206"/>
      <c r="H101" s="230">
        <f t="shared" si="11"/>
        <v>-1012.5</v>
      </c>
      <c r="I101" s="231"/>
      <c r="J101" s="210">
        <v>0</v>
      </c>
      <c r="K101" s="210"/>
      <c r="L101" s="203"/>
      <c r="M101" s="203"/>
      <c r="N101" s="203"/>
      <c r="O101" s="203"/>
    </row>
    <row r="102" spans="1:15" ht="15" customHeight="1">
      <c r="A102" s="203"/>
      <c r="B102" s="840">
        <f t="shared" si="7"/>
        <v>2008</v>
      </c>
      <c r="C102" s="840"/>
      <c r="D102" s="208">
        <f t="shared" si="8"/>
        <v>390</v>
      </c>
      <c r="E102" s="229">
        <f t="shared" si="9"/>
        <v>-1.5</v>
      </c>
      <c r="F102" s="208">
        <f t="shared" si="10"/>
        <v>2.25</v>
      </c>
      <c r="G102" s="206"/>
      <c r="H102" s="230">
        <f t="shared" si="11"/>
        <v>-585</v>
      </c>
      <c r="I102" s="231"/>
      <c r="J102" s="210">
        <v>0</v>
      </c>
      <c r="K102" s="210"/>
      <c r="L102" s="203"/>
      <c r="M102" s="203"/>
      <c r="N102" s="203"/>
      <c r="O102" s="203"/>
    </row>
    <row r="103" spans="1:15" ht="15" customHeight="1">
      <c r="A103" s="203"/>
      <c r="B103" s="840">
        <f t="shared" si="7"/>
        <v>2009</v>
      </c>
      <c r="C103" s="840"/>
      <c r="D103" s="208">
        <f t="shared" si="8"/>
        <v>324</v>
      </c>
      <c r="E103" s="229">
        <f t="shared" si="9"/>
        <v>-0.5</v>
      </c>
      <c r="F103" s="208">
        <f t="shared" si="10"/>
        <v>0.25</v>
      </c>
      <c r="G103" s="206"/>
      <c r="H103" s="230">
        <f t="shared" si="11"/>
        <v>-162</v>
      </c>
      <c r="I103" s="231"/>
      <c r="J103" s="210">
        <v>0</v>
      </c>
      <c r="K103" s="210"/>
      <c r="L103" s="203"/>
      <c r="M103" s="203"/>
      <c r="N103" s="203"/>
      <c r="O103" s="203"/>
    </row>
    <row r="104" spans="1:15" ht="15" customHeight="1">
      <c r="A104" s="203"/>
      <c r="B104" s="840">
        <f t="shared" si="7"/>
        <v>2010</v>
      </c>
      <c r="C104" s="840"/>
      <c r="D104" s="208">
        <f t="shared" si="8"/>
        <v>344</v>
      </c>
      <c r="E104" s="229">
        <f t="shared" si="9"/>
        <v>0.5</v>
      </c>
      <c r="F104" s="208">
        <f t="shared" si="10"/>
        <v>0.25</v>
      </c>
      <c r="G104" s="206"/>
      <c r="H104" s="230">
        <f t="shared" si="11"/>
        <v>172</v>
      </c>
      <c r="I104" s="231"/>
      <c r="J104" s="210">
        <v>0</v>
      </c>
      <c r="K104" s="210"/>
      <c r="L104" s="203"/>
      <c r="M104" s="203"/>
      <c r="N104" s="203"/>
      <c r="O104" s="203"/>
    </row>
    <row r="105" spans="1:15" ht="15" customHeight="1">
      <c r="A105" s="203"/>
      <c r="B105" s="840">
        <f t="shared" si="7"/>
        <v>2011</v>
      </c>
      <c r="C105" s="840"/>
      <c r="D105" s="208">
        <f t="shared" si="8"/>
        <v>380</v>
      </c>
      <c r="E105" s="229">
        <f t="shared" si="9"/>
        <v>1.5</v>
      </c>
      <c r="F105" s="208">
        <f t="shared" si="10"/>
        <v>2.25</v>
      </c>
      <c r="G105" s="206"/>
      <c r="H105" s="230">
        <f t="shared" si="11"/>
        <v>570</v>
      </c>
      <c r="I105" s="231"/>
      <c r="J105" s="210">
        <v>0</v>
      </c>
      <c r="K105" s="210"/>
      <c r="L105" s="203"/>
      <c r="M105" s="203"/>
      <c r="N105" s="203"/>
      <c r="O105" s="203"/>
    </row>
    <row r="106" spans="1:15" ht="15" customHeight="1">
      <c r="A106" s="203"/>
      <c r="B106" s="840">
        <f t="shared" si="7"/>
        <v>2012</v>
      </c>
      <c r="C106" s="840"/>
      <c r="D106" s="208">
        <f t="shared" si="8"/>
        <v>286</v>
      </c>
      <c r="E106" s="229">
        <f t="shared" si="9"/>
        <v>2.5</v>
      </c>
      <c r="F106" s="208">
        <f t="shared" si="10"/>
        <v>6.25</v>
      </c>
      <c r="G106" s="206"/>
      <c r="H106" s="230">
        <f t="shared" si="11"/>
        <v>715</v>
      </c>
      <c r="I106" s="231"/>
      <c r="J106" s="210">
        <v>0</v>
      </c>
      <c r="K106" s="210"/>
      <c r="L106" s="203"/>
      <c r="M106" s="203"/>
      <c r="N106" s="203"/>
      <c r="O106" s="203"/>
    </row>
    <row r="107" spans="1:15" ht="15" customHeight="1">
      <c r="A107" s="203"/>
      <c r="B107" s="840">
        <f t="shared" si="7"/>
        <v>2013</v>
      </c>
      <c r="C107" s="840"/>
      <c r="D107" s="208">
        <f t="shared" si="8"/>
        <v>269</v>
      </c>
      <c r="E107" s="229">
        <f t="shared" si="9"/>
        <v>3.5</v>
      </c>
      <c r="F107" s="208">
        <f t="shared" si="10"/>
        <v>12.25</v>
      </c>
      <c r="G107" s="206"/>
      <c r="H107" s="230">
        <f t="shared" si="11"/>
        <v>941.5</v>
      </c>
      <c r="I107" s="231"/>
      <c r="J107" s="210">
        <v>0</v>
      </c>
      <c r="K107" s="210"/>
      <c r="L107" s="203"/>
      <c r="M107" s="203"/>
      <c r="N107" s="203"/>
      <c r="O107" s="203"/>
    </row>
    <row r="108" spans="1:15" ht="15" customHeight="1">
      <c r="A108" s="203"/>
      <c r="B108" s="840">
        <f t="shared" si="7"/>
        <v>2014</v>
      </c>
      <c r="C108" s="840"/>
      <c r="D108" s="208">
        <f t="shared" si="8"/>
        <v>138</v>
      </c>
      <c r="E108" s="229">
        <f t="shared" si="9"/>
        <v>4.5</v>
      </c>
      <c r="F108" s="208">
        <f t="shared" si="10"/>
        <v>20.25</v>
      </c>
      <c r="G108" s="206"/>
      <c r="H108" s="230">
        <f t="shared" si="11"/>
        <v>621</v>
      </c>
      <c r="I108" s="231"/>
      <c r="J108" s="210">
        <v>0</v>
      </c>
      <c r="K108" s="210"/>
      <c r="L108" s="203"/>
      <c r="M108" s="203"/>
      <c r="N108" s="203"/>
      <c r="O108" s="203"/>
    </row>
    <row r="109" spans="1:15" ht="15" customHeight="1" thickBot="1">
      <c r="A109" s="203"/>
      <c r="B109" s="211" t="s">
        <v>146</v>
      </c>
      <c r="C109" s="212"/>
      <c r="D109" s="232">
        <f>SUM(D99:D108)</f>
        <v>2536</v>
      </c>
      <c r="E109" s="215"/>
      <c r="F109" s="233">
        <f>ROUND(SUM(F99:F108),0)</f>
        <v>83</v>
      </c>
      <c r="G109" s="212"/>
      <c r="H109" s="234">
        <f>SUM(H99:H108)</f>
        <v>1260</v>
      </c>
      <c r="I109" s="216"/>
      <c r="J109" s="235"/>
      <c r="K109" s="235"/>
      <c r="L109" s="203"/>
      <c r="M109" s="203"/>
      <c r="N109" s="203"/>
      <c r="O109" s="203"/>
    </row>
    <row r="110" spans="1:15" ht="15" customHeight="1">
      <c r="A110" s="203"/>
      <c r="B110" s="208" t="s">
        <v>197</v>
      </c>
      <c r="C110" s="208"/>
      <c r="D110" s="236" t="s">
        <v>198</v>
      </c>
      <c r="E110" s="203"/>
      <c r="F110" s="203"/>
      <c r="G110" s="201">
        <f>((COUNT(B$99:B$108))*H$109-D$109*E$109)/((COUNT(B$99:B$108))*F$109-E$109*E$109)</f>
        <v>15.180722891566266</v>
      </c>
      <c r="H110" s="236" t="s">
        <v>199</v>
      </c>
      <c r="I110" s="201"/>
      <c r="J110" s="201"/>
      <c r="K110" s="201">
        <f>ROUND((F109*D109-H109*E109)/(COUNT(B$99:B$108)*F109-E109*E109),0)</f>
        <v>254</v>
      </c>
      <c r="L110" s="203"/>
      <c r="M110" s="203"/>
      <c r="N110" s="203"/>
      <c r="O110" s="203"/>
    </row>
    <row r="111" spans="1:15" ht="15" customHeight="1">
      <c r="A111" s="203"/>
      <c r="B111" s="237"/>
      <c r="C111" s="237"/>
      <c r="D111" s="238"/>
      <c r="E111" s="201"/>
      <c r="F111" s="239"/>
      <c r="G111" s="240"/>
      <c r="H111" s="203"/>
      <c r="I111" s="240"/>
      <c r="J111" s="240"/>
      <c r="K111" s="241"/>
      <c r="L111" s="203"/>
      <c r="M111" s="203"/>
      <c r="N111" s="203"/>
      <c r="O111" s="203"/>
    </row>
    <row r="112" spans="1:15" ht="15" customHeight="1">
      <c r="A112" s="203"/>
      <c r="B112" s="203"/>
      <c r="C112" s="203"/>
      <c r="D112" s="203"/>
      <c r="E112" s="219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</row>
    <row r="113" spans="1:15" ht="15" customHeight="1" thickBot="1">
      <c r="A113" s="203"/>
      <c r="B113" s="203"/>
      <c r="C113" s="203"/>
      <c r="D113" s="203"/>
      <c r="E113" s="203"/>
      <c r="F113" s="208" t="s">
        <v>200</v>
      </c>
      <c r="G113" s="208"/>
      <c r="H113" s="203"/>
      <c r="I113" s="203"/>
      <c r="J113" s="203"/>
      <c r="K113" s="203"/>
      <c r="L113" s="203"/>
      <c r="M113" s="203"/>
      <c r="N113" s="203"/>
      <c r="O113" s="203"/>
    </row>
    <row r="114" spans="1:15" ht="15" customHeight="1">
      <c r="A114" s="203"/>
      <c r="B114" s="202" t="s">
        <v>141</v>
      </c>
      <c r="C114" s="202"/>
      <c r="D114" s="202" t="s">
        <v>156</v>
      </c>
      <c r="E114" s="202"/>
      <c r="F114" s="202" t="s">
        <v>157</v>
      </c>
      <c r="G114" s="202"/>
      <c r="H114" s="202" t="s">
        <v>158</v>
      </c>
      <c r="I114" s="202"/>
      <c r="J114" s="202" t="s">
        <v>27</v>
      </c>
      <c r="K114" s="202"/>
      <c r="L114" s="203"/>
      <c r="M114" s="203"/>
      <c r="N114" s="203"/>
      <c r="O114" s="203"/>
    </row>
    <row r="115" spans="1:15" ht="15" customHeight="1">
      <c r="A115" s="203"/>
      <c r="B115" s="220">
        <v>2014</v>
      </c>
      <c r="C115" s="221"/>
      <c r="D115" s="221">
        <f t="shared" ref="D115:D136" si="12">ROUNDUP(G$110*(B115-B$108+E$108)+K$110,0)</f>
        <v>323</v>
      </c>
      <c r="E115" s="221"/>
      <c r="F115" s="221">
        <v>0</v>
      </c>
      <c r="G115" s="221"/>
      <c r="H115" s="221">
        <f t="shared" ref="H115:H136" si="13">ROUND(D115*(1+F115),0)</f>
        <v>323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2015</v>
      </c>
      <c r="C116" s="269"/>
      <c r="D116" s="269">
        <f t="shared" si="12"/>
        <v>338</v>
      </c>
      <c r="E116" s="269"/>
      <c r="F116" s="269">
        <v>0</v>
      </c>
      <c r="G116" s="269"/>
      <c r="H116" s="269">
        <f t="shared" si="13"/>
        <v>338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2016</v>
      </c>
      <c r="C117" s="221"/>
      <c r="D117" s="221">
        <f t="shared" si="12"/>
        <v>353</v>
      </c>
      <c r="E117" s="221"/>
      <c r="F117" s="221">
        <v>0</v>
      </c>
      <c r="G117" s="221"/>
      <c r="H117" s="221">
        <f t="shared" si="13"/>
        <v>353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2017</v>
      </c>
      <c r="C118" s="221"/>
      <c r="D118" s="221">
        <f t="shared" si="12"/>
        <v>368</v>
      </c>
      <c r="E118" s="221"/>
      <c r="F118" s="221">
        <v>0</v>
      </c>
      <c r="G118" s="221"/>
      <c r="H118" s="221">
        <f t="shared" si="13"/>
        <v>368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2018</v>
      </c>
      <c r="C119" s="221"/>
      <c r="D119" s="221">
        <f t="shared" si="12"/>
        <v>384</v>
      </c>
      <c r="E119" s="221"/>
      <c r="F119" s="221">
        <v>0</v>
      </c>
      <c r="G119" s="221"/>
      <c r="H119" s="221">
        <f t="shared" si="13"/>
        <v>384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2019</v>
      </c>
      <c r="C120" s="221"/>
      <c r="D120" s="221">
        <f t="shared" si="12"/>
        <v>399</v>
      </c>
      <c r="E120" s="221"/>
      <c r="F120" s="221">
        <v>0</v>
      </c>
      <c r="G120" s="221"/>
      <c r="H120" s="221">
        <f t="shared" si="13"/>
        <v>399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2020</v>
      </c>
      <c r="C121" s="269"/>
      <c r="D121" s="269">
        <f t="shared" si="12"/>
        <v>414</v>
      </c>
      <c r="E121" s="269"/>
      <c r="F121" s="269">
        <v>0</v>
      </c>
      <c r="G121" s="269"/>
      <c r="H121" s="269">
        <f t="shared" si="13"/>
        <v>414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2021</v>
      </c>
      <c r="C122" s="221"/>
      <c r="D122" s="221">
        <f t="shared" si="12"/>
        <v>429</v>
      </c>
      <c r="E122" s="221"/>
      <c r="F122" s="221">
        <v>0</v>
      </c>
      <c r="G122" s="221"/>
      <c r="H122" s="221">
        <f t="shared" si="13"/>
        <v>429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2022</v>
      </c>
      <c r="C123" s="221"/>
      <c r="D123" s="221">
        <f t="shared" si="12"/>
        <v>444</v>
      </c>
      <c r="E123" s="221"/>
      <c r="F123" s="221">
        <v>0</v>
      </c>
      <c r="G123" s="221"/>
      <c r="H123" s="221">
        <f t="shared" si="13"/>
        <v>444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2023</v>
      </c>
      <c r="C124" s="221"/>
      <c r="D124" s="221">
        <f t="shared" si="12"/>
        <v>459</v>
      </c>
      <c r="E124" s="221"/>
      <c r="F124" s="221">
        <v>0</v>
      </c>
      <c r="G124" s="221"/>
      <c r="H124" s="221">
        <f t="shared" si="13"/>
        <v>459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2024</v>
      </c>
      <c r="C125" s="221"/>
      <c r="D125" s="221">
        <f t="shared" si="12"/>
        <v>475</v>
      </c>
      <c r="E125" s="221"/>
      <c r="F125" s="221">
        <v>0</v>
      </c>
      <c r="G125" s="221"/>
      <c r="H125" s="221">
        <f t="shared" si="13"/>
        <v>475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>
      <c r="A126" s="203"/>
      <c r="B126" s="268">
        <v>2025</v>
      </c>
      <c r="C126" s="269"/>
      <c r="D126" s="269">
        <f t="shared" si="12"/>
        <v>490</v>
      </c>
      <c r="E126" s="269"/>
      <c r="F126" s="269">
        <v>0</v>
      </c>
      <c r="G126" s="269"/>
      <c r="H126" s="269">
        <f t="shared" si="13"/>
        <v>490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0">
        <v>2026</v>
      </c>
      <c r="C127" s="221"/>
      <c r="D127" s="221">
        <f t="shared" si="12"/>
        <v>505</v>
      </c>
      <c r="E127" s="221"/>
      <c r="F127" s="221">
        <v>0</v>
      </c>
      <c r="G127" s="221"/>
      <c r="H127" s="221">
        <f t="shared" si="13"/>
        <v>505</v>
      </c>
      <c r="I127" s="221"/>
      <c r="J127" s="222">
        <v>0</v>
      </c>
      <c r="K127" s="222"/>
      <c r="L127" s="203"/>
      <c r="M127" s="203"/>
      <c r="N127" s="203"/>
      <c r="O127" s="203"/>
    </row>
    <row r="128" spans="1:15" ht="15" customHeight="1">
      <c r="A128" s="203"/>
      <c r="B128" s="220">
        <v>2027</v>
      </c>
      <c r="C128" s="221"/>
      <c r="D128" s="221">
        <f t="shared" si="12"/>
        <v>520</v>
      </c>
      <c r="E128" s="221"/>
      <c r="F128" s="221">
        <v>0</v>
      </c>
      <c r="G128" s="221"/>
      <c r="H128" s="221">
        <f t="shared" si="13"/>
        <v>520</v>
      </c>
      <c r="I128" s="221"/>
      <c r="J128" s="222">
        <v>0</v>
      </c>
      <c r="K128" s="222"/>
      <c r="L128" s="203"/>
      <c r="M128" s="203"/>
      <c r="N128" s="203"/>
      <c r="O128" s="203"/>
    </row>
    <row r="129" spans="1:15" ht="15" customHeight="1">
      <c r="A129" s="203"/>
      <c r="B129" s="220">
        <v>2028</v>
      </c>
      <c r="C129" s="221"/>
      <c r="D129" s="221">
        <f t="shared" si="12"/>
        <v>535</v>
      </c>
      <c r="E129" s="221"/>
      <c r="F129" s="221">
        <v>0</v>
      </c>
      <c r="G129" s="221"/>
      <c r="H129" s="221">
        <f t="shared" si="13"/>
        <v>535</v>
      </c>
      <c r="I129" s="221"/>
      <c r="J129" s="222">
        <v>0</v>
      </c>
      <c r="K129" s="222"/>
      <c r="L129" s="203"/>
      <c r="M129" s="203"/>
      <c r="N129" s="203"/>
      <c r="O129" s="203"/>
    </row>
    <row r="130" spans="1:15" ht="15" customHeight="1">
      <c r="A130" s="203"/>
      <c r="B130" s="220">
        <v>2029</v>
      </c>
      <c r="C130" s="221"/>
      <c r="D130" s="221">
        <f t="shared" si="12"/>
        <v>551</v>
      </c>
      <c r="E130" s="221"/>
      <c r="F130" s="221">
        <v>0</v>
      </c>
      <c r="G130" s="221"/>
      <c r="H130" s="221">
        <f t="shared" si="13"/>
        <v>551</v>
      </c>
      <c r="I130" s="221"/>
      <c r="J130" s="222">
        <v>0</v>
      </c>
      <c r="K130" s="222"/>
      <c r="L130" s="203"/>
      <c r="M130" s="203"/>
      <c r="N130" s="203"/>
      <c r="O130" s="203"/>
    </row>
    <row r="131" spans="1:15" ht="15" customHeight="1">
      <c r="A131" s="203"/>
      <c r="B131" s="268">
        <v>2030</v>
      </c>
      <c r="C131" s="269"/>
      <c r="D131" s="269">
        <f t="shared" si="12"/>
        <v>566</v>
      </c>
      <c r="E131" s="269"/>
      <c r="F131" s="269">
        <v>0</v>
      </c>
      <c r="G131" s="269"/>
      <c r="H131" s="269">
        <f t="shared" si="13"/>
        <v>566</v>
      </c>
      <c r="I131" s="269"/>
      <c r="J131" s="270">
        <v>0</v>
      </c>
      <c r="K131" s="270"/>
      <c r="L131" s="203"/>
      <c r="M131" s="203"/>
      <c r="N131" s="203"/>
      <c r="O131" s="203"/>
    </row>
    <row r="132" spans="1:15" ht="15" customHeight="1">
      <c r="A132" s="203"/>
      <c r="B132" s="220">
        <v>2031</v>
      </c>
      <c r="C132" s="221"/>
      <c r="D132" s="221">
        <f t="shared" si="12"/>
        <v>581</v>
      </c>
      <c r="E132" s="221"/>
      <c r="F132" s="221">
        <v>0</v>
      </c>
      <c r="G132" s="221"/>
      <c r="H132" s="221">
        <f t="shared" si="13"/>
        <v>581</v>
      </c>
      <c r="I132" s="221"/>
      <c r="J132" s="222">
        <v>0</v>
      </c>
      <c r="K132" s="222"/>
      <c r="L132" s="203"/>
      <c r="M132" s="203"/>
      <c r="N132" s="203"/>
      <c r="O132" s="203"/>
    </row>
    <row r="133" spans="1:15" ht="15" customHeight="1">
      <c r="A133" s="203"/>
      <c r="B133" s="220">
        <v>2032</v>
      </c>
      <c r="C133" s="221"/>
      <c r="D133" s="221">
        <f t="shared" si="12"/>
        <v>596</v>
      </c>
      <c r="E133" s="221"/>
      <c r="F133" s="221">
        <v>0</v>
      </c>
      <c r="G133" s="221"/>
      <c r="H133" s="221">
        <f t="shared" si="13"/>
        <v>596</v>
      </c>
      <c r="I133" s="221"/>
      <c r="J133" s="222">
        <v>0</v>
      </c>
      <c r="K133" s="222"/>
      <c r="L133" s="203"/>
      <c r="M133" s="203"/>
      <c r="N133" s="203"/>
      <c r="O133" s="203"/>
    </row>
    <row r="134" spans="1:15" ht="15" customHeight="1">
      <c r="A134" s="203"/>
      <c r="B134" s="220">
        <v>2033</v>
      </c>
      <c r="C134" s="221"/>
      <c r="D134" s="221">
        <f t="shared" si="12"/>
        <v>611</v>
      </c>
      <c r="E134" s="221"/>
      <c r="F134" s="221">
        <v>0</v>
      </c>
      <c r="G134" s="221"/>
      <c r="H134" s="221">
        <f t="shared" si="13"/>
        <v>611</v>
      </c>
      <c r="I134" s="221"/>
      <c r="J134" s="222">
        <v>0</v>
      </c>
      <c r="K134" s="222"/>
      <c r="L134" s="203"/>
      <c r="M134" s="203"/>
      <c r="N134" s="203"/>
      <c r="O134" s="203"/>
    </row>
    <row r="135" spans="1:15" ht="15" customHeight="1">
      <c r="A135" s="203"/>
      <c r="B135" s="220">
        <v>2034</v>
      </c>
      <c r="C135" s="221"/>
      <c r="D135" s="221">
        <f t="shared" si="12"/>
        <v>626</v>
      </c>
      <c r="E135" s="221"/>
      <c r="F135" s="221">
        <v>0</v>
      </c>
      <c r="G135" s="221"/>
      <c r="H135" s="221">
        <f t="shared" si="13"/>
        <v>626</v>
      </c>
      <c r="I135" s="221"/>
      <c r="J135" s="222">
        <v>0</v>
      </c>
      <c r="K135" s="222"/>
      <c r="L135" s="203"/>
      <c r="M135" s="203"/>
      <c r="N135" s="203"/>
      <c r="O135" s="203"/>
    </row>
    <row r="136" spans="1:15" ht="15" customHeight="1" thickBot="1">
      <c r="A136" s="203"/>
      <c r="B136" s="268">
        <v>2035</v>
      </c>
      <c r="C136" s="269"/>
      <c r="D136" s="269">
        <f t="shared" si="12"/>
        <v>642</v>
      </c>
      <c r="E136" s="269"/>
      <c r="F136" s="269">
        <v>0</v>
      </c>
      <c r="G136" s="269"/>
      <c r="H136" s="269">
        <f t="shared" si="13"/>
        <v>642</v>
      </c>
      <c r="I136" s="269"/>
      <c r="J136" s="270">
        <v>0</v>
      </c>
      <c r="K136" s="270"/>
      <c r="L136" s="203"/>
      <c r="M136" s="203"/>
      <c r="N136" s="203"/>
      <c r="O136" s="203"/>
    </row>
    <row r="137" spans="1:15" ht="15" customHeight="1">
      <c r="A137" s="203"/>
      <c r="B137" s="226"/>
      <c r="C137" s="226"/>
      <c r="D137" s="226"/>
      <c r="E137" s="226"/>
      <c r="F137" s="226"/>
      <c r="G137" s="226"/>
      <c r="H137" s="226"/>
      <c r="I137" s="226"/>
      <c r="J137" s="226"/>
      <c r="K137" s="226"/>
      <c r="L137" s="203"/>
      <c r="M137" s="203"/>
      <c r="N137" s="203"/>
      <c r="O137" s="203"/>
    </row>
    <row r="138" spans="1:15" ht="15" customHeight="1">
      <c r="A138" s="203"/>
      <c r="B138" s="239"/>
      <c r="C138" s="239"/>
      <c r="D138" s="239"/>
      <c r="E138" s="239"/>
      <c r="F138" s="239"/>
      <c r="G138" s="239"/>
      <c r="H138" s="239"/>
      <c r="I138" s="239"/>
      <c r="J138" s="239"/>
      <c r="K138" s="239"/>
      <c r="L138" s="203"/>
      <c r="M138" s="203"/>
      <c r="N138" s="203"/>
      <c r="O138" s="203"/>
    </row>
    <row r="139" spans="1:15" ht="15" customHeight="1">
      <c r="A139" s="203"/>
      <c r="B139" s="218" t="s">
        <v>203</v>
      </c>
      <c r="C139" s="219"/>
      <c r="D139" s="219"/>
      <c r="E139" s="219"/>
      <c r="F139" s="219"/>
      <c r="G139" s="203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3"/>
      <c r="C140" s="219" t="s">
        <v>148</v>
      </c>
      <c r="D140" s="219" t="s">
        <v>205</v>
      </c>
      <c r="E140" s="219"/>
      <c r="F140" s="219"/>
      <c r="G140" s="242" t="b">
        <v>1</v>
      </c>
      <c r="H140" s="203"/>
      <c r="I140" s="203"/>
      <c r="J140" s="203"/>
      <c r="K140" s="203"/>
      <c r="L140" s="203"/>
      <c r="M140" s="203"/>
      <c r="N140" s="203"/>
      <c r="O140" s="203"/>
    </row>
    <row r="141" spans="1:15" ht="15" customHeight="1">
      <c r="A141" s="203"/>
      <c r="B141" s="201"/>
      <c r="C141" s="228" t="s">
        <v>185</v>
      </c>
      <c r="D141" s="219" t="s">
        <v>207</v>
      </c>
      <c r="E141" s="219"/>
      <c r="F141" s="201"/>
      <c r="G141" s="243" t="b">
        <v>0</v>
      </c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>
      <c r="A142" s="203"/>
      <c r="B142" s="201"/>
      <c r="C142" s="228"/>
      <c r="D142" s="219" t="s">
        <v>208</v>
      </c>
      <c r="E142" s="219"/>
      <c r="F142" s="201"/>
      <c r="G142" s="203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19"/>
      <c r="C143" s="219"/>
      <c r="D143" s="219" t="s">
        <v>209</v>
      </c>
      <c r="E143" s="219"/>
      <c r="F143" s="219"/>
      <c r="G143" s="203"/>
      <c r="H143" s="203"/>
      <c r="I143" s="203"/>
      <c r="J143" s="203"/>
      <c r="K143" s="203"/>
      <c r="L143" s="203"/>
      <c r="M143" s="203"/>
      <c r="N143" s="203"/>
      <c r="O143" s="203"/>
    </row>
    <row r="144" spans="1:15" ht="15" customHeight="1" thickBot="1">
      <c r="A144" s="203"/>
      <c r="B144" s="203"/>
      <c r="C144" s="203"/>
      <c r="D144" s="203"/>
      <c r="E144" s="203"/>
      <c r="F144" s="208" t="s">
        <v>210</v>
      </c>
      <c r="G144" s="208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>
      <c r="A145" s="203"/>
      <c r="B145" s="202" t="s">
        <v>141</v>
      </c>
      <c r="C145" s="202"/>
      <c r="D145" s="202" t="s">
        <v>191</v>
      </c>
      <c r="E145" s="202" t="s">
        <v>192</v>
      </c>
      <c r="F145" s="202" t="s">
        <v>192</v>
      </c>
      <c r="G145" s="202" t="s">
        <v>193</v>
      </c>
      <c r="H145" s="202" t="s">
        <v>215</v>
      </c>
      <c r="I145" s="202"/>
      <c r="J145" s="202" t="s">
        <v>216</v>
      </c>
      <c r="K145" s="202" t="s">
        <v>217</v>
      </c>
      <c r="L145" s="203"/>
      <c r="M145" s="203"/>
      <c r="N145" s="203"/>
      <c r="O145" s="203"/>
    </row>
    <row r="146" spans="1:15" ht="15" customHeight="1">
      <c r="A146" s="203"/>
      <c r="B146" s="840">
        <f t="shared" ref="B146:B155" si="14">B99</f>
        <v>2005</v>
      </c>
      <c r="C146" s="840"/>
      <c r="D146" s="208">
        <f t="shared" ref="D146:D155" si="15">VLOOKUP(B146,B$7:E$16,3,FALSE)</f>
        <v>0</v>
      </c>
      <c r="E146" s="244">
        <f t="shared" ref="E146:E155" si="16">IF(G$140=FALSE,"",((COUNT(B$99:B$108)-1))+(B146-$C$4))</f>
        <v>0</v>
      </c>
      <c r="F146" s="245">
        <f>IF(E146=0,0,"")</f>
        <v>0</v>
      </c>
      <c r="G146" s="246">
        <f t="shared" ref="G146:G155" si="17">IF(F146="","",F146^2)</f>
        <v>0</v>
      </c>
      <c r="H146" s="231">
        <f t="shared" ref="H146:H155" si="18">IF(G146="","",ABS(D146-D$146))</f>
        <v>0</v>
      </c>
      <c r="I146" s="231"/>
      <c r="J146" s="245">
        <f>IF(H146=0,0,"")</f>
        <v>0</v>
      </c>
      <c r="K146" s="247">
        <f t="shared" ref="K146:K155" si="19">IF(J146="","",J146*F146)</f>
        <v>0</v>
      </c>
      <c r="L146" s="203"/>
      <c r="M146" s="203"/>
      <c r="N146" s="203"/>
      <c r="O146" s="203"/>
    </row>
    <row r="147" spans="1:15" ht="15" customHeight="1">
      <c r="A147" s="203"/>
      <c r="B147" s="840">
        <f t="shared" si="14"/>
        <v>2006</v>
      </c>
      <c r="C147" s="840"/>
      <c r="D147" s="208">
        <f t="shared" si="15"/>
        <v>0</v>
      </c>
      <c r="E147" s="244">
        <f t="shared" si="16"/>
        <v>1</v>
      </c>
      <c r="F147" s="245">
        <f t="shared" ref="F147:F155" si="20">IF(E147="","",LOG(E147))</f>
        <v>0</v>
      </c>
      <c r="G147" s="246">
        <f t="shared" si="17"/>
        <v>0</v>
      </c>
      <c r="H147" s="231">
        <f t="shared" si="18"/>
        <v>0</v>
      </c>
      <c r="I147" s="231"/>
      <c r="J147" s="245">
        <f>IF(H147=0,0,"")</f>
        <v>0</v>
      </c>
      <c r="K147" s="247">
        <f t="shared" si="19"/>
        <v>0</v>
      </c>
      <c r="L147" s="203"/>
      <c r="M147" s="203"/>
      <c r="N147" s="203"/>
      <c r="O147" s="203"/>
    </row>
    <row r="148" spans="1:15" ht="15" customHeight="1">
      <c r="A148" s="203"/>
      <c r="B148" s="840">
        <f t="shared" si="14"/>
        <v>2007</v>
      </c>
      <c r="C148" s="840"/>
      <c r="D148" s="208">
        <f t="shared" si="15"/>
        <v>405</v>
      </c>
      <c r="E148" s="244">
        <f t="shared" si="16"/>
        <v>2</v>
      </c>
      <c r="F148" s="245">
        <f t="shared" si="20"/>
        <v>0.3010299956639812</v>
      </c>
      <c r="G148" s="246">
        <f t="shared" si="17"/>
        <v>9.0619058289456544E-2</v>
      </c>
      <c r="H148" s="231">
        <f t="shared" si="18"/>
        <v>405</v>
      </c>
      <c r="I148" s="231"/>
      <c r="J148" s="247">
        <f t="shared" ref="J148:J155" si="21">IF(H148="","",LOG(H148))</f>
        <v>2.6074550232146687</v>
      </c>
      <c r="K148" s="247">
        <f t="shared" si="19"/>
        <v>0.78492217433233769</v>
      </c>
      <c r="L148" s="203"/>
      <c r="M148" s="203"/>
      <c r="N148" s="203"/>
      <c r="O148" s="203"/>
    </row>
    <row r="149" spans="1:15" ht="15" customHeight="1">
      <c r="A149" s="203"/>
      <c r="B149" s="840">
        <f t="shared" si="14"/>
        <v>2008</v>
      </c>
      <c r="C149" s="840"/>
      <c r="D149" s="208">
        <f t="shared" si="15"/>
        <v>390</v>
      </c>
      <c r="E149" s="244">
        <f t="shared" si="16"/>
        <v>3</v>
      </c>
      <c r="F149" s="245">
        <f t="shared" si="20"/>
        <v>0.47712125471966244</v>
      </c>
      <c r="G149" s="246">
        <f t="shared" si="17"/>
        <v>0.227644691705265</v>
      </c>
      <c r="H149" s="231">
        <f t="shared" si="18"/>
        <v>390</v>
      </c>
      <c r="I149" s="231"/>
      <c r="J149" s="247">
        <f t="shared" si="21"/>
        <v>2.5910646070264991</v>
      </c>
      <c r="K149" s="247">
        <f t="shared" si="19"/>
        <v>1.2362519963641923</v>
      </c>
      <c r="L149" s="203"/>
      <c r="M149" s="203"/>
      <c r="N149" s="203"/>
      <c r="O149" s="203"/>
    </row>
    <row r="150" spans="1:15" ht="15" customHeight="1">
      <c r="A150" s="203"/>
      <c r="B150" s="840">
        <f t="shared" si="14"/>
        <v>2009</v>
      </c>
      <c r="C150" s="840"/>
      <c r="D150" s="208">
        <f t="shared" si="15"/>
        <v>324</v>
      </c>
      <c r="E150" s="244">
        <f t="shared" si="16"/>
        <v>4</v>
      </c>
      <c r="F150" s="245">
        <f t="shared" si="20"/>
        <v>0.6020599913279624</v>
      </c>
      <c r="G150" s="246">
        <f t="shared" si="17"/>
        <v>0.36247623315782618</v>
      </c>
      <c r="H150" s="231">
        <f t="shared" si="18"/>
        <v>324</v>
      </c>
      <c r="I150" s="231"/>
      <c r="J150" s="247">
        <f t="shared" si="21"/>
        <v>2.510545010206612</v>
      </c>
      <c r="K150" s="247">
        <f t="shared" si="19"/>
        <v>1.511498707073452</v>
      </c>
      <c r="L150" s="203"/>
      <c r="M150" s="203"/>
      <c r="N150" s="203"/>
      <c r="O150" s="203"/>
    </row>
    <row r="151" spans="1:15" ht="15" customHeight="1">
      <c r="A151" s="203"/>
      <c r="B151" s="840">
        <f t="shared" si="14"/>
        <v>2010</v>
      </c>
      <c r="C151" s="840"/>
      <c r="D151" s="208">
        <f t="shared" si="15"/>
        <v>344</v>
      </c>
      <c r="E151" s="244">
        <f t="shared" si="16"/>
        <v>5</v>
      </c>
      <c r="F151" s="245">
        <f t="shared" si="20"/>
        <v>0.69897000433601886</v>
      </c>
      <c r="G151" s="246">
        <f t="shared" si="17"/>
        <v>0.4885590669614942</v>
      </c>
      <c r="H151" s="231">
        <f t="shared" si="18"/>
        <v>344</v>
      </c>
      <c r="I151" s="231"/>
      <c r="J151" s="247">
        <f t="shared" si="21"/>
        <v>2.53655844257153</v>
      </c>
      <c r="K151" s="247">
        <f t="shared" si="19"/>
        <v>1.7729782656027875</v>
      </c>
      <c r="L151" s="203"/>
      <c r="M151" s="203"/>
      <c r="N151" s="203"/>
      <c r="O151" s="203"/>
    </row>
    <row r="152" spans="1:15" ht="15" customHeight="1">
      <c r="A152" s="203"/>
      <c r="B152" s="840">
        <f t="shared" si="14"/>
        <v>2011</v>
      </c>
      <c r="C152" s="840"/>
      <c r="D152" s="208">
        <f t="shared" si="15"/>
        <v>380</v>
      </c>
      <c r="E152" s="244">
        <f t="shared" si="16"/>
        <v>6</v>
      </c>
      <c r="F152" s="245">
        <f t="shared" si="20"/>
        <v>0.77815125038364363</v>
      </c>
      <c r="G152" s="246">
        <f t="shared" si="17"/>
        <v>0.60551936847362808</v>
      </c>
      <c r="H152" s="231">
        <f t="shared" si="18"/>
        <v>380</v>
      </c>
      <c r="I152" s="231"/>
      <c r="J152" s="247">
        <f t="shared" si="21"/>
        <v>2.5797835966168101</v>
      </c>
      <c r="K152" s="247">
        <f t="shared" si="19"/>
        <v>2.0074618314265842</v>
      </c>
      <c r="L152" s="203"/>
      <c r="M152" s="203"/>
      <c r="N152" s="203"/>
      <c r="O152" s="203"/>
    </row>
    <row r="153" spans="1:15" ht="15" customHeight="1">
      <c r="A153" s="203"/>
      <c r="B153" s="840">
        <f t="shared" si="14"/>
        <v>2012</v>
      </c>
      <c r="C153" s="840"/>
      <c r="D153" s="208">
        <f t="shared" si="15"/>
        <v>286</v>
      </c>
      <c r="E153" s="244">
        <f t="shared" si="16"/>
        <v>7</v>
      </c>
      <c r="F153" s="245">
        <f t="shared" si="20"/>
        <v>0.84509804001425681</v>
      </c>
      <c r="G153" s="246">
        <f t="shared" si="17"/>
        <v>0.71419069723593842</v>
      </c>
      <c r="H153" s="231">
        <f t="shared" si="18"/>
        <v>286</v>
      </c>
      <c r="I153" s="231"/>
      <c r="J153" s="247">
        <f t="shared" si="21"/>
        <v>2.4563660331290431</v>
      </c>
      <c r="K153" s="247">
        <f t="shared" si="19"/>
        <v>2.0758701201549492</v>
      </c>
      <c r="L153" s="203"/>
      <c r="M153" s="203"/>
      <c r="N153" s="203"/>
      <c r="O153" s="203"/>
    </row>
    <row r="154" spans="1:15" ht="15" customHeight="1">
      <c r="A154" s="203"/>
      <c r="B154" s="840">
        <f t="shared" si="14"/>
        <v>2013</v>
      </c>
      <c r="C154" s="840"/>
      <c r="D154" s="208">
        <f t="shared" si="15"/>
        <v>269</v>
      </c>
      <c r="E154" s="244">
        <f t="shared" si="16"/>
        <v>8</v>
      </c>
      <c r="F154" s="245">
        <f t="shared" si="20"/>
        <v>0.90308998699194354</v>
      </c>
      <c r="G154" s="246">
        <f t="shared" si="17"/>
        <v>0.81557152460510873</v>
      </c>
      <c r="H154" s="231">
        <f t="shared" si="18"/>
        <v>269</v>
      </c>
      <c r="I154" s="231"/>
      <c r="J154" s="247">
        <f t="shared" si="21"/>
        <v>2.4297522800024081</v>
      </c>
      <c r="K154" s="247">
        <f t="shared" si="19"/>
        <v>2.1942849549410197</v>
      </c>
      <c r="L154" s="203"/>
      <c r="M154" s="203"/>
      <c r="N154" s="203"/>
      <c r="O154" s="203"/>
    </row>
    <row r="155" spans="1:15" ht="15" customHeight="1">
      <c r="A155" s="203"/>
      <c r="B155" s="840">
        <f t="shared" si="14"/>
        <v>2014</v>
      </c>
      <c r="C155" s="840"/>
      <c r="D155" s="208">
        <f t="shared" si="15"/>
        <v>138</v>
      </c>
      <c r="E155" s="244">
        <f t="shared" si="16"/>
        <v>9</v>
      </c>
      <c r="F155" s="245">
        <f t="shared" si="20"/>
        <v>0.95424250943932487</v>
      </c>
      <c r="G155" s="246">
        <f t="shared" si="17"/>
        <v>0.91057876682105998</v>
      </c>
      <c r="H155" s="231">
        <f t="shared" si="18"/>
        <v>138</v>
      </c>
      <c r="I155" s="231"/>
      <c r="J155" s="247">
        <f t="shared" si="21"/>
        <v>2.1398790864012365</v>
      </c>
      <c r="K155" s="247">
        <f t="shared" si="19"/>
        <v>2.0419635893042458</v>
      </c>
      <c r="L155" s="203"/>
      <c r="M155" s="203"/>
      <c r="N155" s="203"/>
      <c r="O155" s="203"/>
    </row>
    <row r="156" spans="1:15" ht="15" customHeight="1" thickBot="1">
      <c r="A156" s="203"/>
      <c r="B156" s="211" t="s">
        <v>146</v>
      </c>
      <c r="C156" s="212"/>
      <c r="D156" s="248"/>
      <c r="E156" s="249"/>
      <c r="F156" s="250">
        <f>IF(F155="","",ROUND(SUM(F146:F155),6))</f>
        <v>5.5597630000000002</v>
      </c>
      <c r="G156" s="250">
        <f>IF(G155="","",ROUND(SUM(G146:G155),6))</f>
        <v>4.2151589999999999</v>
      </c>
      <c r="H156" s="251"/>
      <c r="I156" s="252"/>
      <c r="J156" s="253">
        <f>IF(J155="","",SUM(J146:J155))</f>
        <v>19.851404079168809</v>
      </c>
      <c r="K156" s="253">
        <f>IF(K155="","",SUM(K146:K155))</f>
        <v>13.625231639199567</v>
      </c>
      <c r="L156" s="203"/>
      <c r="M156" s="203"/>
      <c r="N156" s="203"/>
      <c r="O156" s="203"/>
    </row>
    <row r="157" spans="1:15" ht="15" customHeight="1">
      <c r="A157" s="203"/>
      <c r="B157" s="208" t="s">
        <v>219</v>
      </c>
      <c r="C157" s="208"/>
      <c r="D157" s="201" t="s">
        <v>162</v>
      </c>
      <c r="E157" s="201">
        <f>IF(G156="",0,10^ROUND((G156*J156-F156*K156)/((COUNT(B$146:B$155)-1)*G156-F156*F156),5))</f>
        <v>13.423321746169503</v>
      </c>
      <c r="F157" s="238" t="s">
        <v>220</v>
      </c>
      <c r="G157" s="203"/>
      <c r="H157" s="208"/>
      <c r="I157" s="203"/>
      <c r="J157" s="254">
        <f>IF(G156="",0,ROUND(((COUNT(B$146:B$155)-1)*K156-J156*F156)/((COUNT(B$146:B$155)-1)*G156-F156*F156),5))</f>
        <v>1.7447900000000001</v>
      </c>
      <c r="K157" s="255"/>
      <c r="L157" s="203"/>
      <c r="M157" s="203"/>
      <c r="N157" s="203"/>
      <c r="O157" s="203"/>
    </row>
    <row r="158" spans="1:15" ht="15" customHeight="1">
      <c r="A158" s="203"/>
      <c r="B158" s="203"/>
      <c r="C158" s="203"/>
      <c r="D158" s="238" t="s">
        <v>221</v>
      </c>
      <c r="E158" s="219"/>
      <c r="F158" s="219"/>
      <c r="G158" s="256"/>
      <c r="H158" s="201" t="s">
        <v>222</v>
      </c>
      <c r="I158" s="219" t="s">
        <v>223</v>
      </c>
      <c r="J158" s="201" t="str">
        <f>"A = 10^("&amp;RIGHT(H158,1)&amp;") "</f>
        <v xml:space="preserve">A = 10^(b) </v>
      </c>
      <c r="K158" s="203"/>
      <c r="L158" s="203"/>
      <c r="M158" s="203"/>
      <c r="N158" s="203"/>
      <c r="O158" s="203"/>
    </row>
    <row r="159" spans="1:15" ht="15" customHeight="1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</row>
    <row r="160" spans="1:15" ht="15" customHeight="1" thickBot="1">
      <c r="A160" s="203"/>
      <c r="B160" s="203"/>
      <c r="C160" s="203"/>
      <c r="D160" s="203"/>
      <c r="E160" s="203"/>
      <c r="F160" s="208" t="s">
        <v>200</v>
      </c>
      <c r="G160" s="208"/>
      <c r="H160" s="203"/>
      <c r="I160" s="203"/>
      <c r="J160" s="203"/>
      <c r="K160" s="203"/>
      <c r="L160" s="203"/>
      <c r="M160" s="203"/>
      <c r="N160" s="203"/>
      <c r="O160" s="203"/>
    </row>
    <row r="161" spans="1:15" ht="15" customHeight="1">
      <c r="A161" s="203"/>
      <c r="B161" s="202" t="s">
        <v>141</v>
      </c>
      <c r="C161" s="202"/>
      <c r="D161" s="202" t="s">
        <v>156</v>
      </c>
      <c r="E161" s="202"/>
      <c r="F161" s="202" t="s">
        <v>157</v>
      </c>
      <c r="G161" s="202"/>
      <c r="H161" s="202" t="s">
        <v>158</v>
      </c>
      <c r="I161" s="202"/>
      <c r="J161" s="202" t="s">
        <v>27</v>
      </c>
      <c r="K161" s="202"/>
      <c r="L161" s="203"/>
      <c r="M161" s="203"/>
      <c r="N161" s="203"/>
      <c r="O161" s="203"/>
    </row>
    <row r="162" spans="1:15" ht="15" customHeight="1">
      <c r="A162" s="203"/>
      <c r="B162" s="220">
        <v>2014</v>
      </c>
      <c r="C162" s="208"/>
      <c r="D162" s="257">
        <f t="shared" ref="D162:D183" si="22">IF(J$157=0,0,ROUNDUP(D$146+E$157*(B162-B$146)^J$157,0))</f>
        <v>621</v>
      </c>
      <c r="E162" s="257"/>
      <c r="F162" s="844">
        <v>0</v>
      </c>
      <c r="G162" s="844"/>
      <c r="H162" s="844">
        <f t="shared" ref="H162:H183" si="23">ROUND(D162*(1+F162),0)</f>
        <v>621</v>
      </c>
      <c r="I162" s="844"/>
      <c r="J162" s="210">
        <v>0</v>
      </c>
      <c r="K162" s="210"/>
      <c r="L162" s="203"/>
      <c r="M162" s="203"/>
      <c r="N162" s="203"/>
      <c r="O162" s="203"/>
    </row>
    <row r="163" spans="1:15" ht="15" customHeight="1">
      <c r="A163" s="203"/>
      <c r="B163" s="268">
        <v>2015</v>
      </c>
      <c r="C163" s="269"/>
      <c r="D163" s="271">
        <f t="shared" si="22"/>
        <v>746</v>
      </c>
      <c r="E163" s="271"/>
      <c r="F163" s="272">
        <v>0</v>
      </c>
      <c r="G163" s="272"/>
      <c r="H163" s="272">
        <f t="shared" si="23"/>
        <v>746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2016</v>
      </c>
      <c r="C164" s="221"/>
      <c r="D164" s="257">
        <f t="shared" si="22"/>
        <v>881</v>
      </c>
      <c r="E164" s="257"/>
      <c r="F164" s="258">
        <v>0</v>
      </c>
      <c r="G164" s="258"/>
      <c r="H164" s="258">
        <f t="shared" si="23"/>
        <v>881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2017</v>
      </c>
      <c r="C165" s="221"/>
      <c r="D165" s="257">
        <f t="shared" si="22"/>
        <v>1026</v>
      </c>
      <c r="E165" s="257"/>
      <c r="F165" s="258">
        <v>0</v>
      </c>
      <c r="G165" s="258"/>
      <c r="H165" s="258">
        <f t="shared" si="23"/>
        <v>1026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2018</v>
      </c>
      <c r="C166" s="221"/>
      <c r="D166" s="257">
        <f t="shared" si="22"/>
        <v>1179</v>
      </c>
      <c r="E166" s="257"/>
      <c r="F166" s="258">
        <v>0</v>
      </c>
      <c r="G166" s="258"/>
      <c r="H166" s="258">
        <f t="shared" si="23"/>
        <v>1179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2019</v>
      </c>
      <c r="C167" s="221"/>
      <c r="D167" s="257">
        <f t="shared" si="22"/>
        <v>1342</v>
      </c>
      <c r="E167" s="257"/>
      <c r="F167" s="258">
        <v>0</v>
      </c>
      <c r="G167" s="258"/>
      <c r="H167" s="258">
        <f t="shared" si="23"/>
        <v>1342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>
      <c r="A168" s="203"/>
      <c r="B168" s="268">
        <v>2020</v>
      </c>
      <c r="C168" s="269"/>
      <c r="D168" s="271">
        <f t="shared" si="22"/>
        <v>1514</v>
      </c>
      <c r="E168" s="271"/>
      <c r="F168" s="272">
        <v>0</v>
      </c>
      <c r="G168" s="272"/>
      <c r="H168" s="272">
        <f t="shared" si="23"/>
        <v>1514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0">
        <v>2021</v>
      </c>
      <c r="C169" s="221"/>
      <c r="D169" s="257">
        <f t="shared" si="22"/>
        <v>1694</v>
      </c>
      <c r="E169" s="257"/>
      <c r="F169" s="258">
        <v>0</v>
      </c>
      <c r="G169" s="258"/>
      <c r="H169" s="258">
        <f t="shared" si="23"/>
        <v>1694</v>
      </c>
      <c r="I169" s="258"/>
      <c r="J169" s="222">
        <v>0</v>
      </c>
      <c r="K169" s="222"/>
      <c r="L169" s="203"/>
      <c r="M169" s="203"/>
      <c r="N169" s="203"/>
      <c r="O169" s="203"/>
    </row>
    <row r="170" spans="1:15" ht="15" customHeight="1">
      <c r="A170" s="203"/>
      <c r="B170" s="220">
        <v>2022</v>
      </c>
      <c r="C170" s="221"/>
      <c r="D170" s="257">
        <f t="shared" si="22"/>
        <v>1883</v>
      </c>
      <c r="E170" s="257"/>
      <c r="F170" s="258">
        <v>0</v>
      </c>
      <c r="G170" s="258"/>
      <c r="H170" s="258">
        <f t="shared" si="23"/>
        <v>1883</v>
      </c>
      <c r="I170" s="258"/>
      <c r="J170" s="222">
        <v>0</v>
      </c>
      <c r="K170" s="222"/>
      <c r="L170" s="203"/>
      <c r="M170" s="203"/>
      <c r="N170" s="203"/>
      <c r="O170" s="203"/>
    </row>
    <row r="171" spans="1:15" ht="15" customHeight="1">
      <c r="A171" s="203"/>
      <c r="B171" s="220">
        <v>2023</v>
      </c>
      <c r="C171" s="221"/>
      <c r="D171" s="257">
        <f t="shared" si="22"/>
        <v>2080</v>
      </c>
      <c r="E171" s="257"/>
      <c r="F171" s="258">
        <v>0</v>
      </c>
      <c r="G171" s="258"/>
      <c r="H171" s="258">
        <f t="shared" si="23"/>
        <v>2080</v>
      </c>
      <c r="I171" s="258"/>
      <c r="J171" s="222">
        <v>0</v>
      </c>
      <c r="K171" s="222"/>
      <c r="L171" s="203"/>
      <c r="M171" s="203"/>
      <c r="N171" s="203"/>
      <c r="O171" s="203"/>
    </row>
    <row r="172" spans="1:15" ht="15" customHeight="1">
      <c r="A172" s="203"/>
      <c r="B172" s="220">
        <v>2024</v>
      </c>
      <c r="C172" s="221"/>
      <c r="D172" s="257">
        <f t="shared" si="22"/>
        <v>2286</v>
      </c>
      <c r="E172" s="257"/>
      <c r="F172" s="258">
        <v>0</v>
      </c>
      <c r="G172" s="258"/>
      <c r="H172" s="258">
        <f t="shared" si="23"/>
        <v>2286</v>
      </c>
      <c r="I172" s="258"/>
      <c r="J172" s="222">
        <v>0</v>
      </c>
      <c r="K172" s="222"/>
      <c r="L172" s="203"/>
      <c r="M172" s="203"/>
      <c r="N172" s="203"/>
      <c r="O172" s="203"/>
    </row>
    <row r="173" spans="1:15" ht="15" customHeight="1">
      <c r="A173" s="203"/>
      <c r="B173" s="268">
        <v>2025</v>
      </c>
      <c r="C173" s="269"/>
      <c r="D173" s="271">
        <f t="shared" si="22"/>
        <v>2500</v>
      </c>
      <c r="E173" s="271"/>
      <c r="F173" s="272">
        <v>0</v>
      </c>
      <c r="G173" s="272"/>
      <c r="H173" s="272">
        <f t="shared" si="23"/>
        <v>2500</v>
      </c>
      <c r="I173" s="272"/>
      <c r="J173" s="270">
        <v>0</v>
      </c>
      <c r="K173" s="270"/>
      <c r="L173" s="203"/>
      <c r="M173" s="203"/>
      <c r="N173" s="203"/>
      <c r="O173" s="203"/>
    </row>
    <row r="174" spans="1:15" ht="15" customHeight="1">
      <c r="A174" s="203"/>
      <c r="B174" s="220">
        <v>2026</v>
      </c>
      <c r="C174" s="221"/>
      <c r="D174" s="257">
        <f t="shared" si="22"/>
        <v>2722</v>
      </c>
      <c r="E174" s="257"/>
      <c r="F174" s="258">
        <v>0</v>
      </c>
      <c r="G174" s="258"/>
      <c r="H174" s="258">
        <f t="shared" si="23"/>
        <v>2722</v>
      </c>
      <c r="I174" s="258"/>
      <c r="J174" s="222">
        <v>0</v>
      </c>
      <c r="K174" s="222"/>
      <c r="L174" s="203"/>
      <c r="M174" s="203"/>
      <c r="N174" s="203"/>
      <c r="O174" s="203"/>
    </row>
    <row r="175" spans="1:15" ht="15" customHeight="1">
      <c r="A175" s="203"/>
      <c r="B175" s="220">
        <v>2027</v>
      </c>
      <c r="C175" s="221"/>
      <c r="D175" s="257">
        <f t="shared" si="22"/>
        <v>2952</v>
      </c>
      <c r="E175" s="257"/>
      <c r="F175" s="258">
        <v>0</v>
      </c>
      <c r="G175" s="258"/>
      <c r="H175" s="258">
        <f t="shared" si="23"/>
        <v>2952</v>
      </c>
      <c r="I175" s="258"/>
      <c r="J175" s="222">
        <v>0</v>
      </c>
      <c r="K175" s="222"/>
      <c r="L175" s="203"/>
      <c r="M175" s="203"/>
      <c r="N175" s="203"/>
      <c r="O175" s="203"/>
    </row>
    <row r="176" spans="1:15" ht="15" customHeight="1">
      <c r="A176" s="203"/>
      <c r="B176" s="220">
        <v>2028</v>
      </c>
      <c r="C176" s="221"/>
      <c r="D176" s="257">
        <f t="shared" si="22"/>
        <v>3190</v>
      </c>
      <c r="E176" s="257"/>
      <c r="F176" s="258">
        <v>0</v>
      </c>
      <c r="G176" s="258"/>
      <c r="H176" s="258">
        <f t="shared" si="23"/>
        <v>3190</v>
      </c>
      <c r="I176" s="258"/>
      <c r="J176" s="222">
        <v>0</v>
      </c>
      <c r="K176" s="222"/>
      <c r="L176" s="203"/>
      <c r="M176" s="203"/>
      <c r="N176" s="203"/>
      <c r="O176" s="203"/>
    </row>
    <row r="177" spans="1:15" ht="15" customHeight="1">
      <c r="A177" s="203"/>
      <c r="B177" s="220">
        <v>2029</v>
      </c>
      <c r="C177" s="221"/>
      <c r="D177" s="257">
        <f t="shared" si="22"/>
        <v>3436</v>
      </c>
      <c r="E177" s="257"/>
      <c r="F177" s="258">
        <v>0</v>
      </c>
      <c r="G177" s="258"/>
      <c r="H177" s="258">
        <f t="shared" si="23"/>
        <v>3436</v>
      </c>
      <c r="I177" s="258"/>
      <c r="J177" s="222">
        <v>0</v>
      </c>
      <c r="K177" s="222"/>
      <c r="L177" s="203"/>
      <c r="M177" s="203"/>
      <c r="N177" s="203"/>
      <c r="O177" s="203"/>
    </row>
    <row r="178" spans="1:15" ht="15" customHeight="1">
      <c r="A178" s="203"/>
      <c r="B178" s="268">
        <v>2030</v>
      </c>
      <c r="C178" s="269"/>
      <c r="D178" s="271">
        <f t="shared" si="22"/>
        <v>3690</v>
      </c>
      <c r="E178" s="271"/>
      <c r="F178" s="272">
        <v>0</v>
      </c>
      <c r="G178" s="272"/>
      <c r="H178" s="272">
        <f t="shared" si="23"/>
        <v>3690</v>
      </c>
      <c r="I178" s="272"/>
      <c r="J178" s="270">
        <v>0</v>
      </c>
      <c r="K178" s="270"/>
      <c r="L178" s="203"/>
      <c r="M178" s="203"/>
      <c r="N178" s="203"/>
      <c r="O178" s="203"/>
    </row>
    <row r="179" spans="1:15" ht="15" customHeight="1">
      <c r="A179" s="203"/>
      <c r="B179" s="220">
        <v>2031</v>
      </c>
      <c r="C179" s="221"/>
      <c r="D179" s="257">
        <f t="shared" si="22"/>
        <v>3951</v>
      </c>
      <c r="E179" s="257"/>
      <c r="F179" s="258">
        <v>0</v>
      </c>
      <c r="G179" s="258"/>
      <c r="H179" s="258">
        <f t="shared" si="23"/>
        <v>3951</v>
      </c>
      <c r="I179" s="258"/>
      <c r="J179" s="222">
        <v>0</v>
      </c>
      <c r="K179" s="222"/>
      <c r="L179" s="203"/>
      <c r="M179" s="203"/>
      <c r="N179" s="203"/>
      <c r="O179" s="203"/>
    </row>
    <row r="180" spans="1:15" ht="15" customHeight="1">
      <c r="A180" s="203"/>
      <c r="B180" s="220">
        <v>2032</v>
      </c>
      <c r="C180" s="221"/>
      <c r="D180" s="257">
        <f t="shared" si="22"/>
        <v>4220</v>
      </c>
      <c r="E180" s="257"/>
      <c r="F180" s="258">
        <v>0</v>
      </c>
      <c r="G180" s="258"/>
      <c r="H180" s="258">
        <f t="shared" si="23"/>
        <v>4220</v>
      </c>
      <c r="I180" s="258"/>
      <c r="J180" s="222">
        <v>0</v>
      </c>
      <c r="K180" s="222"/>
      <c r="L180" s="203"/>
      <c r="M180" s="203"/>
      <c r="N180" s="203"/>
      <c r="O180" s="203"/>
    </row>
    <row r="181" spans="1:15" ht="15" customHeight="1">
      <c r="A181" s="203"/>
      <c r="B181" s="220">
        <v>2033</v>
      </c>
      <c r="C181" s="221"/>
      <c r="D181" s="257">
        <f t="shared" si="22"/>
        <v>4497</v>
      </c>
      <c r="E181" s="257"/>
      <c r="F181" s="258">
        <v>0</v>
      </c>
      <c r="G181" s="258"/>
      <c r="H181" s="258">
        <f t="shared" si="23"/>
        <v>4497</v>
      </c>
      <c r="I181" s="258"/>
      <c r="J181" s="222">
        <v>0</v>
      </c>
      <c r="K181" s="222"/>
      <c r="L181" s="203"/>
      <c r="M181" s="203"/>
      <c r="N181" s="203"/>
      <c r="O181" s="203"/>
    </row>
    <row r="182" spans="1:15" ht="15" customHeight="1">
      <c r="A182" s="203"/>
      <c r="B182" s="220">
        <v>2034</v>
      </c>
      <c r="C182" s="221"/>
      <c r="D182" s="257">
        <f t="shared" si="22"/>
        <v>4781</v>
      </c>
      <c r="E182" s="257"/>
      <c r="F182" s="258">
        <v>0</v>
      </c>
      <c r="G182" s="258"/>
      <c r="H182" s="258">
        <f t="shared" si="23"/>
        <v>4781</v>
      </c>
      <c r="I182" s="258"/>
      <c r="J182" s="222">
        <v>0</v>
      </c>
      <c r="K182" s="222"/>
      <c r="L182" s="203"/>
      <c r="M182" s="203"/>
      <c r="N182" s="203"/>
      <c r="O182" s="203"/>
    </row>
    <row r="183" spans="1:15" ht="15" customHeight="1" thickBot="1">
      <c r="A183" s="203"/>
      <c r="B183" s="268">
        <v>2035</v>
      </c>
      <c r="C183" s="269"/>
      <c r="D183" s="271">
        <f t="shared" si="22"/>
        <v>5072</v>
      </c>
      <c r="E183" s="271"/>
      <c r="F183" s="272">
        <v>0</v>
      </c>
      <c r="G183" s="272"/>
      <c r="H183" s="272">
        <f t="shared" si="23"/>
        <v>5072</v>
      </c>
      <c r="I183" s="272"/>
      <c r="J183" s="270">
        <v>0</v>
      </c>
      <c r="K183" s="270"/>
      <c r="L183" s="203"/>
      <c r="M183" s="203"/>
      <c r="N183" s="203"/>
      <c r="O183" s="203"/>
    </row>
    <row r="184" spans="1:15" ht="15" customHeight="1">
      <c r="A184" s="203"/>
      <c r="B184" s="226"/>
      <c r="C184" s="226"/>
      <c r="D184" s="226"/>
      <c r="E184" s="226"/>
      <c r="F184" s="226"/>
      <c r="G184" s="226"/>
      <c r="H184" s="226"/>
      <c r="I184" s="226"/>
      <c r="J184" s="226"/>
      <c r="K184" s="226"/>
      <c r="L184" s="203"/>
      <c r="M184" s="203"/>
      <c r="N184" s="203"/>
      <c r="O184" s="203"/>
    </row>
    <row r="185" spans="1:15" ht="15" customHeight="1">
      <c r="A185" s="203"/>
      <c r="B185" s="239"/>
      <c r="C185" s="239"/>
      <c r="D185" s="239"/>
      <c r="E185" s="239"/>
      <c r="F185" s="239"/>
      <c r="G185" s="239"/>
      <c r="H185" s="239"/>
      <c r="I185" s="239"/>
      <c r="J185" s="239"/>
      <c r="K185" s="239"/>
      <c r="L185" s="203"/>
      <c r="M185" s="203"/>
      <c r="N185" s="203"/>
      <c r="O185" s="203"/>
    </row>
    <row r="186" spans="1:15" ht="15" customHeight="1">
      <c r="A186" s="203"/>
      <c r="B186" s="239"/>
      <c r="C186" s="239"/>
      <c r="D186" s="239"/>
      <c r="E186" s="239"/>
      <c r="F186" s="239"/>
      <c r="G186" s="239"/>
      <c r="H186" s="239"/>
      <c r="I186" s="239"/>
      <c r="J186" s="239"/>
      <c r="K186" s="239"/>
      <c r="L186" s="203"/>
      <c r="M186" s="203"/>
      <c r="N186" s="203"/>
      <c r="O186" s="203"/>
    </row>
    <row r="187" spans="1:15" ht="15" customHeight="1">
      <c r="A187" s="203"/>
      <c r="B187" s="239"/>
      <c r="C187" s="239"/>
      <c r="D187" s="239"/>
      <c r="E187" s="239"/>
      <c r="F187" s="239"/>
      <c r="G187" s="239"/>
      <c r="H187" s="239"/>
      <c r="I187" s="239"/>
      <c r="J187" s="239"/>
      <c r="K187" s="239"/>
      <c r="L187" s="203"/>
      <c r="M187" s="203"/>
      <c r="N187" s="203"/>
      <c r="O187" s="203"/>
    </row>
    <row r="188" spans="1:15" ht="15" customHeight="1">
      <c r="A188" s="203"/>
      <c r="B188" s="239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3"/>
      <c r="N188" s="203"/>
      <c r="O188" s="203"/>
    </row>
    <row r="189" spans="1:15" ht="15" customHeight="1">
      <c r="A189" s="203"/>
      <c r="B189" s="218" t="s">
        <v>229</v>
      </c>
      <c r="C189" s="219"/>
      <c r="D189" s="219"/>
      <c r="E189" s="219"/>
      <c r="F189" s="219"/>
      <c r="G189" s="219"/>
      <c r="H189" s="203"/>
      <c r="I189" s="203"/>
      <c r="J189" s="203"/>
      <c r="K189" s="203"/>
      <c r="L189" s="203"/>
      <c r="M189" s="203"/>
      <c r="N189" s="203"/>
      <c r="O189" s="203"/>
    </row>
    <row r="190" spans="1:15" ht="15" customHeight="1">
      <c r="A190" s="203"/>
      <c r="B190" s="203"/>
      <c r="C190" s="219" t="s">
        <v>148</v>
      </c>
      <c r="D190" s="219" t="s">
        <v>231</v>
      </c>
      <c r="E190" s="219"/>
      <c r="F190" s="219"/>
      <c r="G190" s="219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1"/>
      <c r="C191" s="228" t="s">
        <v>185</v>
      </c>
      <c r="D191" s="219" t="s">
        <v>207</v>
      </c>
      <c r="E191" s="219"/>
      <c r="F191" s="201"/>
      <c r="G191" s="203"/>
      <c r="H191" s="203"/>
      <c r="I191" s="203"/>
      <c r="J191" s="203"/>
      <c r="K191" s="203"/>
      <c r="L191" s="203"/>
      <c r="M191" s="203"/>
      <c r="N191" s="203"/>
      <c r="O191" s="203"/>
    </row>
    <row r="192" spans="1:15" ht="15" customHeight="1">
      <c r="A192" s="203"/>
      <c r="B192" s="201"/>
      <c r="C192" s="228"/>
      <c r="D192" s="219" t="s">
        <v>234</v>
      </c>
      <c r="E192" s="2250">
        <f>K7</f>
        <v>600</v>
      </c>
      <c r="F192" s="2250"/>
      <c r="G192" s="219" t="s">
        <v>235</v>
      </c>
      <c r="H192" s="219"/>
      <c r="I192" s="203"/>
      <c r="J192" s="203"/>
      <c r="K192" s="203"/>
      <c r="L192" s="203"/>
      <c r="M192" s="203"/>
      <c r="N192" s="203"/>
      <c r="O192" s="203"/>
    </row>
    <row r="193" spans="1:15" ht="15" customHeight="1" thickBot="1">
      <c r="A193" s="203"/>
      <c r="B193" s="203"/>
      <c r="C193" s="203"/>
      <c r="D193" s="203"/>
      <c r="E193" s="203"/>
      <c r="F193" s="208" t="s">
        <v>236</v>
      </c>
      <c r="G193" s="208"/>
      <c r="H193" s="203"/>
      <c r="I193" s="203"/>
      <c r="J193" s="203"/>
      <c r="K193" s="203"/>
      <c r="L193" s="203"/>
      <c r="M193" s="203"/>
      <c r="N193" s="203"/>
      <c r="O193" s="203"/>
    </row>
    <row r="194" spans="1:15" ht="15" customHeight="1">
      <c r="A194" s="203"/>
      <c r="B194" s="202" t="s">
        <v>141</v>
      </c>
      <c r="C194" s="202"/>
      <c r="D194" s="202" t="s">
        <v>191</v>
      </c>
      <c r="E194" s="202" t="s">
        <v>192</v>
      </c>
      <c r="F194" s="202" t="s">
        <v>193</v>
      </c>
      <c r="G194" s="202" t="s">
        <v>241</v>
      </c>
      <c r="H194" s="202" t="s">
        <v>242</v>
      </c>
      <c r="I194" s="202" t="s">
        <v>243</v>
      </c>
      <c r="J194" s="202" t="s">
        <v>216</v>
      </c>
      <c r="K194" s="202" t="s">
        <v>245</v>
      </c>
      <c r="L194" s="203"/>
      <c r="M194" s="203"/>
      <c r="N194" s="203"/>
      <c r="O194" s="203"/>
    </row>
    <row r="195" spans="1:15" ht="15" customHeight="1">
      <c r="A195" s="203"/>
      <c r="B195" s="840">
        <f t="shared" ref="B195:B204" si="24">B146</f>
        <v>2005</v>
      </c>
      <c r="C195" s="840"/>
      <c r="D195" s="208">
        <f t="shared" ref="D195:D204" si="25">VLOOKUP(B195,B$7:E$16,3,FALSE)</f>
        <v>0</v>
      </c>
      <c r="E195" s="244">
        <f t="shared" ref="E195:E204" si="26">((COUNT(B$195:B$204)-1)/2)+(B195-$C$4)</f>
        <v>-4.5</v>
      </c>
      <c r="F195" s="206">
        <f t="shared" ref="F195:F204" si="27">E195^2</f>
        <v>20.25</v>
      </c>
      <c r="G195" s="844">
        <f t="shared" ref="G195:G204" si="28">E$192-D195</f>
        <v>600</v>
      </c>
      <c r="H195" s="259">
        <v>0</v>
      </c>
      <c r="I195" s="245">
        <f t="shared" ref="I195:I204" si="29">LOG(G195)</f>
        <v>2.7781512503836434</v>
      </c>
      <c r="J195" s="246">
        <f>ROUND(H195-I195,6)</f>
        <v>-2.7781509999999998</v>
      </c>
      <c r="K195" s="246">
        <f t="shared" ref="K195:K204" si="30">E195*J195</f>
        <v>12.5016795</v>
      </c>
      <c r="L195" s="203"/>
      <c r="M195" s="203"/>
      <c r="N195" s="203"/>
      <c r="O195" s="203"/>
    </row>
    <row r="196" spans="1:15" ht="15" customHeight="1">
      <c r="A196" s="203"/>
      <c r="B196" s="840">
        <f t="shared" si="24"/>
        <v>2006</v>
      </c>
      <c r="C196" s="840"/>
      <c r="D196" s="208">
        <f t="shared" si="25"/>
        <v>0</v>
      </c>
      <c r="E196" s="244">
        <f t="shared" si="26"/>
        <v>-3.5</v>
      </c>
      <c r="F196" s="206">
        <f t="shared" si="27"/>
        <v>12.25</v>
      </c>
      <c r="G196" s="844">
        <f t="shared" si="28"/>
        <v>600</v>
      </c>
      <c r="H196" s="259">
        <v>0</v>
      </c>
      <c r="I196" s="245">
        <f t="shared" si="29"/>
        <v>2.7781512503836434</v>
      </c>
      <c r="J196" s="246">
        <f t="shared" ref="J196:J204" si="31">H196-I196</f>
        <v>-2.7781512503836434</v>
      </c>
      <c r="K196" s="246">
        <f t="shared" si="30"/>
        <v>9.7235293763427517</v>
      </c>
      <c r="L196" s="203"/>
      <c r="M196" s="203"/>
      <c r="N196" s="203"/>
      <c r="O196" s="203"/>
    </row>
    <row r="197" spans="1:15" ht="15" customHeight="1">
      <c r="A197" s="203"/>
      <c r="B197" s="840">
        <f t="shared" si="24"/>
        <v>2007</v>
      </c>
      <c r="C197" s="840"/>
      <c r="D197" s="208">
        <f t="shared" si="25"/>
        <v>405</v>
      </c>
      <c r="E197" s="244">
        <f t="shared" si="26"/>
        <v>-2.5</v>
      </c>
      <c r="F197" s="206">
        <f t="shared" si="27"/>
        <v>6.25</v>
      </c>
      <c r="G197" s="844">
        <f t="shared" si="28"/>
        <v>195</v>
      </c>
      <c r="H197" s="259">
        <f t="shared" ref="H197:H204" si="32">LOG(D197)</f>
        <v>2.6074550232146687</v>
      </c>
      <c r="I197" s="245">
        <f t="shared" si="29"/>
        <v>2.2900346113625178</v>
      </c>
      <c r="J197" s="246">
        <f t="shared" si="31"/>
        <v>0.31742041185215086</v>
      </c>
      <c r="K197" s="246">
        <f t="shared" si="30"/>
        <v>-0.79355102963037716</v>
      </c>
      <c r="L197" s="203"/>
      <c r="M197" s="203"/>
      <c r="N197" s="203"/>
      <c r="O197" s="203"/>
    </row>
    <row r="198" spans="1:15" ht="15" customHeight="1">
      <c r="A198" s="203"/>
      <c r="B198" s="840">
        <f t="shared" si="24"/>
        <v>2008</v>
      </c>
      <c r="C198" s="840"/>
      <c r="D198" s="208">
        <f t="shared" si="25"/>
        <v>390</v>
      </c>
      <c r="E198" s="244">
        <f t="shared" si="26"/>
        <v>-1.5</v>
      </c>
      <c r="F198" s="206">
        <f t="shared" si="27"/>
        <v>2.25</v>
      </c>
      <c r="G198" s="844">
        <f t="shared" si="28"/>
        <v>210</v>
      </c>
      <c r="H198" s="259">
        <f t="shared" si="32"/>
        <v>2.5910646070264991</v>
      </c>
      <c r="I198" s="245">
        <f t="shared" si="29"/>
        <v>2.3222192947339191</v>
      </c>
      <c r="J198" s="246">
        <f t="shared" si="31"/>
        <v>0.26884531229258002</v>
      </c>
      <c r="K198" s="246">
        <f t="shared" si="30"/>
        <v>-0.40326796843887003</v>
      </c>
      <c r="L198" s="203"/>
      <c r="M198" s="203"/>
      <c r="N198" s="203"/>
      <c r="O198" s="203"/>
    </row>
    <row r="199" spans="1:15" ht="15" customHeight="1">
      <c r="A199" s="203"/>
      <c r="B199" s="840">
        <f t="shared" si="24"/>
        <v>2009</v>
      </c>
      <c r="C199" s="840"/>
      <c r="D199" s="208">
        <f t="shared" si="25"/>
        <v>324</v>
      </c>
      <c r="E199" s="244">
        <f t="shared" si="26"/>
        <v>-0.5</v>
      </c>
      <c r="F199" s="206">
        <f t="shared" si="27"/>
        <v>0.25</v>
      </c>
      <c r="G199" s="844">
        <f t="shared" si="28"/>
        <v>276</v>
      </c>
      <c r="H199" s="259">
        <f t="shared" si="32"/>
        <v>2.510545010206612</v>
      </c>
      <c r="I199" s="245">
        <f t="shared" si="29"/>
        <v>2.4409090820652177</v>
      </c>
      <c r="J199" s="246">
        <f t="shared" si="31"/>
        <v>6.9635928141394299E-2</v>
      </c>
      <c r="K199" s="246">
        <f t="shared" si="30"/>
        <v>-3.4817964070697149E-2</v>
      </c>
      <c r="L199" s="203"/>
      <c r="M199" s="203"/>
      <c r="N199" s="203"/>
      <c r="O199" s="203"/>
    </row>
    <row r="200" spans="1:15" ht="15" customHeight="1">
      <c r="A200" s="203"/>
      <c r="B200" s="840">
        <f t="shared" si="24"/>
        <v>2010</v>
      </c>
      <c r="C200" s="840"/>
      <c r="D200" s="208">
        <f t="shared" si="25"/>
        <v>344</v>
      </c>
      <c r="E200" s="244">
        <f t="shared" si="26"/>
        <v>0.5</v>
      </c>
      <c r="F200" s="206">
        <f t="shared" si="27"/>
        <v>0.25</v>
      </c>
      <c r="G200" s="844">
        <f t="shared" si="28"/>
        <v>256</v>
      </c>
      <c r="H200" s="259">
        <f t="shared" si="32"/>
        <v>2.53655844257153</v>
      </c>
      <c r="I200" s="245">
        <f t="shared" si="29"/>
        <v>2.4082399653118496</v>
      </c>
      <c r="J200" s="246">
        <f t="shared" si="31"/>
        <v>0.12831847725968037</v>
      </c>
      <c r="K200" s="246">
        <f t="shared" si="30"/>
        <v>6.4159238629840187E-2</v>
      </c>
      <c r="L200" s="203"/>
      <c r="M200" s="203"/>
      <c r="N200" s="203"/>
      <c r="O200" s="203"/>
    </row>
    <row r="201" spans="1:15" ht="15" customHeight="1">
      <c r="A201" s="203"/>
      <c r="B201" s="840">
        <f t="shared" si="24"/>
        <v>2011</v>
      </c>
      <c r="C201" s="840"/>
      <c r="D201" s="208">
        <f t="shared" si="25"/>
        <v>380</v>
      </c>
      <c r="E201" s="244">
        <f t="shared" si="26"/>
        <v>1.5</v>
      </c>
      <c r="F201" s="206">
        <f t="shared" si="27"/>
        <v>2.25</v>
      </c>
      <c r="G201" s="844">
        <f t="shared" si="28"/>
        <v>220</v>
      </c>
      <c r="H201" s="259">
        <f t="shared" si="32"/>
        <v>2.5797835966168101</v>
      </c>
      <c r="I201" s="245">
        <f t="shared" si="29"/>
        <v>2.3424226808222062</v>
      </c>
      <c r="J201" s="246">
        <f t="shared" si="31"/>
        <v>0.23736091579460394</v>
      </c>
      <c r="K201" s="246">
        <f t="shared" si="30"/>
        <v>0.35604137369190592</v>
      </c>
      <c r="L201" s="203"/>
      <c r="M201" s="203"/>
      <c r="N201" s="203"/>
      <c r="O201" s="203"/>
    </row>
    <row r="202" spans="1:15" ht="15" customHeight="1">
      <c r="A202" s="203"/>
      <c r="B202" s="840">
        <f t="shared" si="24"/>
        <v>2012</v>
      </c>
      <c r="C202" s="840"/>
      <c r="D202" s="208">
        <f t="shared" si="25"/>
        <v>286</v>
      </c>
      <c r="E202" s="244">
        <f t="shared" si="26"/>
        <v>2.5</v>
      </c>
      <c r="F202" s="206">
        <f t="shared" si="27"/>
        <v>6.25</v>
      </c>
      <c r="G202" s="844">
        <f t="shared" si="28"/>
        <v>314</v>
      </c>
      <c r="H202" s="259">
        <f t="shared" si="32"/>
        <v>2.4563660331290431</v>
      </c>
      <c r="I202" s="245">
        <f t="shared" si="29"/>
        <v>2.4969296480732148</v>
      </c>
      <c r="J202" s="246">
        <f t="shared" si="31"/>
        <v>-4.0563614944171711E-2</v>
      </c>
      <c r="K202" s="246">
        <f t="shared" si="30"/>
        <v>-0.10140903736042928</v>
      </c>
      <c r="L202" s="203"/>
      <c r="M202" s="203"/>
      <c r="N202" s="203"/>
      <c r="O202" s="203"/>
    </row>
    <row r="203" spans="1:15" ht="15" customHeight="1">
      <c r="A203" s="203"/>
      <c r="B203" s="840">
        <f t="shared" si="24"/>
        <v>2013</v>
      </c>
      <c r="C203" s="840"/>
      <c r="D203" s="208">
        <f t="shared" si="25"/>
        <v>269</v>
      </c>
      <c r="E203" s="244">
        <f t="shared" si="26"/>
        <v>3.5</v>
      </c>
      <c r="F203" s="206">
        <f t="shared" si="27"/>
        <v>12.25</v>
      </c>
      <c r="G203" s="844">
        <f t="shared" si="28"/>
        <v>331</v>
      </c>
      <c r="H203" s="259">
        <f t="shared" si="32"/>
        <v>2.4297522800024081</v>
      </c>
      <c r="I203" s="245">
        <f t="shared" si="29"/>
        <v>2.5198279937757189</v>
      </c>
      <c r="J203" s="246">
        <f t="shared" si="31"/>
        <v>-9.0075713773310806E-2</v>
      </c>
      <c r="K203" s="246">
        <f t="shared" si="30"/>
        <v>-0.31526499820658782</v>
      </c>
      <c r="L203" s="203"/>
      <c r="M203" s="203"/>
      <c r="N203" s="203"/>
      <c r="O203" s="203"/>
    </row>
    <row r="204" spans="1:15" ht="15" customHeight="1">
      <c r="A204" s="203"/>
      <c r="B204" s="840">
        <f t="shared" si="24"/>
        <v>2014</v>
      </c>
      <c r="C204" s="840"/>
      <c r="D204" s="208">
        <f t="shared" si="25"/>
        <v>138</v>
      </c>
      <c r="E204" s="244">
        <f t="shared" si="26"/>
        <v>4.5</v>
      </c>
      <c r="F204" s="206">
        <f t="shared" si="27"/>
        <v>20.25</v>
      </c>
      <c r="G204" s="844">
        <f t="shared" si="28"/>
        <v>462</v>
      </c>
      <c r="H204" s="259">
        <f t="shared" si="32"/>
        <v>2.1398790864012365</v>
      </c>
      <c r="I204" s="245">
        <f t="shared" si="29"/>
        <v>2.6646419755561257</v>
      </c>
      <c r="J204" s="246">
        <f t="shared" si="31"/>
        <v>-0.52476288915488922</v>
      </c>
      <c r="K204" s="246">
        <f t="shared" si="30"/>
        <v>-2.3614330011970015</v>
      </c>
      <c r="L204" s="203"/>
      <c r="M204" s="203"/>
      <c r="N204" s="203"/>
      <c r="O204" s="203"/>
    </row>
    <row r="205" spans="1:15" ht="15" customHeight="1" thickBot="1">
      <c r="A205" s="203"/>
      <c r="B205" s="211" t="s">
        <v>146</v>
      </c>
      <c r="C205" s="212"/>
      <c r="D205" s="260">
        <f>SUM(D195:D204)</f>
        <v>2536</v>
      </c>
      <c r="E205" s="261">
        <f>SUM(E195:E204)</f>
        <v>0</v>
      </c>
      <c r="F205" s="262">
        <f>ROUND(SUM(F195:F204),0)</f>
        <v>83</v>
      </c>
      <c r="G205" s="249"/>
      <c r="H205" s="251"/>
      <c r="I205" s="252"/>
      <c r="J205" s="263">
        <f>SUM(J195:J204)</f>
        <v>-5.1901234229156046</v>
      </c>
      <c r="K205" s="263">
        <f>SUM(K195:K204)</f>
        <v>18.635665489760541</v>
      </c>
      <c r="L205" s="203"/>
      <c r="M205" s="203"/>
      <c r="N205" s="203"/>
      <c r="O205" s="203"/>
    </row>
    <row r="206" spans="1:15" ht="15" customHeight="1">
      <c r="A206" s="203"/>
      <c r="B206" s="208" t="s">
        <v>246</v>
      </c>
      <c r="C206" s="208"/>
      <c r="D206" s="201" t="s">
        <v>247</v>
      </c>
      <c r="E206" s="236" t="s">
        <v>248</v>
      </c>
      <c r="F206" s="203"/>
      <c r="G206" s="219" t="str">
        <f>"X = x × LOG e = "&amp;E205&amp;" 이고,"</f>
        <v>X = x × LOG e = 0 이고,</v>
      </c>
      <c r="H206" s="219"/>
      <c r="I206" s="219" t="s">
        <v>249</v>
      </c>
      <c r="J206" s="219"/>
      <c r="K206" s="201"/>
      <c r="L206" s="203"/>
      <c r="M206" s="203"/>
      <c r="N206" s="203"/>
      <c r="O206" s="203"/>
    </row>
    <row r="207" spans="1:15" ht="15" customHeight="1">
      <c r="A207" s="203"/>
      <c r="B207" s="203"/>
      <c r="C207" s="203"/>
      <c r="D207" s="219" t="s">
        <v>250</v>
      </c>
      <c r="E207" s="219"/>
      <c r="F207" s="219"/>
      <c r="G207" s="219"/>
      <c r="H207" s="254">
        <f>ROUND(((E$205*K$205-F$205*J$205)/(COUNT(B$195:B$204)*F$205-E$205*E$205))/LOG(EXP(1)),5)</f>
        <v>1.1950700000000001</v>
      </c>
      <c r="I207" s="219"/>
      <c r="J207" s="219"/>
      <c r="K207" s="203"/>
      <c r="L207" s="203"/>
      <c r="M207" s="203"/>
      <c r="N207" s="203"/>
      <c r="O207" s="203"/>
    </row>
    <row r="208" spans="1:15" ht="15" customHeight="1">
      <c r="A208" s="203"/>
      <c r="B208" s="203"/>
      <c r="C208" s="203"/>
      <c r="D208" s="219" t="s">
        <v>251</v>
      </c>
      <c r="E208" s="219"/>
      <c r="F208" s="219"/>
      <c r="G208" s="264" t="s">
        <v>252</v>
      </c>
      <c r="H208" s="219"/>
      <c r="I208" s="219"/>
      <c r="J208" s="219"/>
      <c r="K208" s="265">
        <f>ROUND((COUNT(B$195:B$204)*K205-E205*J205)/(LOG(EXP(1))*(COUNT(B$195:B$204)*F205-E205*E205)),6)</f>
        <v>0.51698999999999995</v>
      </c>
      <c r="L208" s="203"/>
      <c r="M208" s="203"/>
      <c r="N208" s="203"/>
      <c r="O208" s="203"/>
    </row>
    <row r="209" spans="1:15" ht="15" customHeight="1">
      <c r="A209" s="203"/>
      <c r="B209" s="203"/>
      <c r="C209" s="203"/>
      <c r="D209" s="219"/>
      <c r="E209" s="203"/>
      <c r="F209" s="201"/>
      <c r="G209" s="201"/>
      <c r="H209" s="219"/>
      <c r="I209" s="219"/>
      <c r="J209" s="256"/>
      <c r="K209" s="203"/>
      <c r="L209" s="203"/>
      <c r="M209" s="203"/>
      <c r="N209" s="203"/>
      <c r="O209" s="203"/>
    </row>
    <row r="210" spans="1:15" ht="15" customHeight="1" thickBot="1">
      <c r="A210" s="203"/>
      <c r="B210" s="203"/>
      <c r="C210" s="203"/>
      <c r="D210" s="203"/>
      <c r="E210" s="203"/>
      <c r="F210" s="208" t="s">
        <v>200</v>
      </c>
      <c r="G210" s="208"/>
      <c r="H210" s="203"/>
      <c r="I210" s="203"/>
      <c r="J210" s="203"/>
      <c r="K210" s="203"/>
      <c r="L210" s="203"/>
      <c r="M210" s="203"/>
      <c r="N210" s="203"/>
      <c r="O210" s="203"/>
    </row>
    <row r="211" spans="1:15" ht="15" customHeight="1">
      <c r="A211" s="203"/>
      <c r="B211" s="202" t="s">
        <v>141</v>
      </c>
      <c r="C211" s="202"/>
      <c r="D211" s="202" t="s">
        <v>156</v>
      </c>
      <c r="E211" s="202"/>
      <c r="F211" s="202" t="s">
        <v>157</v>
      </c>
      <c r="G211" s="202"/>
      <c r="H211" s="202" t="s">
        <v>158</v>
      </c>
      <c r="I211" s="202"/>
      <c r="J211" s="202" t="s">
        <v>27</v>
      </c>
      <c r="K211" s="202"/>
      <c r="L211" s="203"/>
      <c r="M211" s="203"/>
      <c r="N211" s="203"/>
      <c r="O211" s="203"/>
    </row>
    <row r="212" spans="1:15" ht="15" customHeight="1">
      <c r="A212" s="203"/>
      <c r="B212" s="220">
        <v>2014</v>
      </c>
      <c r="C212" s="208"/>
      <c r="D212" s="208">
        <f t="shared" ref="D212:D233" si="33">ROUNDUP(E$192/(1+EXP(1)^(H$207-K$208*(B212-B$200+0.5))),0)</f>
        <v>454</v>
      </c>
      <c r="E212" s="208"/>
      <c r="F212" s="208">
        <v>0</v>
      </c>
      <c r="G212" s="208"/>
      <c r="H212" s="208">
        <f t="shared" ref="H212:H233" si="34">ROUND(D212*(1+F212),0)</f>
        <v>454</v>
      </c>
      <c r="I212" s="208"/>
      <c r="J212" s="210">
        <v>0</v>
      </c>
      <c r="K212" s="210"/>
      <c r="L212" s="203"/>
      <c r="M212" s="203"/>
      <c r="N212" s="203"/>
      <c r="O212" s="203"/>
    </row>
    <row r="213" spans="1:15" ht="15" customHeight="1">
      <c r="A213" s="203"/>
      <c r="B213" s="268">
        <v>2015</v>
      </c>
      <c r="C213" s="269"/>
      <c r="D213" s="269">
        <f t="shared" si="33"/>
        <v>504</v>
      </c>
      <c r="E213" s="269"/>
      <c r="F213" s="269">
        <v>0</v>
      </c>
      <c r="G213" s="269"/>
      <c r="H213" s="269">
        <f t="shared" si="34"/>
        <v>504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0">
        <v>2016</v>
      </c>
      <c r="C214" s="221"/>
      <c r="D214" s="221">
        <f t="shared" si="33"/>
        <v>539</v>
      </c>
      <c r="E214" s="221"/>
      <c r="F214" s="221">
        <v>0</v>
      </c>
      <c r="G214" s="221"/>
      <c r="H214" s="221">
        <f t="shared" si="34"/>
        <v>539</v>
      </c>
      <c r="I214" s="221"/>
      <c r="J214" s="222">
        <v>0</v>
      </c>
      <c r="K214" s="222"/>
      <c r="L214" s="203"/>
      <c r="M214" s="203"/>
      <c r="N214" s="203"/>
      <c r="O214" s="203"/>
    </row>
    <row r="215" spans="1:15" ht="15" customHeight="1">
      <c r="A215" s="203"/>
      <c r="B215" s="220">
        <v>2017</v>
      </c>
      <c r="C215" s="221"/>
      <c r="D215" s="221">
        <f t="shared" si="33"/>
        <v>562</v>
      </c>
      <c r="E215" s="221"/>
      <c r="F215" s="221">
        <v>0</v>
      </c>
      <c r="G215" s="221"/>
      <c r="H215" s="221">
        <f t="shared" si="34"/>
        <v>562</v>
      </c>
      <c r="I215" s="221"/>
      <c r="J215" s="222">
        <v>0</v>
      </c>
      <c r="K215" s="222"/>
      <c r="L215" s="203"/>
      <c r="M215" s="203"/>
      <c r="N215" s="203"/>
      <c r="O215" s="203"/>
    </row>
    <row r="216" spans="1:15" ht="15" customHeight="1">
      <c r="A216" s="203"/>
      <c r="B216" s="220">
        <v>2018</v>
      </c>
      <c r="C216" s="221"/>
      <c r="D216" s="221">
        <f t="shared" si="33"/>
        <v>577</v>
      </c>
      <c r="E216" s="221"/>
      <c r="F216" s="221">
        <v>0</v>
      </c>
      <c r="G216" s="221"/>
      <c r="H216" s="221">
        <f t="shared" si="34"/>
        <v>577</v>
      </c>
      <c r="I216" s="221"/>
      <c r="J216" s="222">
        <v>0</v>
      </c>
      <c r="K216" s="222"/>
      <c r="L216" s="203"/>
      <c r="M216" s="203"/>
      <c r="N216" s="203"/>
      <c r="O216" s="203"/>
    </row>
    <row r="217" spans="1:15" ht="15" customHeight="1">
      <c r="A217" s="203"/>
      <c r="B217" s="220">
        <v>2019</v>
      </c>
      <c r="C217" s="221"/>
      <c r="D217" s="221">
        <f t="shared" si="33"/>
        <v>586</v>
      </c>
      <c r="E217" s="221"/>
      <c r="F217" s="221">
        <v>0</v>
      </c>
      <c r="G217" s="221"/>
      <c r="H217" s="221">
        <f t="shared" si="34"/>
        <v>586</v>
      </c>
      <c r="I217" s="221"/>
      <c r="J217" s="222">
        <v>0</v>
      </c>
      <c r="K217" s="222"/>
      <c r="L217" s="203"/>
      <c r="M217" s="203"/>
      <c r="N217" s="203"/>
      <c r="O217" s="203"/>
    </row>
    <row r="218" spans="1:15" ht="15" customHeight="1">
      <c r="A218" s="203"/>
      <c r="B218" s="268">
        <v>2020</v>
      </c>
      <c r="C218" s="269"/>
      <c r="D218" s="269">
        <f t="shared" si="33"/>
        <v>592</v>
      </c>
      <c r="E218" s="269"/>
      <c r="F218" s="269">
        <v>0</v>
      </c>
      <c r="G218" s="269"/>
      <c r="H218" s="269">
        <f t="shared" si="34"/>
        <v>592</v>
      </c>
      <c r="I218" s="269"/>
      <c r="J218" s="270">
        <v>0</v>
      </c>
      <c r="K218" s="270"/>
      <c r="L218" s="203"/>
      <c r="M218" s="203"/>
      <c r="N218" s="203"/>
      <c r="O218" s="203"/>
    </row>
    <row r="219" spans="1:15" ht="15" customHeight="1">
      <c r="A219" s="203"/>
      <c r="B219" s="220">
        <v>2021</v>
      </c>
      <c r="C219" s="221"/>
      <c r="D219" s="221">
        <f t="shared" si="33"/>
        <v>595</v>
      </c>
      <c r="E219" s="221"/>
      <c r="F219" s="221">
        <v>0</v>
      </c>
      <c r="G219" s="221"/>
      <c r="H219" s="221">
        <f t="shared" si="34"/>
        <v>595</v>
      </c>
      <c r="I219" s="221"/>
      <c r="J219" s="222">
        <v>0</v>
      </c>
      <c r="K219" s="222"/>
      <c r="L219" s="203"/>
      <c r="M219" s="203"/>
      <c r="N219" s="203"/>
      <c r="O219" s="203"/>
    </row>
    <row r="220" spans="1:15" ht="15" customHeight="1">
      <c r="A220" s="203"/>
      <c r="B220" s="220">
        <v>2022</v>
      </c>
      <c r="C220" s="221"/>
      <c r="D220" s="221">
        <f t="shared" si="33"/>
        <v>597</v>
      </c>
      <c r="E220" s="221"/>
      <c r="F220" s="221">
        <v>0</v>
      </c>
      <c r="G220" s="221"/>
      <c r="H220" s="221">
        <f t="shared" si="34"/>
        <v>597</v>
      </c>
      <c r="I220" s="221"/>
      <c r="J220" s="222">
        <v>0</v>
      </c>
      <c r="K220" s="222"/>
      <c r="L220" s="203"/>
      <c r="M220" s="203"/>
      <c r="N220" s="203"/>
      <c r="O220" s="203"/>
    </row>
    <row r="221" spans="1:15" ht="15" customHeight="1">
      <c r="A221" s="203"/>
      <c r="B221" s="220">
        <v>2023</v>
      </c>
      <c r="C221" s="221"/>
      <c r="D221" s="221">
        <f t="shared" si="33"/>
        <v>599</v>
      </c>
      <c r="E221" s="221"/>
      <c r="F221" s="221">
        <v>0</v>
      </c>
      <c r="G221" s="221"/>
      <c r="H221" s="221">
        <f t="shared" si="34"/>
        <v>599</v>
      </c>
      <c r="I221" s="221"/>
      <c r="J221" s="222">
        <v>0</v>
      </c>
      <c r="K221" s="222"/>
      <c r="L221" s="203"/>
      <c r="M221" s="203"/>
      <c r="N221" s="203"/>
      <c r="O221" s="203"/>
    </row>
    <row r="222" spans="1:15" ht="15" customHeight="1">
      <c r="A222" s="203"/>
      <c r="B222" s="220">
        <v>2024</v>
      </c>
      <c r="C222" s="221"/>
      <c r="D222" s="221">
        <f t="shared" si="33"/>
        <v>599</v>
      </c>
      <c r="E222" s="221"/>
      <c r="F222" s="221">
        <v>0</v>
      </c>
      <c r="G222" s="221"/>
      <c r="H222" s="221">
        <f t="shared" si="34"/>
        <v>599</v>
      </c>
      <c r="I222" s="221"/>
      <c r="J222" s="222">
        <v>0</v>
      </c>
      <c r="K222" s="222"/>
      <c r="L222" s="203"/>
      <c r="M222" s="203"/>
      <c r="N222" s="203"/>
      <c r="O222" s="203"/>
    </row>
    <row r="223" spans="1:15" ht="15" customHeight="1">
      <c r="A223" s="203"/>
      <c r="B223" s="268">
        <v>2025</v>
      </c>
      <c r="C223" s="269"/>
      <c r="D223" s="269">
        <f t="shared" si="33"/>
        <v>600</v>
      </c>
      <c r="E223" s="269"/>
      <c r="F223" s="269">
        <v>0</v>
      </c>
      <c r="G223" s="269"/>
      <c r="H223" s="269">
        <f t="shared" si="34"/>
        <v>600</v>
      </c>
      <c r="I223" s="269"/>
      <c r="J223" s="270">
        <v>0</v>
      </c>
      <c r="K223" s="270"/>
      <c r="L223" s="203"/>
      <c r="M223" s="203"/>
      <c r="N223" s="203"/>
      <c r="O223" s="203"/>
    </row>
    <row r="224" spans="1:15" ht="15" customHeight="1">
      <c r="A224" s="203"/>
      <c r="B224" s="220">
        <v>2026</v>
      </c>
      <c r="C224" s="221"/>
      <c r="D224" s="221">
        <f t="shared" si="33"/>
        <v>600</v>
      </c>
      <c r="E224" s="221"/>
      <c r="F224" s="221">
        <v>0</v>
      </c>
      <c r="G224" s="221"/>
      <c r="H224" s="221">
        <f t="shared" si="34"/>
        <v>600</v>
      </c>
      <c r="I224" s="221"/>
      <c r="J224" s="222">
        <v>0</v>
      </c>
      <c r="K224" s="222"/>
      <c r="L224" s="203"/>
      <c r="M224" s="203"/>
      <c r="N224" s="203"/>
      <c r="O224" s="203"/>
    </row>
    <row r="225" spans="1:15" ht="15" customHeight="1">
      <c r="A225" s="203"/>
      <c r="B225" s="220">
        <v>2027</v>
      </c>
      <c r="C225" s="221"/>
      <c r="D225" s="221">
        <f t="shared" si="33"/>
        <v>600</v>
      </c>
      <c r="E225" s="221"/>
      <c r="F225" s="221">
        <v>0</v>
      </c>
      <c r="G225" s="221"/>
      <c r="H225" s="221">
        <f t="shared" si="34"/>
        <v>600</v>
      </c>
      <c r="I225" s="221"/>
      <c r="J225" s="222">
        <v>0</v>
      </c>
      <c r="K225" s="222"/>
      <c r="L225" s="203"/>
      <c r="M225" s="203"/>
      <c r="N225" s="203"/>
      <c r="O225" s="203"/>
    </row>
    <row r="226" spans="1:15" ht="15" customHeight="1">
      <c r="A226" s="203"/>
      <c r="B226" s="220">
        <v>2028</v>
      </c>
      <c r="C226" s="221"/>
      <c r="D226" s="221">
        <f t="shared" si="33"/>
        <v>600</v>
      </c>
      <c r="E226" s="221"/>
      <c r="F226" s="221">
        <v>0</v>
      </c>
      <c r="G226" s="221"/>
      <c r="H226" s="221">
        <f t="shared" si="34"/>
        <v>600</v>
      </c>
      <c r="I226" s="221"/>
      <c r="J226" s="222">
        <v>0</v>
      </c>
      <c r="K226" s="222"/>
      <c r="L226" s="203"/>
      <c r="M226" s="203"/>
      <c r="N226" s="203"/>
      <c r="O226" s="203"/>
    </row>
    <row r="227" spans="1:15" ht="15" customHeight="1">
      <c r="A227" s="203"/>
      <c r="B227" s="220">
        <v>2029</v>
      </c>
      <c r="C227" s="221"/>
      <c r="D227" s="221">
        <f t="shared" si="33"/>
        <v>600</v>
      </c>
      <c r="E227" s="221"/>
      <c r="F227" s="221">
        <v>0</v>
      </c>
      <c r="G227" s="221"/>
      <c r="H227" s="221">
        <f t="shared" si="34"/>
        <v>600</v>
      </c>
      <c r="I227" s="221"/>
      <c r="J227" s="222">
        <v>0</v>
      </c>
      <c r="K227" s="222"/>
      <c r="L227" s="203"/>
      <c r="M227" s="203"/>
      <c r="N227" s="203"/>
      <c r="O227" s="203"/>
    </row>
    <row r="228" spans="1:15" ht="15" customHeight="1">
      <c r="A228" s="203"/>
      <c r="B228" s="268">
        <v>2030</v>
      </c>
      <c r="C228" s="269"/>
      <c r="D228" s="269">
        <f t="shared" si="33"/>
        <v>600</v>
      </c>
      <c r="E228" s="269"/>
      <c r="F228" s="269">
        <v>0</v>
      </c>
      <c r="G228" s="269"/>
      <c r="H228" s="269">
        <f t="shared" si="34"/>
        <v>600</v>
      </c>
      <c r="I228" s="269"/>
      <c r="J228" s="270">
        <v>0</v>
      </c>
      <c r="K228" s="270"/>
      <c r="L228" s="203"/>
      <c r="M228" s="203"/>
      <c r="N228" s="203"/>
      <c r="O228" s="203"/>
    </row>
    <row r="229" spans="1:15" ht="15" customHeight="1">
      <c r="A229" s="203"/>
      <c r="B229" s="220">
        <v>2031</v>
      </c>
      <c r="C229" s="221"/>
      <c r="D229" s="221">
        <f t="shared" si="33"/>
        <v>600</v>
      </c>
      <c r="E229" s="221"/>
      <c r="F229" s="221">
        <v>0</v>
      </c>
      <c r="G229" s="221"/>
      <c r="H229" s="221">
        <f t="shared" si="34"/>
        <v>600</v>
      </c>
      <c r="I229" s="221"/>
      <c r="J229" s="222">
        <v>0</v>
      </c>
      <c r="K229" s="222"/>
      <c r="L229" s="203"/>
      <c r="M229" s="203"/>
      <c r="N229" s="203"/>
      <c r="O229" s="203"/>
    </row>
    <row r="230" spans="1:15" ht="15" customHeight="1">
      <c r="A230" s="203"/>
      <c r="B230" s="220">
        <v>2032</v>
      </c>
      <c r="C230" s="221"/>
      <c r="D230" s="221">
        <f t="shared" si="33"/>
        <v>600</v>
      </c>
      <c r="E230" s="221"/>
      <c r="F230" s="221">
        <v>0</v>
      </c>
      <c r="G230" s="221"/>
      <c r="H230" s="221">
        <f t="shared" si="34"/>
        <v>600</v>
      </c>
      <c r="I230" s="221"/>
      <c r="J230" s="222">
        <v>0</v>
      </c>
      <c r="K230" s="222"/>
      <c r="L230" s="203"/>
      <c r="M230" s="203"/>
      <c r="N230" s="203"/>
      <c r="O230" s="203"/>
    </row>
    <row r="231" spans="1:15" ht="15" customHeight="1">
      <c r="A231" s="203"/>
      <c r="B231" s="220">
        <v>2033</v>
      </c>
      <c r="C231" s="221"/>
      <c r="D231" s="221">
        <f t="shared" si="33"/>
        <v>600</v>
      </c>
      <c r="E231" s="221"/>
      <c r="F231" s="221">
        <v>0</v>
      </c>
      <c r="G231" s="221"/>
      <c r="H231" s="221">
        <f t="shared" si="34"/>
        <v>600</v>
      </c>
      <c r="I231" s="221"/>
      <c r="J231" s="222">
        <v>0</v>
      </c>
      <c r="K231" s="222"/>
      <c r="L231" s="203"/>
      <c r="M231" s="203"/>
      <c r="N231" s="203"/>
      <c r="O231" s="203"/>
    </row>
    <row r="232" spans="1:15" ht="15" customHeight="1">
      <c r="A232" s="203"/>
      <c r="B232" s="220">
        <v>2034</v>
      </c>
      <c r="C232" s="221"/>
      <c r="D232" s="221">
        <f t="shared" si="33"/>
        <v>600</v>
      </c>
      <c r="E232" s="221"/>
      <c r="F232" s="221">
        <v>0</v>
      </c>
      <c r="G232" s="221"/>
      <c r="H232" s="221">
        <f t="shared" si="34"/>
        <v>600</v>
      </c>
      <c r="I232" s="221"/>
      <c r="J232" s="222">
        <v>0</v>
      </c>
      <c r="K232" s="222"/>
      <c r="L232" s="203"/>
      <c r="M232" s="203"/>
      <c r="N232" s="203"/>
      <c r="O232" s="203"/>
    </row>
    <row r="233" spans="1:15" ht="15" customHeight="1" thickBot="1">
      <c r="A233" s="203"/>
      <c r="B233" s="268">
        <v>2035</v>
      </c>
      <c r="C233" s="269"/>
      <c r="D233" s="269">
        <f t="shared" si="33"/>
        <v>600</v>
      </c>
      <c r="E233" s="269"/>
      <c r="F233" s="269">
        <v>0</v>
      </c>
      <c r="G233" s="269"/>
      <c r="H233" s="269">
        <f t="shared" si="34"/>
        <v>600</v>
      </c>
      <c r="I233" s="269"/>
      <c r="J233" s="270">
        <v>0</v>
      </c>
      <c r="K233" s="270"/>
      <c r="L233" s="203"/>
      <c r="M233" s="203"/>
      <c r="N233" s="203"/>
      <c r="O233" s="203"/>
    </row>
    <row r="234" spans="1:15" ht="15" customHeight="1">
      <c r="A234" s="203"/>
      <c r="B234" s="226"/>
      <c r="C234" s="226"/>
      <c r="D234" s="226"/>
      <c r="E234" s="226"/>
      <c r="F234" s="226"/>
      <c r="G234" s="226"/>
      <c r="H234" s="226"/>
      <c r="I234" s="226"/>
      <c r="J234" s="226"/>
      <c r="K234" s="226"/>
      <c r="L234" s="203"/>
      <c r="M234" s="203"/>
      <c r="N234" s="203"/>
      <c r="O234" s="203"/>
    </row>
    <row r="235" spans="1:15" ht="15" customHeight="1">
      <c r="A235" s="203"/>
      <c r="B235" s="239"/>
      <c r="C235" s="239"/>
      <c r="D235" s="239"/>
      <c r="E235" s="239"/>
      <c r="F235" s="239"/>
      <c r="G235" s="239"/>
      <c r="H235" s="239"/>
      <c r="I235" s="239"/>
      <c r="J235" s="239"/>
      <c r="K235" s="239"/>
      <c r="L235" s="203"/>
      <c r="M235" s="203"/>
      <c r="N235" s="203"/>
      <c r="O235" s="203"/>
    </row>
    <row r="236" spans="1:15" ht="15" customHeight="1">
      <c r="A236" s="203"/>
      <c r="B236" s="239"/>
      <c r="C236" s="239"/>
      <c r="D236" s="239"/>
      <c r="E236" s="239"/>
      <c r="F236" s="239"/>
      <c r="G236" s="239"/>
      <c r="H236" s="239"/>
      <c r="I236" s="239"/>
      <c r="J236" s="239"/>
      <c r="K236" s="239"/>
      <c r="L236" s="203"/>
      <c r="M236" s="203"/>
      <c r="N236" s="203"/>
      <c r="O236" s="203"/>
    </row>
    <row r="237" spans="1:15" ht="15" customHeight="1">
      <c r="A237" s="203"/>
      <c r="B237" s="239"/>
      <c r="C237" s="239"/>
      <c r="D237" s="239"/>
      <c r="E237" s="239"/>
      <c r="F237" s="239"/>
      <c r="G237" s="239"/>
      <c r="H237" s="239"/>
      <c r="I237" s="239"/>
      <c r="J237" s="239"/>
      <c r="K237" s="239"/>
      <c r="L237" s="203"/>
      <c r="M237" s="203"/>
      <c r="N237" s="203"/>
      <c r="O237" s="203"/>
    </row>
    <row r="238" spans="1:15" ht="15" customHeight="1">
      <c r="A238" s="203"/>
      <c r="B238" s="239"/>
      <c r="C238" s="239"/>
      <c r="D238" s="239"/>
      <c r="E238" s="239"/>
      <c r="F238" s="239"/>
      <c r="G238" s="239"/>
      <c r="H238" s="239"/>
      <c r="I238" s="239"/>
      <c r="J238" s="239"/>
      <c r="K238" s="239"/>
      <c r="L238" s="203"/>
      <c r="M238" s="203"/>
      <c r="N238" s="203"/>
      <c r="O238" s="203"/>
    </row>
    <row r="239" spans="1:15" ht="15" customHeight="1" thickBot="1">
      <c r="A239" s="203"/>
      <c r="B239" s="203"/>
      <c r="C239" s="203"/>
      <c r="D239" s="203"/>
      <c r="E239" s="203"/>
      <c r="F239" s="208" t="s">
        <v>259</v>
      </c>
      <c r="G239" s="208"/>
      <c r="H239" s="203"/>
      <c r="I239" s="203"/>
      <c r="J239" s="203"/>
      <c r="K239" s="228" t="s">
        <v>260</v>
      </c>
      <c r="L239" s="203"/>
      <c r="M239" s="203"/>
      <c r="N239" s="203"/>
      <c r="O239" s="203"/>
    </row>
    <row r="240" spans="1:15" ht="15" customHeight="1">
      <c r="A240" s="203"/>
      <c r="B240" s="202" t="s">
        <v>141</v>
      </c>
      <c r="C240" s="202"/>
      <c r="D240" s="202" t="s">
        <v>261</v>
      </c>
      <c r="E240" s="202" t="s">
        <v>262</v>
      </c>
      <c r="F240" s="202" t="s">
        <v>263</v>
      </c>
      <c r="G240" s="202" t="s">
        <v>279</v>
      </c>
      <c r="H240" s="202" t="s">
        <v>264</v>
      </c>
      <c r="I240" s="202" t="s">
        <v>54</v>
      </c>
      <c r="J240" s="202" t="s">
        <v>266</v>
      </c>
      <c r="K240" s="202"/>
      <c r="L240" s="203"/>
      <c r="M240" s="203"/>
      <c r="N240" s="203">
        <v>396</v>
      </c>
      <c r="O240" s="203">
        <v>386</v>
      </c>
    </row>
    <row r="241" spans="1:15" ht="15" customHeight="1">
      <c r="A241" s="203"/>
      <c r="B241" s="220">
        <v>2014</v>
      </c>
      <c r="C241" s="221"/>
      <c r="D241" s="257">
        <f t="array" ref="D241">IF(B26=B241,H26)</f>
        <v>138</v>
      </c>
      <c r="E241" s="257">
        <f t="array" ref="E241">IF(B60=B241,H60)</f>
        <v>138</v>
      </c>
      <c r="F241" s="257">
        <f t="array" ref="F241">IF(B115=B241,H115)</f>
        <v>323</v>
      </c>
      <c r="G241" s="257">
        <f t="array" ref="G241">IF(B162=B241,H162)</f>
        <v>621</v>
      </c>
      <c r="H241" s="257">
        <f t="array" ref="H241">IF(B212=B241,H212)</f>
        <v>454</v>
      </c>
      <c r="I241" s="257">
        <f t="shared" ref="I241:I262" si="35">IF(G241=0,AVERAGE(D241,E241,F241,H241),AVERAGE(D241:H241))</f>
        <v>334.8</v>
      </c>
      <c r="J241" s="266">
        <f t="shared" ref="J241:J262" si="36">ROUND(AVERAGE(D241,F241:G241),0)</f>
        <v>361</v>
      </c>
      <c r="K241" s="258"/>
      <c r="L241" s="203"/>
      <c r="M241" s="203"/>
      <c r="N241" s="203"/>
      <c r="O241" s="203"/>
    </row>
    <row r="242" spans="1:15" ht="15" customHeight="1">
      <c r="A242" s="203"/>
      <c r="B242" s="268">
        <v>2015</v>
      </c>
      <c r="C242" s="269"/>
      <c r="D242" s="271">
        <f t="array" ref="D242">IF(B27=B242,H27)</f>
        <v>153</v>
      </c>
      <c r="E242" s="271">
        <f t="array" ref="E242">IF(B61=B242,H61)</f>
        <v>118</v>
      </c>
      <c r="F242" s="271">
        <f t="array" ref="F242">IF(B116=B242,H116)</f>
        <v>338</v>
      </c>
      <c r="G242" s="271">
        <f t="array" ref="G242">IF(B163=B242,H163)</f>
        <v>746</v>
      </c>
      <c r="H242" s="271">
        <f t="array" ref="H242">IF(B213=B242,H213)</f>
        <v>504</v>
      </c>
      <c r="I242" s="271">
        <f t="shared" si="35"/>
        <v>371.8</v>
      </c>
      <c r="J242" s="273">
        <f t="shared" si="36"/>
        <v>412</v>
      </c>
      <c r="K242" s="272"/>
      <c r="L242" s="203"/>
      <c r="M242" s="203"/>
      <c r="N242" s="203"/>
      <c r="O242" s="203"/>
    </row>
    <row r="243" spans="1:15" ht="15" customHeight="1">
      <c r="A243" s="203"/>
      <c r="B243" s="220">
        <v>2016</v>
      </c>
      <c r="C243" s="221"/>
      <c r="D243" s="257">
        <f t="array" ref="D243">IF(B28=B243,H28)</f>
        <v>169</v>
      </c>
      <c r="E243" s="257">
        <f t="array" ref="E243">IF(B62=B243,H62)</f>
        <v>101</v>
      </c>
      <c r="F243" s="257">
        <f t="array" ref="F243">IF(B117=B243,H117)</f>
        <v>353</v>
      </c>
      <c r="G243" s="257">
        <f t="array" ref="G243">IF(B164=B243,H164)</f>
        <v>881</v>
      </c>
      <c r="H243" s="257">
        <f t="array" ref="H243">IF(B214=B243,H214)</f>
        <v>539</v>
      </c>
      <c r="I243" s="257">
        <f t="shared" si="35"/>
        <v>408.6</v>
      </c>
      <c r="J243" s="266">
        <f t="shared" si="36"/>
        <v>468</v>
      </c>
      <c r="K243" s="258"/>
      <c r="L243" s="203"/>
      <c r="M243" s="203"/>
      <c r="N243" s="203"/>
      <c r="O243" s="203"/>
    </row>
    <row r="244" spans="1:15" ht="15" customHeight="1">
      <c r="A244" s="203"/>
      <c r="B244" s="220">
        <v>2017</v>
      </c>
      <c r="C244" s="221"/>
      <c r="D244" s="257">
        <f t="array" ref="D244">IF(B29=B244,H29)</f>
        <v>184</v>
      </c>
      <c r="E244" s="257">
        <f t="array" ref="E244">IF(B63=B244,H63)</f>
        <v>87</v>
      </c>
      <c r="F244" s="257">
        <f t="array" ref="F244">IF(B118=B244,H118)</f>
        <v>368</v>
      </c>
      <c r="G244" s="257">
        <f t="array" ref="G244">IF(B165=B244,H165)</f>
        <v>1026</v>
      </c>
      <c r="H244" s="257">
        <f t="array" ref="H244">IF(B215=B244,H215)</f>
        <v>562</v>
      </c>
      <c r="I244" s="257">
        <f t="shared" si="35"/>
        <v>445.4</v>
      </c>
      <c r="J244" s="266">
        <f t="shared" si="36"/>
        <v>526</v>
      </c>
      <c r="K244" s="258"/>
      <c r="L244" s="203"/>
      <c r="M244" s="203"/>
      <c r="N244" s="203"/>
      <c r="O244" s="203"/>
    </row>
    <row r="245" spans="1:15" ht="15" customHeight="1">
      <c r="A245" s="203"/>
      <c r="B245" s="220">
        <v>2018</v>
      </c>
      <c r="C245" s="221"/>
      <c r="D245" s="257">
        <f t="array" ref="D245">IF(B30=B245,H30)</f>
        <v>199</v>
      </c>
      <c r="E245" s="257">
        <f t="array" ref="E245">IF(B64=B245,H64)</f>
        <v>75</v>
      </c>
      <c r="F245" s="257">
        <f t="array" ref="F245">IF(B119=B245,H119)</f>
        <v>384</v>
      </c>
      <c r="G245" s="257">
        <f t="array" ref="G245">IF(B166=B245,H166)</f>
        <v>1179</v>
      </c>
      <c r="H245" s="257">
        <f t="array" ref="H245">IF(B216=B245,H216)</f>
        <v>577</v>
      </c>
      <c r="I245" s="257">
        <f t="shared" si="35"/>
        <v>482.8</v>
      </c>
      <c r="J245" s="266">
        <f t="shared" si="36"/>
        <v>587</v>
      </c>
      <c r="K245" s="258"/>
      <c r="L245" s="203"/>
      <c r="M245" s="203"/>
      <c r="N245" s="203"/>
      <c r="O245" s="203"/>
    </row>
    <row r="246" spans="1:15" ht="15" customHeight="1">
      <c r="A246" s="203"/>
      <c r="B246" s="220">
        <v>2019</v>
      </c>
      <c r="C246" s="221"/>
      <c r="D246" s="257">
        <f t="array" ref="D246">IF(B31=B246,H31)</f>
        <v>215</v>
      </c>
      <c r="E246" s="257">
        <f t="array" ref="E246">IF(B65=B246,H65)</f>
        <v>64</v>
      </c>
      <c r="F246" s="257">
        <f t="array" ref="F246">IF(B120=B246,H120)</f>
        <v>399</v>
      </c>
      <c r="G246" s="257">
        <f t="array" ref="G246">IF(B167=B246,H167)</f>
        <v>1342</v>
      </c>
      <c r="H246" s="257">
        <f t="array" ref="H246">IF(B217=B246,H217)</f>
        <v>586</v>
      </c>
      <c r="I246" s="257">
        <f t="shared" si="35"/>
        <v>521.20000000000005</v>
      </c>
      <c r="J246" s="266">
        <f t="shared" si="36"/>
        <v>652</v>
      </c>
      <c r="K246" s="258"/>
      <c r="L246" s="203"/>
      <c r="M246" s="203"/>
      <c r="N246" s="203"/>
      <c r="O246" s="203"/>
    </row>
    <row r="247" spans="1:15" ht="15" customHeight="1">
      <c r="A247" s="203"/>
      <c r="B247" s="268">
        <v>2020</v>
      </c>
      <c r="C247" s="269"/>
      <c r="D247" s="271">
        <f t="array" ref="D247">IF(B32=B247,H32)</f>
        <v>230</v>
      </c>
      <c r="E247" s="271">
        <f t="array" ref="E247">IF(B66=B247,H66)</f>
        <v>55</v>
      </c>
      <c r="F247" s="271">
        <f t="array" ref="F247">IF(B121=B247,H121)</f>
        <v>414</v>
      </c>
      <c r="G247" s="271">
        <f t="array" ref="G247">IF(B168=B247,H168)</f>
        <v>1514</v>
      </c>
      <c r="H247" s="271">
        <f t="array" ref="H247">IF(B218=B247,H218)</f>
        <v>592</v>
      </c>
      <c r="I247" s="271">
        <f t="shared" si="35"/>
        <v>561</v>
      </c>
      <c r="J247" s="273">
        <f t="shared" si="36"/>
        <v>719</v>
      </c>
      <c r="K247" s="272"/>
      <c r="L247" s="203"/>
      <c r="M247" s="203"/>
      <c r="N247" s="203"/>
      <c r="O247" s="203">
        <v>193</v>
      </c>
    </row>
    <row r="248" spans="1:15" ht="15" customHeight="1">
      <c r="A248" s="203"/>
      <c r="B248" s="220">
        <v>2021</v>
      </c>
      <c r="C248" s="221"/>
      <c r="D248" s="257">
        <f t="array" ref="D248">IF(B33=B248,H33)</f>
        <v>245</v>
      </c>
      <c r="E248" s="257">
        <f t="array" ref="E248">IF(B67=B248,H67)</f>
        <v>47</v>
      </c>
      <c r="F248" s="257">
        <f t="array" ref="F248">IF(B122=B248,H122)</f>
        <v>429</v>
      </c>
      <c r="G248" s="257">
        <f t="array" ref="G248">IF(B169=B248,H169)</f>
        <v>1694</v>
      </c>
      <c r="H248" s="257">
        <f t="array" ref="H248">IF(B219=B248,H219)</f>
        <v>595</v>
      </c>
      <c r="I248" s="257">
        <f t="shared" si="35"/>
        <v>602</v>
      </c>
      <c r="J248" s="266">
        <f t="shared" si="36"/>
        <v>789</v>
      </c>
      <c r="K248" s="258"/>
      <c r="L248" s="203"/>
      <c r="M248" s="203"/>
      <c r="N248" s="203"/>
      <c r="O248" s="203">
        <f>+O247*0.9</f>
        <v>173.70000000000002</v>
      </c>
    </row>
    <row r="249" spans="1:15" ht="15" customHeight="1">
      <c r="A249" s="203"/>
      <c r="B249" s="220">
        <v>2022</v>
      </c>
      <c r="C249" s="221"/>
      <c r="D249" s="257">
        <f t="array" ref="D249">IF(B34=B249,H34)</f>
        <v>260</v>
      </c>
      <c r="E249" s="257">
        <f t="array" ref="E249">IF(B68=B249,H68)</f>
        <v>40</v>
      </c>
      <c r="F249" s="257">
        <f t="array" ref="F249">IF(B123=B249,H123)</f>
        <v>444</v>
      </c>
      <c r="G249" s="257">
        <f t="array" ref="G249">IF(B170=B249,H170)</f>
        <v>1883</v>
      </c>
      <c r="H249" s="257">
        <f t="array" ref="H249">IF(B220=B249,H220)</f>
        <v>597</v>
      </c>
      <c r="I249" s="257">
        <f t="shared" si="35"/>
        <v>644.79999999999995</v>
      </c>
      <c r="J249" s="266">
        <f t="shared" si="36"/>
        <v>862</v>
      </c>
      <c r="K249" s="258"/>
      <c r="L249" s="203"/>
      <c r="M249" s="203"/>
      <c r="N249" s="203"/>
      <c r="O249" s="203"/>
    </row>
    <row r="250" spans="1:15" ht="15" customHeight="1">
      <c r="A250" s="203"/>
      <c r="B250" s="220">
        <v>2023</v>
      </c>
      <c r="C250" s="221"/>
      <c r="D250" s="257">
        <f t="array" ref="D250">IF(B35=B250,H35)</f>
        <v>276</v>
      </c>
      <c r="E250" s="257">
        <f t="array" ref="E250">IF(B69=B250,H69)</f>
        <v>35</v>
      </c>
      <c r="F250" s="257">
        <f t="array" ref="F250">IF(B124=B250,H124)</f>
        <v>459</v>
      </c>
      <c r="G250" s="257">
        <f t="array" ref="G250">IF(B171=B250,H171)</f>
        <v>2080</v>
      </c>
      <c r="H250" s="257">
        <f t="array" ref="H250">IF(B221=B250,H221)</f>
        <v>599</v>
      </c>
      <c r="I250" s="257">
        <f t="shared" si="35"/>
        <v>689.8</v>
      </c>
      <c r="J250" s="266">
        <f t="shared" si="36"/>
        <v>938</v>
      </c>
      <c r="K250" s="258"/>
      <c r="L250" s="203"/>
      <c r="M250" s="203"/>
      <c r="N250" s="203"/>
      <c r="O250" s="203"/>
    </row>
    <row r="251" spans="1:15" ht="15" customHeight="1">
      <c r="A251" s="203"/>
      <c r="B251" s="220">
        <v>2024</v>
      </c>
      <c r="C251" s="221"/>
      <c r="D251" s="257">
        <f t="array" ref="D251">IF(B36=B251,H36)</f>
        <v>291</v>
      </c>
      <c r="E251" s="257">
        <f t="array" ref="E251">IF(B70=B251,H70)</f>
        <v>30</v>
      </c>
      <c r="F251" s="257">
        <f t="array" ref="F251">IF(B125=B251,H125)</f>
        <v>475</v>
      </c>
      <c r="G251" s="257">
        <f t="array" ref="G251">IF(B172=B251,H172)</f>
        <v>2286</v>
      </c>
      <c r="H251" s="257">
        <f t="array" ref="H251">IF(B222=B251,H222)</f>
        <v>599</v>
      </c>
      <c r="I251" s="257">
        <f t="shared" si="35"/>
        <v>736.2</v>
      </c>
      <c r="J251" s="266">
        <f t="shared" si="36"/>
        <v>1017</v>
      </c>
      <c r="K251" s="258"/>
      <c r="L251" s="203"/>
      <c r="M251" s="203"/>
      <c r="N251" s="203"/>
      <c r="O251" s="203"/>
    </row>
    <row r="252" spans="1:15" ht="15" customHeight="1">
      <c r="A252" s="203"/>
      <c r="B252" s="268">
        <v>2025</v>
      </c>
      <c r="C252" s="269"/>
      <c r="D252" s="271">
        <f t="array" ref="D252">IF(B37=B252,H37)</f>
        <v>306</v>
      </c>
      <c r="E252" s="271">
        <f t="array" ref="E252">IF(B71=B252,H71)</f>
        <v>25</v>
      </c>
      <c r="F252" s="271">
        <f t="array" ref="F252">IF(B126=B252,H126)</f>
        <v>490</v>
      </c>
      <c r="G252" s="271">
        <f t="array" ref="G252">IF(B173=B252,H173)</f>
        <v>2500</v>
      </c>
      <c r="H252" s="271">
        <f t="array" ref="H252">IF(B223=B252,H223)</f>
        <v>600</v>
      </c>
      <c r="I252" s="271">
        <f t="shared" si="35"/>
        <v>784.2</v>
      </c>
      <c r="J252" s="273">
        <f t="shared" si="36"/>
        <v>1099</v>
      </c>
      <c r="K252" s="272"/>
      <c r="L252" s="203"/>
      <c r="M252" s="203"/>
      <c r="N252" s="203"/>
      <c r="O252" s="203"/>
    </row>
    <row r="253" spans="1:15" ht="15" customHeight="1">
      <c r="A253" s="203"/>
      <c r="B253" s="220">
        <v>2026</v>
      </c>
      <c r="C253" s="221"/>
      <c r="D253" s="257">
        <f t="array" ref="D253">IF(B38=B253,H38)</f>
        <v>322</v>
      </c>
      <c r="E253" s="257">
        <f t="array" ref="E253">IF(B72=B253,H72)</f>
        <v>22</v>
      </c>
      <c r="F253" s="257">
        <f t="array" ref="F253">IF(B127=B253,H127)</f>
        <v>505</v>
      </c>
      <c r="G253" s="257">
        <f t="array" ref="G253">IF(B174=B253,H174)</f>
        <v>2722</v>
      </c>
      <c r="H253" s="257">
        <f t="array" ref="H253">IF(B224=B253,H224)</f>
        <v>600</v>
      </c>
      <c r="I253" s="257">
        <f t="shared" si="35"/>
        <v>834.2</v>
      </c>
      <c r="J253" s="266">
        <f t="shared" si="36"/>
        <v>1183</v>
      </c>
      <c r="K253" s="258"/>
      <c r="L253" s="203"/>
      <c r="M253" s="203"/>
      <c r="N253" s="203"/>
      <c r="O253" s="203"/>
    </row>
    <row r="254" spans="1:15" ht="15" customHeight="1">
      <c r="A254" s="203"/>
      <c r="B254" s="220">
        <v>2027</v>
      </c>
      <c r="C254" s="221"/>
      <c r="D254" s="257">
        <f t="array" ref="D254">IF(B39=B254,H39)</f>
        <v>337</v>
      </c>
      <c r="E254" s="257">
        <f t="array" ref="E254">IF(B73=B254,H73)</f>
        <v>19</v>
      </c>
      <c r="F254" s="257">
        <f t="array" ref="F254">IF(B128=B254,H128)</f>
        <v>520</v>
      </c>
      <c r="G254" s="257">
        <f t="array" ref="G254">IF(B175=B254,H175)</f>
        <v>2952</v>
      </c>
      <c r="H254" s="257">
        <f t="array" ref="H254">IF(B225=B254,H225)</f>
        <v>600</v>
      </c>
      <c r="I254" s="257">
        <f t="shared" si="35"/>
        <v>885.6</v>
      </c>
      <c r="J254" s="266">
        <f t="shared" si="36"/>
        <v>1270</v>
      </c>
      <c r="K254" s="258"/>
      <c r="L254" s="203"/>
      <c r="M254" s="203"/>
      <c r="N254" s="203"/>
      <c r="O254" s="203"/>
    </row>
    <row r="255" spans="1:15" ht="15" customHeight="1">
      <c r="A255" s="203"/>
      <c r="B255" s="220">
        <v>2028</v>
      </c>
      <c r="C255" s="221"/>
      <c r="D255" s="257">
        <f t="array" ref="D255">IF(B40=B255,H40)</f>
        <v>352</v>
      </c>
      <c r="E255" s="257">
        <f t="array" ref="E255">IF(B74=B255,H74)</f>
        <v>16</v>
      </c>
      <c r="F255" s="257">
        <f t="array" ref="F255">IF(B129=B255,H129)</f>
        <v>535</v>
      </c>
      <c r="G255" s="257">
        <f t="array" ref="G255">IF(B176=B255,H176)</f>
        <v>3190</v>
      </c>
      <c r="H255" s="257">
        <f t="array" ref="H255">IF(B226=B255,H226)</f>
        <v>600</v>
      </c>
      <c r="I255" s="257">
        <f t="shared" si="35"/>
        <v>938.6</v>
      </c>
      <c r="J255" s="266">
        <f t="shared" si="36"/>
        <v>1359</v>
      </c>
      <c r="K255" s="258"/>
      <c r="L255" s="203"/>
      <c r="M255" s="203"/>
      <c r="N255" s="203"/>
      <c r="O255" s="203"/>
    </row>
    <row r="256" spans="1:15" ht="15" customHeight="1">
      <c r="A256" s="203"/>
      <c r="B256" s="220">
        <v>2029</v>
      </c>
      <c r="C256" s="221"/>
      <c r="D256" s="257">
        <f t="array" ref="D256">IF(B41=B256,H41)</f>
        <v>368</v>
      </c>
      <c r="E256" s="257">
        <f t="array" ref="E256">IF(B75=B256,H75)</f>
        <v>14</v>
      </c>
      <c r="F256" s="257">
        <f t="array" ref="F256">IF(B130=B256,H130)</f>
        <v>551</v>
      </c>
      <c r="G256" s="257">
        <f t="array" ref="G256">IF(B177=B256,H177)</f>
        <v>3436</v>
      </c>
      <c r="H256" s="257">
        <f t="array" ref="H256">IF(B227=B256,H227)</f>
        <v>600</v>
      </c>
      <c r="I256" s="257">
        <f t="shared" si="35"/>
        <v>993.8</v>
      </c>
      <c r="J256" s="266">
        <f t="shared" si="36"/>
        <v>1452</v>
      </c>
      <c r="K256" s="258"/>
      <c r="L256" s="203"/>
      <c r="M256" s="203"/>
      <c r="N256" s="203"/>
      <c r="O256" s="203"/>
    </row>
    <row r="257" spans="1:15" ht="15" customHeight="1">
      <c r="A257" s="203"/>
      <c r="B257" s="268">
        <v>2030</v>
      </c>
      <c r="C257" s="269"/>
      <c r="D257" s="271">
        <f t="array" ref="D257">IF(B42=B257,H42)</f>
        <v>383</v>
      </c>
      <c r="E257" s="271">
        <f t="array" ref="E257">IF(B76=B257,H76)</f>
        <v>12</v>
      </c>
      <c r="F257" s="271">
        <f t="array" ref="F257">IF(B131=B257,H131)</f>
        <v>566</v>
      </c>
      <c r="G257" s="271">
        <f t="array" ref="G257">IF(B178=B257,H178)</f>
        <v>3690</v>
      </c>
      <c r="H257" s="271">
        <f t="array" ref="H257">IF(B228=B257,H228)</f>
        <v>600</v>
      </c>
      <c r="I257" s="271">
        <f t="shared" si="35"/>
        <v>1050.2</v>
      </c>
      <c r="J257" s="273">
        <f t="shared" si="36"/>
        <v>1546</v>
      </c>
      <c r="K257" s="272"/>
      <c r="L257" s="203"/>
      <c r="M257" s="203"/>
      <c r="N257" s="203"/>
      <c r="O257" s="203"/>
    </row>
    <row r="258" spans="1:15" ht="15" customHeight="1">
      <c r="A258" s="203"/>
      <c r="B258" s="220">
        <v>2031</v>
      </c>
      <c r="C258" s="221"/>
      <c r="D258" s="257">
        <f t="array" ref="D258">IF(B43=B258,H43)</f>
        <v>398</v>
      </c>
      <c r="E258" s="257">
        <f t="array" ref="E258">IF(B77=B258,H77)</f>
        <v>10</v>
      </c>
      <c r="F258" s="257">
        <f t="array" ref="F258">IF(B132=B258,H132)</f>
        <v>581</v>
      </c>
      <c r="G258" s="257">
        <f t="array" ref="G258">IF(B179=B258,H179)</f>
        <v>3951</v>
      </c>
      <c r="H258" s="257">
        <f t="array" ref="H258">IF(B229=B258,H229)</f>
        <v>600</v>
      </c>
      <c r="I258" s="257">
        <f t="shared" si="35"/>
        <v>1108</v>
      </c>
      <c r="J258" s="266">
        <f t="shared" si="36"/>
        <v>1643</v>
      </c>
      <c r="K258" s="258"/>
      <c r="L258" s="203"/>
      <c r="M258" s="203"/>
      <c r="N258" s="203"/>
      <c r="O258" s="203"/>
    </row>
    <row r="259" spans="1:15" ht="15" customHeight="1">
      <c r="A259" s="203"/>
      <c r="B259" s="220">
        <v>2032</v>
      </c>
      <c r="C259" s="221"/>
      <c r="D259" s="257">
        <f t="array" ref="D259">IF(B44=B259,H44)</f>
        <v>413</v>
      </c>
      <c r="E259" s="257">
        <f t="array" ref="E259">IF(B78=B259,H78)</f>
        <v>9</v>
      </c>
      <c r="F259" s="257">
        <f t="array" ref="F259">IF(B133=B259,H133)</f>
        <v>596</v>
      </c>
      <c r="G259" s="257">
        <f t="array" ref="G259">IF(B180=B259,H180)</f>
        <v>4220</v>
      </c>
      <c r="H259" s="257">
        <f t="array" ref="H259">IF(B230=B259,H230)</f>
        <v>600</v>
      </c>
      <c r="I259" s="257">
        <f t="shared" si="35"/>
        <v>1167.5999999999999</v>
      </c>
      <c r="J259" s="266">
        <f t="shared" si="36"/>
        <v>1743</v>
      </c>
      <c r="K259" s="258"/>
      <c r="L259" s="203"/>
      <c r="M259" s="203"/>
      <c r="N259" s="203"/>
      <c r="O259" s="203"/>
    </row>
    <row r="260" spans="1:15" ht="15" customHeight="1">
      <c r="A260" s="203"/>
      <c r="B260" s="220">
        <v>2033</v>
      </c>
      <c r="C260" s="221"/>
      <c r="D260" s="257">
        <f t="array" ref="D260">IF(B45=B260,H45)</f>
        <v>429</v>
      </c>
      <c r="E260" s="257">
        <f t="array" ref="E260">IF(B79=B260,H79)</f>
        <v>7</v>
      </c>
      <c r="F260" s="257">
        <f t="array" ref="F260">IF(B134=B260,H134)</f>
        <v>611</v>
      </c>
      <c r="G260" s="257">
        <f t="array" ref="G260">IF(B181=B260,H181)</f>
        <v>4497</v>
      </c>
      <c r="H260" s="257">
        <f t="array" ref="H260">IF(B231=B260,H231)</f>
        <v>600</v>
      </c>
      <c r="I260" s="257">
        <f t="shared" si="35"/>
        <v>1228.8</v>
      </c>
      <c r="J260" s="266">
        <f t="shared" si="36"/>
        <v>1846</v>
      </c>
      <c r="K260" s="258"/>
      <c r="L260" s="203"/>
      <c r="M260" s="203"/>
      <c r="N260" s="203"/>
      <c r="O260" s="203"/>
    </row>
    <row r="261" spans="1:15" ht="15" customHeight="1">
      <c r="A261" s="203"/>
      <c r="B261" s="220">
        <v>2034</v>
      </c>
      <c r="C261" s="221"/>
      <c r="D261" s="257">
        <f t="array" ref="D261">IF(B46=B261,H46)</f>
        <v>444</v>
      </c>
      <c r="E261" s="257">
        <f t="array" ref="E261">IF(B80=B261,H80)</f>
        <v>6</v>
      </c>
      <c r="F261" s="257">
        <f t="array" ref="F261">IF(B135=B261,H135)</f>
        <v>626</v>
      </c>
      <c r="G261" s="257">
        <f t="array" ref="G261">IF(B182=B261,H182)</f>
        <v>4781</v>
      </c>
      <c r="H261" s="257">
        <f t="array" ref="H261">IF(B232=B261,H232)</f>
        <v>600</v>
      </c>
      <c r="I261" s="257">
        <f t="shared" si="35"/>
        <v>1291.4000000000001</v>
      </c>
      <c r="J261" s="266">
        <f t="shared" si="36"/>
        <v>1950</v>
      </c>
      <c r="K261" s="258"/>
      <c r="L261" s="203"/>
      <c r="M261" s="203"/>
      <c r="N261" s="203"/>
      <c r="O261" s="203"/>
    </row>
    <row r="262" spans="1:15" ht="15" customHeight="1" thickBot="1">
      <c r="A262" s="203"/>
      <c r="B262" s="268">
        <v>2035</v>
      </c>
      <c r="C262" s="269"/>
      <c r="D262" s="271">
        <f t="array" ref="D262">IF(B47=B262,H47)</f>
        <v>459</v>
      </c>
      <c r="E262" s="271">
        <f t="array" ref="E262">IF(B81=B262,H81)</f>
        <v>5</v>
      </c>
      <c r="F262" s="271">
        <f t="array" ref="F262">IF(B136=B262,H136)</f>
        <v>642</v>
      </c>
      <c r="G262" s="271">
        <f t="array" ref="G262">IF(B183=B262,H183)</f>
        <v>5072</v>
      </c>
      <c r="H262" s="271">
        <f t="array" ref="H262">IF(B233=B262,H233)</f>
        <v>600</v>
      </c>
      <c r="I262" s="271">
        <f t="shared" si="35"/>
        <v>1355.6</v>
      </c>
      <c r="J262" s="273">
        <f t="shared" si="36"/>
        <v>2058</v>
      </c>
      <c r="K262" s="272"/>
      <c r="L262" s="203"/>
      <c r="M262" s="203"/>
      <c r="N262" s="203"/>
      <c r="O262" s="203"/>
    </row>
    <row r="263" spans="1:15">
      <c r="B263" s="226"/>
      <c r="C263" s="226"/>
      <c r="D263" s="226"/>
      <c r="E263" s="226"/>
      <c r="F263" s="226"/>
      <c r="G263" s="226"/>
      <c r="H263" s="226"/>
      <c r="I263" s="226"/>
      <c r="J263" s="226"/>
      <c r="K263" s="226"/>
    </row>
  </sheetData>
  <mergeCells count="1">
    <mergeCell ref="E192:F192"/>
  </mergeCells>
  <phoneticPr fontId="7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43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812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23" t="s">
        <v>1379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2014</v>
      </c>
    </row>
    <row r="5" spans="1:15" ht="15" customHeight="1" thickBot="1">
      <c r="A5" s="198"/>
      <c r="B5" s="196" t="s">
        <v>139</v>
      </c>
      <c r="C5" s="199"/>
      <c r="D5" s="196" t="s">
        <v>1782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27</v>
      </c>
      <c r="K6" s="202"/>
      <c r="L6" s="203"/>
      <c r="M6" s="203"/>
      <c r="N6" s="203"/>
      <c r="O6" s="203"/>
    </row>
    <row r="7" spans="1:15" ht="15" customHeight="1">
      <c r="A7" s="203"/>
      <c r="B7" s="840">
        <v>2010</v>
      </c>
      <c r="C7" s="840"/>
      <c r="D7" s="844">
        <f>+'생극면(10년) (사)'!D12</f>
        <v>344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2011</v>
      </c>
      <c r="C8" s="840"/>
      <c r="D8" s="844">
        <f>+'생극면(10년) (사)'!D13</f>
        <v>380</v>
      </c>
      <c r="E8" s="844"/>
      <c r="F8" s="206">
        <f>D8-D7</f>
        <v>36</v>
      </c>
      <c r="G8" s="206"/>
      <c r="H8" s="207">
        <f>ROUND(F8/D7*100,2)</f>
        <v>10.47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2012</v>
      </c>
      <c r="C9" s="840"/>
      <c r="D9" s="844">
        <f>+'생극면(10년) (사)'!D14</f>
        <v>286</v>
      </c>
      <c r="E9" s="844"/>
      <c r="F9" s="206">
        <f>D9-D8</f>
        <v>-94</v>
      </c>
      <c r="G9" s="206"/>
      <c r="H9" s="207">
        <f>ROUND(F9/D8*100,2)</f>
        <v>-24.74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2013</v>
      </c>
      <c r="C10" s="840"/>
      <c r="D10" s="844">
        <f>+'생극면(10년) (사)'!D15</f>
        <v>269</v>
      </c>
      <c r="E10" s="844"/>
      <c r="F10" s="206">
        <f>D10-D9</f>
        <v>-17</v>
      </c>
      <c r="G10" s="206"/>
      <c r="H10" s="207">
        <f>ROUND(F10/D9*100,2)</f>
        <v>-5.94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2014</v>
      </c>
      <c r="C11" s="840"/>
      <c r="D11" s="844">
        <f>+'생극면(10년) (사)'!D16</f>
        <v>138</v>
      </c>
      <c r="E11" s="844"/>
      <c r="F11" s="206">
        <f>D11-D10</f>
        <v>-131</v>
      </c>
      <c r="G11" s="206"/>
      <c r="H11" s="207">
        <f>ROUND(F11/D10*100,2)</f>
        <v>-48.7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1417</v>
      </c>
      <c r="E12" s="214"/>
      <c r="F12" s="215"/>
      <c r="G12" s="215"/>
      <c r="H12" s="216">
        <f>SUM(H7:H11)</f>
        <v>-68.91</v>
      </c>
      <c r="I12" s="216"/>
      <c r="J12" s="217">
        <f>ROUND(AVERAGE(H7:H11),1)</f>
        <v>-13.8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27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2014</v>
      </c>
      <c r="C21" s="221"/>
      <c r="D21" s="221">
        <f t="shared" ref="D21:D42" si="0">ROUND(E$43+H$43*(B21-$C$4),0)</f>
        <v>138</v>
      </c>
      <c r="E21" s="221"/>
      <c r="F21" s="221">
        <v>0</v>
      </c>
      <c r="G21" s="221"/>
      <c r="H21" s="221">
        <f t="shared" ref="H21:H42" si="1">ROUND(D21*(1+F21),0)</f>
        <v>138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68">
        <v>2015</v>
      </c>
      <c r="C22" s="269"/>
      <c r="D22" s="269">
        <f t="shared" si="0"/>
        <v>87</v>
      </c>
      <c r="E22" s="269"/>
      <c r="F22" s="269">
        <v>0</v>
      </c>
      <c r="G22" s="269"/>
      <c r="H22" s="269">
        <f t="shared" si="1"/>
        <v>87</v>
      </c>
      <c r="I22" s="269"/>
      <c r="J22" s="270">
        <v>0</v>
      </c>
      <c r="K22" s="270"/>
      <c r="L22" s="203"/>
      <c r="M22" s="203"/>
      <c r="N22" s="203"/>
      <c r="O22" s="203"/>
    </row>
    <row r="23" spans="1:15" ht="15" customHeight="1">
      <c r="A23" s="203"/>
      <c r="B23" s="220">
        <v>2016</v>
      </c>
      <c r="C23" s="221"/>
      <c r="D23" s="221">
        <f t="shared" si="0"/>
        <v>35</v>
      </c>
      <c r="E23" s="221"/>
      <c r="F23" s="221">
        <v>0</v>
      </c>
      <c r="G23" s="221"/>
      <c r="H23" s="221">
        <f t="shared" si="1"/>
        <v>35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2017</v>
      </c>
      <c r="C24" s="221"/>
      <c r="D24" s="221">
        <f t="shared" si="0"/>
        <v>-17</v>
      </c>
      <c r="E24" s="221"/>
      <c r="F24" s="221">
        <v>0</v>
      </c>
      <c r="G24" s="221"/>
      <c r="H24" s="221">
        <f t="shared" si="1"/>
        <v>-17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2018</v>
      </c>
      <c r="C25" s="221"/>
      <c r="D25" s="221">
        <f t="shared" si="0"/>
        <v>-68</v>
      </c>
      <c r="E25" s="221"/>
      <c r="F25" s="221">
        <v>0</v>
      </c>
      <c r="G25" s="221"/>
      <c r="H25" s="221">
        <f t="shared" si="1"/>
        <v>-68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20">
        <v>2019</v>
      </c>
      <c r="C26" s="221"/>
      <c r="D26" s="221">
        <f t="shared" si="0"/>
        <v>-120</v>
      </c>
      <c r="E26" s="221"/>
      <c r="F26" s="221">
        <v>0</v>
      </c>
      <c r="G26" s="221"/>
      <c r="H26" s="221">
        <f t="shared" si="1"/>
        <v>-120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68">
        <v>2020</v>
      </c>
      <c r="C27" s="269"/>
      <c r="D27" s="269">
        <f t="shared" si="0"/>
        <v>-171</v>
      </c>
      <c r="E27" s="269"/>
      <c r="F27" s="269">
        <v>0</v>
      </c>
      <c r="G27" s="269"/>
      <c r="H27" s="269">
        <f t="shared" si="1"/>
        <v>-171</v>
      </c>
      <c r="I27" s="269"/>
      <c r="J27" s="270">
        <v>0</v>
      </c>
      <c r="K27" s="270"/>
      <c r="L27" s="203"/>
      <c r="M27" s="203"/>
      <c r="N27" s="203"/>
      <c r="O27" s="203"/>
    </row>
    <row r="28" spans="1:15" ht="15" customHeight="1">
      <c r="A28" s="203"/>
      <c r="B28" s="220">
        <v>2021</v>
      </c>
      <c r="C28" s="221"/>
      <c r="D28" s="221">
        <f t="shared" si="0"/>
        <v>-223</v>
      </c>
      <c r="E28" s="221"/>
      <c r="F28" s="221">
        <v>0</v>
      </c>
      <c r="G28" s="221"/>
      <c r="H28" s="221">
        <f t="shared" si="1"/>
        <v>-223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2022</v>
      </c>
      <c r="C29" s="221"/>
      <c r="D29" s="221">
        <f t="shared" si="0"/>
        <v>-274</v>
      </c>
      <c r="E29" s="221"/>
      <c r="F29" s="221">
        <v>0</v>
      </c>
      <c r="G29" s="221"/>
      <c r="H29" s="221">
        <f t="shared" si="1"/>
        <v>-274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2023</v>
      </c>
      <c r="C30" s="221"/>
      <c r="D30" s="221">
        <f t="shared" si="0"/>
        <v>-326</v>
      </c>
      <c r="E30" s="221"/>
      <c r="F30" s="221">
        <v>0</v>
      </c>
      <c r="G30" s="221"/>
      <c r="H30" s="221">
        <f t="shared" si="1"/>
        <v>-326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20">
        <v>2024</v>
      </c>
      <c r="C31" s="221"/>
      <c r="D31" s="221">
        <f t="shared" si="0"/>
        <v>-377</v>
      </c>
      <c r="E31" s="221"/>
      <c r="F31" s="221">
        <v>0</v>
      </c>
      <c r="G31" s="221"/>
      <c r="H31" s="221">
        <f t="shared" si="1"/>
        <v>-377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68">
        <v>2025</v>
      </c>
      <c r="C32" s="269"/>
      <c r="D32" s="269">
        <f t="shared" si="0"/>
        <v>-429</v>
      </c>
      <c r="E32" s="269"/>
      <c r="F32" s="269">
        <v>0</v>
      </c>
      <c r="G32" s="269"/>
      <c r="H32" s="269">
        <f t="shared" si="1"/>
        <v>-429</v>
      </c>
      <c r="I32" s="269"/>
      <c r="J32" s="270">
        <v>0</v>
      </c>
      <c r="K32" s="270"/>
      <c r="L32" s="203"/>
      <c r="M32" s="203"/>
      <c r="N32" s="203"/>
      <c r="O32" s="203"/>
    </row>
    <row r="33" spans="1:15" ht="15" customHeight="1">
      <c r="A33" s="203"/>
      <c r="B33" s="220">
        <v>2026</v>
      </c>
      <c r="C33" s="221"/>
      <c r="D33" s="221">
        <f t="shared" si="0"/>
        <v>-480</v>
      </c>
      <c r="E33" s="221"/>
      <c r="F33" s="221">
        <v>0</v>
      </c>
      <c r="G33" s="221"/>
      <c r="H33" s="221">
        <f t="shared" si="1"/>
        <v>-480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2027</v>
      </c>
      <c r="C34" s="221"/>
      <c r="D34" s="221">
        <f t="shared" si="0"/>
        <v>-532</v>
      </c>
      <c r="E34" s="221"/>
      <c r="F34" s="221">
        <v>0</v>
      </c>
      <c r="G34" s="221"/>
      <c r="H34" s="221">
        <f t="shared" si="1"/>
        <v>-532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2028</v>
      </c>
      <c r="C35" s="221"/>
      <c r="D35" s="221">
        <f t="shared" si="0"/>
        <v>-583</v>
      </c>
      <c r="E35" s="221"/>
      <c r="F35" s="221">
        <v>0</v>
      </c>
      <c r="G35" s="221"/>
      <c r="H35" s="221">
        <f t="shared" si="1"/>
        <v>-583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20">
        <v>2029</v>
      </c>
      <c r="C36" s="221"/>
      <c r="D36" s="221">
        <f t="shared" si="0"/>
        <v>-635</v>
      </c>
      <c r="E36" s="221"/>
      <c r="F36" s="221">
        <v>0</v>
      </c>
      <c r="G36" s="221"/>
      <c r="H36" s="221">
        <f t="shared" si="1"/>
        <v>-635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68">
        <v>2030</v>
      </c>
      <c r="C37" s="269"/>
      <c r="D37" s="269">
        <f t="shared" si="0"/>
        <v>-686</v>
      </c>
      <c r="E37" s="269"/>
      <c r="F37" s="269">
        <v>0</v>
      </c>
      <c r="G37" s="269"/>
      <c r="H37" s="269">
        <f t="shared" si="1"/>
        <v>-686</v>
      </c>
      <c r="I37" s="269"/>
      <c r="J37" s="270">
        <v>0</v>
      </c>
      <c r="K37" s="270"/>
      <c r="L37" s="203"/>
      <c r="M37" s="203"/>
      <c r="N37" s="203"/>
      <c r="O37" s="203"/>
    </row>
    <row r="38" spans="1:15" ht="15" customHeight="1">
      <c r="A38" s="203"/>
      <c r="B38" s="220">
        <v>2031</v>
      </c>
      <c r="C38" s="221"/>
      <c r="D38" s="221">
        <f t="shared" si="0"/>
        <v>-738</v>
      </c>
      <c r="E38" s="221"/>
      <c r="F38" s="221">
        <v>0</v>
      </c>
      <c r="G38" s="221"/>
      <c r="H38" s="221">
        <f t="shared" si="1"/>
        <v>-738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2032</v>
      </c>
      <c r="C39" s="221"/>
      <c r="D39" s="221">
        <f t="shared" si="0"/>
        <v>-789</v>
      </c>
      <c r="E39" s="221"/>
      <c r="F39" s="221">
        <v>0</v>
      </c>
      <c r="G39" s="221"/>
      <c r="H39" s="221">
        <f t="shared" si="1"/>
        <v>-789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2033</v>
      </c>
      <c r="C40" s="221"/>
      <c r="D40" s="221">
        <f t="shared" si="0"/>
        <v>-841</v>
      </c>
      <c r="E40" s="221"/>
      <c r="F40" s="221">
        <v>0</v>
      </c>
      <c r="G40" s="221"/>
      <c r="H40" s="221">
        <f t="shared" si="1"/>
        <v>-841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>
      <c r="A41" s="203"/>
      <c r="B41" s="220">
        <v>2034</v>
      </c>
      <c r="C41" s="221"/>
      <c r="D41" s="221">
        <f t="shared" si="0"/>
        <v>-892</v>
      </c>
      <c r="E41" s="221"/>
      <c r="F41" s="221">
        <v>0</v>
      </c>
      <c r="G41" s="221"/>
      <c r="H41" s="221">
        <f t="shared" si="1"/>
        <v>-892</v>
      </c>
      <c r="I41" s="221"/>
      <c r="J41" s="222">
        <v>0</v>
      </c>
      <c r="K41" s="222"/>
      <c r="L41" s="203"/>
      <c r="M41" s="203"/>
      <c r="N41" s="203"/>
      <c r="O41" s="203"/>
    </row>
    <row r="42" spans="1:15" ht="15" customHeight="1" thickBot="1">
      <c r="A42" s="203"/>
      <c r="B42" s="268">
        <v>2035</v>
      </c>
      <c r="C42" s="269"/>
      <c r="D42" s="269">
        <f t="shared" si="0"/>
        <v>-944</v>
      </c>
      <c r="E42" s="269"/>
      <c r="F42" s="269">
        <v>0</v>
      </c>
      <c r="G42" s="269"/>
      <c r="H42" s="269">
        <f t="shared" si="1"/>
        <v>-944</v>
      </c>
      <c r="I42" s="269"/>
      <c r="J42" s="270">
        <v>0</v>
      </c>
      <c r="K42" s="270"/>
      <c r="L42" s="203"/>
      <c r="M42" s="203"/>
      <c r="N42" s="203"/>
      <c r="O42" s="203"/>
    </row>
    <row r="43" spans="1:15" ht="15" customHeight="1">
      <c r="A43" s="203"/>
      <c r="B43" s="223" t="s">
        <v>160</v>
      </c>
      <c r="C43" s="223"/>
      <c r="D43" s="224" t="s">
        <v>161</v>
      </c>
      <c r="E43" s="225">
        <f>D$11</f>
        <v>138</v>
      </c>
      <c r="F43" s="226"/>
      <c r="G43" s="224" t="s">
        <v>162</v>
      </c>
      <c r="H43" s="224">
        <f>ROUND((D$11-D$7)/(COUNT(D$7:D$11)-1),1)</f>
        <v>-51.5</v>
      </c>
      <c r="I43" s="224"/>
      <c r="J43" s="224" t="s">
        <v>163</v>
      </c>
      <c r="K43" s="227" t="s">
        <v>164</v>
      </c>
      <c r="L43" s="203"/>
      <c r="M43" s="203"/>
      <c r="N43" s="203"/>
      <c r="O43" s="203"/>
    </row>
    <row r="44" spans="1:15" ht="15" customHeight="1">
      <c r="A44" s="203"/>
      <c r="B44" s="237"/>
      <c r="C44" s="237"/>
      <c r="D44" s="240"/>
      <c r="E44" s="267"/>
      <c r="F44" s="239"/>
      <c r="G44" s="240"/>
      <c r="H44" s="240"/>
      <c r="I44" s="240"/>
      <c r="J44" s="240"/>
      <c r="K44" s="241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18" t="s">
        <v>165</v>
      </c>
      <c r="C47" s="219"/>
      <c r="D47" s="219"/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3"/>
      <c r="C48" s="219" t="s">
        <v>148</v>
      </c>
      <c r="D48" s="219" t="s">
        <v>167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01"/>
      <c r="C49" s="201" t="s">
        <v>150</v>
      </c>
      <c r="D49" s="219" t="s">
        <v>151</v>
      </c>
      <c r="E49" s="201"/>
      <c r="F49" s="201"/>
      <c r="G49" s="201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152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19"/>
      <c r="C51" s="219"/>
      <c r="D51" s="219" t="s">
        <v>171</v>
      </c>
      <c r="E51" s="219"/>
      <c r="F51" s="219"/>
      <c r="G51" s="219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 thickBot="1">
      <c r="A53" s="203"/>
      <c r="B53" s="203"/>
      <c r="C53" s="203"/>
      <c r="D53" s="203"/>
      <c r="E53" s="203"/>
      <c r="F53" s="208" t="s">
        <v>172</v>
      </c>
      <c r="G53" s="208"/>
      <c r="H53" s="203"/>
      <c r="I53" s="203"/>
      <c r="J53" s="203"/>
      <c r="K53" s="203"/>
      <c r="L53" s="203"/>
      <c r="M53" s="203"/>
      <c r="N53" s="203"/>
      <c r="O53" s="203"/>
    </row>
    <row r="54" spans="1:15" ht="15" customHeight="1">
      <c r="A54" s="203"/>
      <c r="B54" s="202" t="s">
        <v>141</v>
      </c>
      <c r="C54" s="202"/>
      <c r="D54" s="202" t="s">
        <v>156</v>
      </c>
      <c r="E54" s="202"/>
      <c r="F54" s="202" t="s">
        <v>157</v>
      </c>
      <c r="G54" s="202"/>
      <c r="H54" s="202" t="s">
        <v>158</v>
      </c>
      <c r="I54" s="202"/>
      <c r="J54" s="202" t="s">
        <v>27</v>
      </c>
      <c r="K54" s="202"/>
      <c r="L54" s="203"/>
      <c r="M54" s="203"/>
      <c r="N54" s="203"/>
      <c r="O54" s="203"/>
    </row>
    <row r="55" spans="1:15" ht="15" customHeight="1">
      <c r="A55" s="203"/>
      <c r="B55" s="220">
        <v>2014</v>
      </c>
      <c r="C55" s="221"/>
      <c r="D55" s="221">
        <f t="shared" ref="D55:D76" si="2">ROUND(E$77*H$77^(B55-$C$4),0)</f>
        <v>138</v>
      </c>
      <c r="E55" s="221"/>
      <c r="F55" s="221">
        <v>0</v>
      </c>
      <c r="G55" s="221"/>
      <c r="H55" s="221">
        <f t="shared" ref="H55:H76" si="3">ROUND(D55*(1+F55),0)</f>
        <v>138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68">
        <v>2015</v>
      </c>
      <c r="C56" s="269"/>
      <c r="D56" s="269">
        <f t="shared" si="2"/>
        <v>110</v>
      </c>
      <c r="E56" s="269"/>
      <c r="F56" s="269">
        <v>0</v>
      </c>
      <c r="G56" s="269"/>
      <c r="H56" s="269">
        <f t="shared" si="3"/>
        <v>110</v>
      </c>
      <c r="I56" s="269"/>
      <c r="J56" s="270">
        <v>0</v>
      </c>
      <c r="K56" s="270"/>
      <c r="L56" s="203"/>
      <c r="M56" s="203"/>
      <c r="N56" s="203"/>
      <c r="O56" s="203"/>
    </row>
    <row r="57" spans="1:15" ht="15" customHeight="1">
      <c r="A57" s="203"/>
      <c r="B57" s="220">
        <v>2016</v>
      </c>
      <c r="C57" s="221"/>
      <c r="D57" s="221">
        <f t="shared" si="2"/>
        <v>87</v>
      </c>
      <c r="E57" s="221"/>
      <c r="F57" s="221">
        <v>0</v>
      </c>
      <c r="G57" s="221"/>
      <c r="H57" s="221">
        <f t="shared" si="3"/>
        <v>87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20">
        <v>2017</v>
      </c>
      <c r="C58" s="221"/>
      <c r="D58" s="221">
        <f t="shared" si="2"/>
        <v>70</v>
      </c>
      <c r="E58" s="221"/>
      <c r="F58" s="221">
        <v>0</v>
      </c>
      <c r="G58" s="221"/>
      <c r="H58" s="221">
        <f t="shared" si="3"/>
        <v>70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2018</v>
      </c>
      <c r="C59" s="221"/>
      <c r="D59" s="221">
        <f t="shared" si="2"/>
        <v>55</v>
      </c>
      <c r="E59" s="221"/>
      <c r="F59" s="221">
        <v>0</v>
      </c>
      <c r="G59" s="221"/>
      <c r="H59" s="221">
        <f t="shared" si="3"/>
        <v>55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2019</v>
      </c>
      <c r="C60" s="221"/>
      <c r="D60" s="221">
        <f t="shared" si="2"/>
        <v>44</v>
      </c>
      <c r="E60" s="221"/>
      <c r="F60" s="221">
        <v>0</v>
      </c>
      <c r="G60" s="221"/>
      <c r="H60" s="221">
        <f t="shared" si="3"/>
        <v>44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68">
        <v>2020</v>
      </c>
      <c r="C61" s="269"/>
      <c r="D61" s="269">
        <f t="shared" si="2"/>
        <v>35</v>
      </c>
      <c r="E61" s="269"/>
      <c r="F61" s="269">
        <v>0</v>
      </c>
      <c r="G61" s="269"/>
      <c r="H61" s="269">
        <f t="shared" si="3"/>
        <v>35</v>
      </c>
      <c r="I61" s="269"/>
      <c r="J61" s="270">
        <v>0</v>
      </c>
      <c r="K61" s="270"/>
      <c r="L61" s="203"/>
      <c r="M61" s="203"/>
      <c r="N61" s="203"/>
      <c r="O61" s="203"/>
    </row>
    <row r="62" spans="1:15" ht="15" customHeight="1">
      <c r="A62" s="203"/>
      <c r="B62" s="220">
        <v>2021</v>
      </c>
      <c r="C62" s="221"/>
      <c r="D62" s="221">
        <f t="shared" si="2"/>
        <v>28</v>
      </c>
      <c r="E62" s="221"/>
      <c r="F62" s="221">
        <v>0</v>
      </c>
      <c r="G62" s="221"/>
      <c r="H62" s="221">
        <f t="shared" si="3"/>
        <v>28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20">
        <v>2022</v>
      </c>
      <c r="C63" s="221"/>
      <c r="D63" s="221">
        <f t="shared" si="2"/>
        <v>22</v>
      </c>
      <c r="E63" s="221"/>
      <c r="F63" s="221">
        <v>0</v>
      </c>
      <c r="G63" s="221"/>
      <c r="H63" s="221">
        <f t="shared" si="3"/>
        <v>22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2023</v>
      </c>
      <c r="C64" s="221"/>
      <c r="D64" s="221">
        <f t="shared" si="2"/>
        <v>18</v>
      </c>
      <c r="E64" s="221"/>
      <c r="F64" s="221">
        <v>0</v>
      </c>
      <c r="G64" s="221"/>
      <c r="H64" s="221">
        <f t="shared" si="3"/>
        <v>18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2024</v>
      </c>
      <c r="C65" s="221"/>
      <c r="D65" s="221">
        <f t="shared" si="2"/>
        <v>14</v>
      </c>
      <c r="E65" s="221"/>
      <c r="F65" s="221">
        <v>0</v>
      </c>
      <c r="G65" s="221"/>
      <c r="H65" s="221">
        <f t="shared" si="3"/>
        <v>14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68">
        <v>2025</v>
      </c>
      <c r="C66" s="269"/>
      <c r="D66" s="269">
        <f t="shared" si="2"/>
        <v>11</v>
      </c>
      <c r="E66" s="269"/>
      <c r="F66" s="269">
        <v>0</v>
      </c>
      <c r="G66" s="269"/>
      <c r="H66" s="269">
        <f t="shared" si="3"/>
        <v>11</v>
      </c>
      <c r="I66" s="269"/>
      <c r="J66" s="270">
        <v>0</v>
      </c>
      <c r="K66" s="270"/>
      <c r="L66" s="203"/>
      <c r="M66" s="203"/>
      <c r="N66" s="203"/>
      <c r="O66" s="203"/>
    </row>
    <row r="67" spans="1:15" ht="15" customHeight="1">
      <c r="A67" s="203"/>
      <c r="B67" s="220">
        <v>2026</v>
      </c>
      <c r="C67" s="221"/>
      <c r="D67" s="221">
        <f t="shared" si="2"/>
        <v>9</v>
      </c>
      <c r="E67" s="221"/>
      <c r="F67" s="221">
        <v>0</v>
      </c>
      <c r="G67" s="221"/>
      <c r="H67" s="221">
        <f t="shared" si="3"/>
        <v>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20">
        <v>2027</v>
      </c>
      <c r="C68" s="221"/>
      <c r="D68" s="221">
        <f t="shared" si="2"/>
        <v>7</v>
      </c>
      <c r="E68" s="221"/>
      <c r="F68" s="221">
        <v>0</v>
      </c>
      <c r="G68" s="221"/>
      <c r="H68" s="221">
        <f t="shared" si="3"/>
        <v>7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2028</v>
      </c>
      <c r="C69" s="221"/>
      <c r="D69" s="221">
        <f t="shared" si="2"/>
        <v>6</v>
      </c>
      <c r="E69" s="221"/>
      <c r="F69" s="221">
        <v>0</v>
      </c>
      <c r="G69" s="221"/>
      <c r="H69" s="221">
        <f t="shared" si="3"/>
        <v>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2029</v>
      </c>
      <c r="C70" s="221"/>
      <c r="D70" s="221">
        <f t="shared" si="2"/>
        <v>4</v>
      </c>
      <c r="E70" s="221"/>
      <c r="F70" s="221">
        <v>0</v>
      </c>
      <c r="G70" s="221"/>
      <c r="H70" s="221">
        <f t="shared" si="3"/>
        <v>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68">
        <v>2030</v>
      </c>
      <c r="C71" s="269"/>
      <c r="D71" s="269">
        <f t="shared" si="2"/>
        <v>4</v>
      </c>
      <c r="E71" s="269"/>
      <c r="F71" s="269">
        <v>0</v>
      </c>
      <c r="G71" s="269"/>
      <c r="H71" s="269">
        <f t="shared" si="3"/>
        <v>4</v>
      </c>
      <c r="I71" s="269"/>
      <c r="J71" s="270">
        <v>0</v>
      </c>
      <c r="K71" s="270"/>
      <c r="L71" s="203"/>
      <c r="M71" s="203"/>
      <c r="N71" s="203"/>
      <c r="O71" s="203"/>
    </row>
    <row r="72" spans="1:15" ht="15" customHeight="1">
      <c r="A72" s="203"/>
      <c r="B72" s="220">
        <v>2031</v>
      </c>
      <c r="C72" s="221"/>
      <c r="D72" s="221">
        <f t="shared" si="2"/>
        <v>3</v>
      </c>
      <c r="E72" s="221"/>
      <c r="F72" s="221">
        <v>0</v>
      </c>
      <c r="G72" s="221"/>
      <c r="H72" s="221">
        <f t="shared" si="3"/>
        <v>3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>
      <c r="A73" s="203"/>
      <c r="B73" s="220">
        <v>2032</v>
      </c>
      <c r="C73" s="221"/>
      <c r="D73" s="221">
        <f t="shared" si="2"/>
        <v>2</v>
      </c>
      <c r="E73" s="221"/>
      <c r="F73" s="221">
        <v>0</v>
      </c>
      <c r="G73" s="221"/>
      <c r="H73" s="221">
        <f t="shared" si="3"/>
        <v>2</v>
      </c>
      <c r="I73" s="221"/>
      <c r="J73" s="222">
        <v>0</v>
      </c>
      <c r="K73" s="222"/>
      <c r="L73" s="203"/>
      <c r="M73" s="203"/>
      <c r="N73" s="203"/>
      <c r="O73" s="203"/>
    </row>
    <row r="74" spans="1:15" ht="15" customHeight="1">
      <c r="A74" s="203"/>
      <c r="B74" s="220">
        <v>2033</v>
      </c>
      <c r="C74" s="221"/>
      <c r="D74" s="221">
        <f t="shared" si="2"/>
        <v>2</v>
      </c>
      <c r="E74" s="221"/>
      <c r="F74" s="221">
        <v>0</v>
      </c>
      <c r="G74" s="221"/>
      <c r="H74" s="221">
        <f t="shared" si="3"/>
        <v>2</v>
      </c>
      <c r="I74" s="221"/>
      <c r="J74" s="222">
        <v>0</v>
      </c>
      <c r="K74" s="222"/>
      <c r="L74" s="203"/>
      <c r="M74" s="203"/>
      <c r="N74" s="203"/>
      <c r="O74" s="203"/>
    </row>
    <row r="75" spans="1:15" ht="15" customHeight="1">
      <c r="A75" s="203"/>
      <c r="B75" s="220">
        <v>2034</v>
      </c>
      <c r="C75" s="221"/>
      <c r="D75" s="221">
        <f t="shared" si="2"/>
        <v>1</v>
      </c>
      <c r="E75" s="221"/>
      <c r="F75" s="221">
        <v>0</v>
      </c>
      <c r="G75" s="221"/>
      <c r="H75" s="221">
        <f t="shared" si="3"/>
        <v>1</v>
      </c>
      <c r="I75" s="221"/>
      <c r="J75" s="222">
        <v>0</v>
      </c>
      <c r="K75" s="222"/>
      <c r="L75" s="203"/>
      <c r="M75" s="203"/>
      <c r="N75" s="203"/>
      <c r="O75" s="203"/>
    </row>
    <row r="76" spans="1:15" ht="15" customHeight="1" thickBot="1">
      <c r="A76" s="203"/>
      <c r="B76" s="268">
        <v>2035</v>
      </c>
      <c r="C76" s="269"/>
      <c r="D76" s="269">
        <f t="shared" si="2"/>
        <v>1</v>
      </c>
      <c r="E76" s="269"/>
      <c r="F76" s="269">
        <v>0</v>
      </c>
      <c r="G76" s="269"/>
      <c r="H76" s="269">
        <f t="shared" si="3"/>
        <v>1</v>
      </c>
      <c r="I76" s="269"/>
      <c r="J76" s="270">
        <v>0</v>
      </c>
      <c r="K76" s="270"/>
      <c r="L76" s="203"/>
      <c r="M76" s="203"/>
      <c r="N76" s="203"/>
      <c r="O76" s="203"/>
    </row>
    <row r="77" spans="1:15" ht="15" customHeight="1">
      <c r="A77" s="203"/>
      <c r="B77" s="223" t="s">
        <v>177</v>
      </c>
      <c r="C77" s="223"/>
      <c r="D77" s="224" t="s">
        <v>161</v>
      </c>
      <c r="E77" s="225">
        <f>D$11</f>
        <v>138</v>
      </c>
      <c r="F77" s="226"/>
      <c r="G77" s="224" t="s">
        <v>179</v>
      </c>
      <c r="H77" s="224">
        <f>ROUND((E$77/D$7)^(1/(COUNT(D$7:D$11)-1)),6)</f>
        <v>0.795848</v>
      </c>
      <c r="I77" s="224"/>
      <c r="J77" s="224" t="s">
        <v>163</v>
      </c>
      <c r="K77" s="227" t="s">
        <v>164</v>
      </c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8" t="s">
        <v>182</v>
      </c>
      <c r="C87" s="219"/>
      <c r="D87" s="219"/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3"/>
      <c r="C88" s="219" t="s">
        <v>148</v>
      </c>
      <c r="D88" s="219" t="s">
        <v>184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19"/>
      <c r="C89" s="228" t="s">
        <v>185</v>
      </c>
      <c r="D89" s="219" t="s">
        <v>186</v>
      </c>
      <c r="E89" s="201"/>
      <c r="F89" s="203"/>
      <c r="G89" s="203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19"/>
      <c r="C90" s="219"/>
      <c r="D90" s="219" t="s">
        <v>187</v>
      </c>
      <c r="E90" s="219"/>
      <c r="F90" s="203"/>
      <c r="G90" s="203"/>
      <c r="H90" s="203"/>
      <c r="I90" s="203"/>
      <c r="J90" s="203"/>
      <c r="K90" s="203"/>
      <c r="L90" s="203"/>
      <c r="M90" s="203"/>
      <c r="N90" s="203"/>
      <c r="O90" s="203"/>
    </row>
    <row r="91" spans="1:15" ht="15" customHeight="1">
      <c r="A91" s="203"/>
      <c r="B91" s="201"/>
      <c r="C91" s="219"/>
      <c r="D91" s="219" t="s">
        <v>188</v>
      </c>
      <c r="E91" s="219"/>
      <c r="F91" s="203"/>
      <c r="G91" s="203"/>
      <c r="H91" s="203"/>
      <c r="I91" s="203"/>
      <c r="J91" s="203"/>
      <c r="K91" s="203"/>
      <c r="L91" s="203"/>
      <c r="M91" s="203"/>
      <c r="N91" s="203"/>
      <c r="O91" s="203"/>
    </row>
    <row r="92" spans="1:15" ht="15" customHeight="1" thickBot="1">
      <c r="A92" s="203"/>
      <c r="B92" s="203"/>
      <c r="C92" s="203"/>
      <c r="D92" s="203"/>
      <c r="E92" s="203"/>
      <c r="F92" s="208" t="s">
        <v>189</v>
      </c>
      <c r="G92" s="208"/>
      <c r="H92" s="203"/>
      <c r="I92" s="203"/>
      <c r="J92" s="203"/>
      <c r="K92" s="203"/>
      <c r="L92" s="203"/>
      <c r="M92" s="203"/>
      <c r="N92" s="203"/>
      <c r="O92" s="203"/>
    </row>
    <row r="93" spans="1:15" ht="15" customHeight="1">
      <c r="A93" s="203"/>
      <c r="B93" s="202" t="s">
        <v>141</v>
      </c>
      <c r="C93" s="202"/>
      <c r="D93" s="202" t="s">
        <v>191</v>
      </c>
      <c r="E93" s="202" t="s">
        <v>192</v>
      </c>
      <c r="F93" s="202" t="s">
        <v>193</v>
      </c>
      <c r="G93" s="202"/>
      <c r="H93" s="202" t="s">
        <v>194</v>
      </c>
      <c r="I93" s="202"/>
      <c r="J93" s="202" t="s">
        <v>27</v>
      </c>
      <c r="K93" s="202"/>
      <c r="L93" s="203"/>
      <c r="M93" s="203"/>
      <c r="N93" s="203"/>
      <c r="O93" s="203"/>
    </row>
    <row r="94" spans="1:15" ht="15" customHeight="1">
      <c r="A94" s="203"/>
      <c r="B94" s="840">
        <f>B7</f>
        <v>2010</v>
      </c>
      <c r="C94" s="840"/>
      <c r="D94" s="208">
        <f>VLOOKUP(B94,B$7:E$11,3,FALSE)</f>
        <v>344</v>
      </c>
      <c r="E94" s="840">
        <f>((COUNT(B$94:B$98)-1)/2)+(B94-$C$4)</f>
        <v>-2</v>
      </c>
      <c r="F94" s="208">
        <f>E94^2</f>
        <v>4</v>
      </c>
      <c r="G94" s="206"/>
      <c r="H94" s="230">
        <f>ROUND(D94*E94,2)</f>
        <v>-688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>B8</f>
        <v>2011</v>
      </c>
      <c r="C95" s="840"/>
      <c r="D95" s="208">
        <f>VLOOKUP(B95,B$7:E$11,3,FALSE)</f>
        <v>380</v>
      </c>
      <c r="E95" s="840">
        <f>((COUNT(B$94:B$98)-1)/2)+(B95-$C$4)</f>
        <v>-1</v>
      </c>
      <c r="F95" s="208">
        <f>E95^2</f>
        <v>1</v>
      </c>
      <c r="G95" s="206"/>
      <c r="H95" s="230">
        <f>ROUND(D95*E95,2)</f>
        <v>-380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>B9</f>
        <v>2012</v>
      </c>
      <c r="C96" s="840"/>
      <c r="D96" s="208">
        <f>VLOOKUP(B96,B$7:E$11,3,FALSE)</f>
        <v>286</v>
      </c>
      <c r="E96" s="840">
        <f>((COUNT(B$94:B$98)-1)/2)+(B96-$C$4)</f>
        <v>0</v>
      </c>
      <c r="F96" s="208">
        <f>E96^2</f>
        <v>0</v>
      </c>
      <c r="G96" s="206"/>
      <c r="H96" s="230">
        <f>ROUND(D96*E96,2)</f>
        <v>0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>
      <c r="A97" s="203"/>
      <c r="B97" s="840">
        <f>B10</f>
        <v>2013</v>
      </c>
      <c r="C97" s="840"/>
      <c r="D97" s="208">
        <f>VLOOKUP(B97,B$7:E$11,3,FALSE)</f>
        <v>269</v>
      </c>
      <c r="E97" s="840">
        <f>((COUNT(B$94:B$98)-1)/2)+(B97-$C$4)</f>
        <v>1</v>
      </c>
      <c r="F97" s="208">
        <f>E97^2</f>
        <v>1</v>
      </c>
      <c r="G97" s="206"/>
      <c r="H97" s="230">
        <f>ROUND(D97*E97,2)</f>
        <v>269</v>
      </c>
      <c r="I97" s="231"/>
      <c r="J97" s="210">
        <v>0</v>
      </c>
      <c r="K97" s="210"/>
      <c r="L97" s="203"/>
      <c r="M97" s="203"/>
      <c r="N97" s="203"/>
      <c r="O97" s="203"/>
    </row>
    <row r="98" spans="1:15" ht="15" customHeight="1">
      <c r="A98" s="203"/>
      <c r="B98" s="840">
        <f>B11</f>
        <v>2014</v>
      </c>
      <c r="C98" s="840"/>
      <c r="D98" s="208">
        <f>VLOOKUP(B98,B$7:E$11,3,FALSE)</f>
        <v>138</v>
      </c>
      <c r="E98" s="840">
        <f>((COUNT(B$94:B$98)-1)/2)+(B98-$C$4)</f>
        <v>2</v>
      </c>
      <c r="F98" s="208">
        <f>E98^2</f>
        <v>4</v>
      </c>
      <c r="G98" s="206"/>
      <c r="H98" s="230">
        <f>ROUND(D98*E98,2)</f>
        <v>276</v>
      </c>
      <c r="I98" s="231"/>
      <c r="J98" s="210">
        <v>0</v>
      </c>
      <c r="K98" s="210"/>
      <c r="L98" s="203"/>
      <c r="M98" s="203"/>
      <c r="N98" s="203"/>
      <c r="O98" s="203"/>
    </row>
    <row r="99" spans="1:15" ht="15" customHeight="1" thickBot="1">
      <c r="A99" s="203"/>
      <c r="B99" s="211" t="s">
        <v>146</v>
      </c>
      <c r="C99" s="212"/>
      <c r="D99" s="232">
        <f>SUM(D94:D98)</f>
        <v>1417</v>
      </c>
      <c r="E99" s="215"/>
      <c r="F99" s="233">
        <f>ROUND(SUM(F94:F98),0)</f>
        <v>10</v>
      </c>
      <c r="G99" s="212"/>
      <c r="H99" s="211">
        <f>SUM(H94:H98)</f>
        <v>-523</v>
      </c>
      <c r="I99" s="216"/>
      <c r="J99" s="235"/>
      <c r="K99" s="235"/>
      <c r="L99" s="203"/>
      <c r="M99" s="203"/>
      <c r="N99" s="203"/>
      <c r="O99" s="203"/>
    </row>
    <row r="100" spans="1:15" ht="15" customHeight="1">
      <c r="A100" s="203"/>
      <c r="B100" s="208" t="s">
        <v>197</v>
      </c>
      <c r="C100" s="208"/>
      <c r="D100" s="236" t="s">
        <v>198</v>
      </c>
      <c r="E100" s="203"/>
      <c r="F100" s="203"/>
      <c r="G100" s="201">
        <f>((COUNT(B$94:B$98))*H$99-D$99*E$99)/((COUNT(B$94:B$98))*F$99-E$99*E$99)</f>
        <v>-52.3</v>
      </c>
      <c r="H100" s="236" t="s">
        <v>199</v>
      </c>
      <c r="I100" s="201"/>
      <c r="J100" s="201"/>
      <c r="K100" s="201">
        <f>ROUND((F99*D99-H99*E99)/(COUNT(B$94:B$98)*F99-E99*E99),0)</f>
        <v>283</v>
      </c>
      <c r="L100" s="203"/>
      <c r="M100" s="203"/>
      <c r="N100" s="203"/>
      <c r="O100" s="203"/>
    </row>
    <row r="101" spans="1:15" ht="15" customHeight="1">
      <c r="A101" s="203"/>
      <c r="B101" s="237"/>
      <c r="C101" s="237"/>
      <c r="D101" s="238"/>
      <c r="E101" s="201"/>
      <c r="F101" s="239"/>
      <c r="G101" s="240"/>
      <c r="H101" s="203"/>
      <c r="I101" s="240"/>
      <c r="J101" s="240"/>
      <c r="K101" s="241"/>
      <c r="L101" s="203"/>
      <c r="M101" s="203"/>
      <c r="N101" s="203"/>
      <c r="O101" s="203"/>
    </row>
    <row r="102" spans="1:15" ht="15" customHeight="1">
      <c r="A102" s="203"/>
      <c r="B102" s="203"/>
      <c r="C102" s="203"/>
      <c r="D102" s="203"/>
      <c r="E102" s="219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</row>
    <row r="103" spans="1:15" ht="15" customHeight="1" thickBot="1">
      <c r="A103" s="203"/>
      <c r="B103" s="203"/>
      <c r="C103" s="203"/>
      <c r="D103" s="203"/>
      <c r="E103" s="203"/>
      <c r="F103" s="208" t="s">
        <v>200</v>
      </c>
      <c r="G103" s="208"/>
      <c r="H103" s="203"/>
      <c r="I103" s="203"/>
      <c r="J103" s="203"/>
      <c r="K103" s="203"/>
      <c r="L103" s="203"/>
      <c r="M103" s="203"/>
      <c r="N103" s="203"/>
      <c r="O103" s="203"/>
    </row>
    <row r="104" spans="1:15" ht="15" customHeight="1">
      <c r="A104" s="203"/>
      <c r="B104" s="202" t="s">
        <v>141</v>
      </c>
      <c r="C104" s="202"/>
      <c r="D104" s="202" t="s">
        <v>156</v>
      </c>
      <c r="E104" s="202"/>
      <c r="F104" s="202" t="s">
        <v>157</v>
      </c>
      <c r="G104" s="202"/>
      <c r="H104" s="202" t="s">
        <v>158</v>
      </c>
      <c r="I104" s="202"/>
      <c r="J104" s="202" t="s">
        <v>27</v>
      </c>
      <c r="K104" s="202"/>
      <c r="L104" s="203"/>
      <c r="M104" s="203"/>
      <c r="N104" s="203"/>
      <c r="O104" s="203"/>
    </row>
    <row r="105" spans="1:15" ht="15" customHeight="1">
      <c r="A105" s="203"/>
      <c r="B105" s="220">
        <v>2014</v>
      </c>
      <c r="C105" s="221"/>
      <c r="D105" s="221">
        <f t="shared" ref="D105:D126" si="4">ROUNDUP(G$100*(B105-B$98+E$98)+K$100,0)</f>
        <v>179</v>
      </c>
      <c r="E105" s="221"/>
      <c r="F105" s="221">
        <v>0</v>
      </c>
      <c r="G105" s="221"/>
      <c r="H105" s="221">
        <f t="shared" ref="H105:H126" si="5">ROUND(D105*(1+F105),0)</f>
        <v>179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68">
        <v>2015</v>
      </c>
      <c r="C106" s="269"/>
      <c r="D106" s="269">
        <f t="shared" si="4"/>
        <v>127</v>
      </c>
      <c r="E106" s="269"/>
      <c r="F106" s="269">
        <v>0</v>
      </c>
      <c r="G106" s="269"/>
      <c r="H106" s="269">
        <f t="shared" si="5"/>
        <v>127</v>
      </c>
      <c r="I106" s="269"/>
      <c r="J106" s="270">
        <v>0</v>
      </c>
      <c r="K106" s="270"/>
      <c r="L106" s="203"/>
      <c r="M106" s="203"/>
      <c r="N106" s="203"/>
      <c r="O106" s="203"/>
    </row>
    <row r="107" spans="1:15" ht="15" customHeight="1">
      <c r="A107" s="203"/>
      <c r="B107" s="220">
        <v>2016</v>
      </c>
      <c r="C107" s="221"/>
      <c r="D107" s="221">
        <f t="shared" si="4"/>
        <v>74</v>
      </c>
      <c r="E107" s="221"/>
      <c r="F107" s="221">
        <v>0</v>
      </c>
      <c r="G107" s="221"/>
      <c r="H107" s="221">
        <f t="shared" si="5"/>
        <v>74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2017</v>
      </c>
      <c r="C108" s="221"/>
      <c r="D108" s="221">
        <f t="shared" si="4"/>
        <v>22</v>
      </c>
      <c r="E108" s="221"/>
      <c r="F108" s="221">
        <v>0</v>
      </c>
      <c r="G108" s="221"/>
      <c r="H108" s="221">
        <f t="shared" si="5"/>
        <v>22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2018</v>
      </c>
      <c r="C109" s="221"/>
      <c r="D109" s="221">
        <f t="shared" si="4"/>
        <v>-31</v>
      </c>
      <c r="E109" s="221"/>
      <c r="F109" s="221">
        <v>0</v>
      </c>
      <c r="G109" s="221"/>
      <c r="H109" s="221">
        <f t="shared" si="5"/>
        <v>-31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2019</v>
      </c>
      <c r="C110" s="221"/>
      <c r="D110" s="221">
        <f t="shared" si="4"/>
        <v>-84</v>
      </c>
      <c r="E110" s="221"/>
      <c r="F110" s="221">
        <v>0</v>
      </c>
      <c r="G110" s="221"/>
      <c r="H110" s="221">
        <f t="shared" si="5"/>
        <v>-84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68">
        <v>2020</v>
      </c>
      <c r="C111" s="269"/>
      <c r="D111" s="269">
        <f t="shared" si="4"/>
        <v>-136</v>
      </c>
      <c r="E111" s="269"/>
      <c r="F111" s="269">
        <v>0</v>
      </c>
      <c r="G111" s="269"/>
      <c r="H111" s="269">
        <f t="shared" si="5"/>
        <v>-136</v>
      </c>
      <c r="I111" s="269"/>
      <c r="J111" s="270">
        <v>0</v>
      </c>
      <c r="K111" s="270"/>
      <c r="L111" s="203"/>
      <c r="M111" s="203"/>
      <c r="N111" s="203"/>
      <c r="O111" s="203"/>
    </row>
    <row r="112" spans="1:15" ht="15" customHeight="1">
      <c r="A112" s="203"/>
      <c r="B112" s="220">
        <v>2021</v>
      </c>
      <c r="C112" s="221"/>
      <c r="D112" s="221">
        <f t="shared" si="4"/>
        <v>-188</v>
      </c>
      <c r="E112" s="221"/>
      <c r="F112" s="221">
        <v>0</v>
      </c>
      <c r="G112" s="221"/>
      <c r="H112" s="221">
        <f t="shared" si="5"/>
        <v>-188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2022</v>
      </c>
      <c r="C113" s="221"/>
      <c r="D113" s="221">
        <f t="shared" si="4"/>
        <v>-240</v>
      </c>
      <c r="E113" s="221"/>
      <c r="F113" s="221">
        <v>0</v>
      </c>
      <c r="G113" s="221"/>
      <c r="H113" s="221">
        <f t="shared" si="5"/>
        <v>-240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2023</v>
      </c>
      <c r="C114" s="221"/>
      <c r="D114" s="221">
        <f t="shared" si="4"/>
        <v>-293</v>
      </c>
      <c r="E114" s="221"/>
      <c r="F114" s="221">
        <v>0</v>
      </c>
      <c r="G114" s="221"/>
      <c r="H114" s="221">
        <f t="shared" si="5"/>
        <v>-293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2024</v>
      </c>
      <c r="C115" s="221"/>
      <c r="D115" s="221">
        <f t="shared" si="4"/>
        <v>-345</v>
      </c>
      <c r="E115" s="221"/>
      <c r="F115" s="221">
        <v>0</v>
      </c>
      <c r="G115" s="221"/>
      <c r="H115" s="221">
        <f t="shared" si="5"/>
        <v>-345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68">
        <v>2025</v>
      </c>
      <c r="C116" s="269"/>
      <c r="D116" s="269">
        <f t="shared" si="4"/>
        <v>-397</v>
      </c>
      <c r="E116" s="269"/>
      <c r="F116" s="269">
        <v>0</v>
      </c>
      <c r="G116" s="269"/>
      <c r="H116" s="269">
        <f t="shared" si="5"/>
        <v>-397</v>
      </c>
      <c r="I116" s="269"/>
      <c r="J116" s="270">
        <v>0</v>
      </c>
      <c r="K116" s="270"/>
      <c r="L116" s="203"/>
      <c r="M116" s="203"/>
      <c r="N116" s="203"/>
      <c r="O116" s="203"/>
    </row>
    <row r="117" spans="1:15" ht="15" customHeight="1">
      <c r="A117" s="203"/>
      <c r="B117" s="220">
        <v>2026</v>
      </c>
      <c r="C117" s="221"/>
      <c r="D117" s="221">
        <f t="shared" si="4"/>
        <v>-450</v>
      </c>
      <c r="E117" s="221"/>
      <c r="F117" s="221">
        <v>0</v>
      </c>
      <c r="G117" s="221"/>
      <c r="H117" s="221">
        <f t="shared" si="5"/>
        <v>-450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2027</v>
      </c>
      <c r="C118" s="221"/>
      <c r="D118" s="221">
        <f t="shared" si="4"/>
        <v>-502</v>
      </c>
      <c r="E118" s="221"/>
      <c r="F118" s="221">
        <v>0</v>
      </c>
      <c r="G118" s="221"/>
      <c r="H118" s="221">
        <f t="shared" si="5"/>
        <v>-502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2028</v>
      </c>
      <c r="C119" s="221"/>
      <c r="D119" s="221">
        <f t="shared" si="4"/>
        <v>-554</v>
      </c>
      <c r="E119" s="221"/>
      <c r="F119" s="221">
        <v>0</v>
      </c>
      <c r="G119" s="221"/>
      <c r="H119" s="221">
        <f t="shared" si="5"/>
        <v>-554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2029</v>
      </c>
      <c r="C120" s="221"/>
      <c r="D120" s="221">
        <f t="shared" si="4"/>
        <v>-607</v>
      </c>
      <c r="E120" s="221"/>
      <c r="F120" s="221">
        <v>0</v>
      </c>
      <c r="G120" s="221"/>
      <c r="H120" s="221">
        <f t="shared" si="5"/>
        <v>-607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68">
        <v>2030</v>
      </c>
      <c r="C121" s="269"/>
      <c r="D121" s="269">
        <f t="shared" si="4"/>
        <v>-659</v>
      </c>
      <c r="E121" s="269"/>
      <c r="F121" s="269">
        <v>0</v>
      </c>
      <c r="G121" s="269"/>
      <c r="H121" s="269">
        <f t="shared" si="5"/>
        <v>-659</v>
      </c>
      <c r="I121" s="269"/>
      <c r="J121" s="270">
        <v>0</v>
      </c>
      <c r="K121" s="270"/>
      <c r="L121" s="203"/>
      <c r="M121" s="203"/>
      <c r="N121" s="203"/>
      <c r="O121" s="203"/>
    </row>
    <row r="122" spans="1:15" ht="15" customHeight="1">
      <c r="A122" s="203"/>
      <c r="B122" s="220">
        <v>2031</v>
      </c>
      <c r="C122" s="221"/>
      <c r="D122" s="221">
        <f t="shared" si="4"/>
        <v>-711</v>
      </c>
      <c r="E122" s="221"/>
      <c r="F122" s="221">
        <v>0</v>
      </c>
      <c r="G122" s="221"/>
      <c r="H122" s="221">
        <f t="shared" si="5"/>
        <v>-711</v>
      </c>
      <c r="I122" s="221"/>
      <c r="J122" s="222">
        <v>0</v>
      </c>
      <c r="K122" s="222"/>
      <c r="L122" s="203"/>
      <c r="M122" s="203"/>
      <c r="N122" s="203"/>
      <c r="O122" s="203"/>
    </row>
    <row r="123" spans="1:15" ht="15" customHeight="1">
      <c r="A123" s="203"/>
      <c r="B123" s="220">
        <v>2032</v>
      </c>
      <c r="C123" s="221"/>
      <c r="D123" s="221">
        <f t="shared" si="4"/>
        <v>-763</v>
      </c>
      <c r="E123" s="221"/>
      <c r="F123" s="221">
        <v>0</v>
      </c>
      <c r="G123" s="221"/>
      <c r="H123" s="221">
        <f t="shared" si="5"/>
        <v>-763</v>
      </c>
      <c r="I123" s="221"/>
      <c r="J123" s="222">
        <v>0</v>
      </c>
      <c r="K123" s="222"/>
      <c r="L123" s="203"/>
      <c r="M123" s="203"/>
      <c r="N123" s="203"/>
      <c r="O123" s="203"/>
    </row>
    <row r="124" spans="1:15" ht="15" customHeight="1">
      <c r="A124" s="203"/>
      <c r="B124" s="220">
        <v>2033</v>
      </c>
      <c r="C124" s="221"/>
      <c r="D124" s="221">
        <f t="shared" si="4"/>
        <v>-816</v>
      </c>
      <c r="E124" s="221"/>
      <c r="F124" s="221">
        <v>0</v>
      </c>
      <c r="G124" s="221"/>
      <c r="H124" s="221">
        <f t="shared" si="5"/>
        <v>-816</v>
      </c>
      <c r="I124" s="221"/>
      <c r="J124" s="222">
        <v>0</v>
      </c>
      <c r="K124" s="222"/>
      <c r="L124" s="203"/>
      <c r="M124" s="203"/>
      <c r="N124" s="203"/>
      <c r="O124" s="203"/>
    </row>
    <row r="125" spans="1:15" ht="15" customHeight="1">
      <c r="A125" s="203"/>
      <c r="B125" s="220">
        <v>2034</v>
      </c>
      <c r="C125" s="221"/>
      <c r="D125" s="221">
        <f t="shared" si="4"/>
        <v>-868</v>
      </c>
      <c r="E125" s="221"/>
      <c r="F125" s="221">
        <v>0</v>
      </c>
      <c r="G125" s="221"/>
      <c r="H125" s="221">
        <f t="shared" si="5"/>
        <v>-868</v>
      </c>
      <c r="I125" s="221"/>
      <c r="J125" s="222">
        <v>0</v>
      </c>
      <c r="K125" s="222"/>
      <c r="L125" s="203"/>
      <c r="M125" s="203"/>
      <c r="N125" s="203"/>
      <c r="O125" s="203"/>
    </row>
    <row r="126" spans="1:15" ht="15" customHeight="1" thickBot="1">
      <c r="A126" s="203"/>
      <c r="B126" s="268">
        <v>2035</v>
      </c>
      <c r="C126" s="269"/>
      <c r="D126" s="269">
        <f t="shared" si="4"/>
        <v>-920</v>
      </c>
      <c r="E126" s="269"/>
      <c r="F126" s="269">
        <v>0</v>
      </c>
      <c r="G126" s="269"/>
      <c r="H126" s="269">
        <f t="shared" si="5"/>
        <v>-920</v>
      </c>
      <c r="I126" s="269"/>
      <c r="J126" s="270">
        <v>0</v>
      </c>
      <c r="K126" s="270"/>
      <c r="L126" s="203"/>
      <c r="M126" s="203"/>
      <c r="N126" s="203"/>
      <c r="O126" s="203"/>
    </row>
    <row r="127" spans="1:15" ht="15" customHeight="1">
      <c r="A127" s="203"/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03"/>
      <c r="M127" s="203"/>
      <c r="N127" s="203"/>
      <c r="O127" s="203"/>
    </row>
    <row r="128" spans="1:15" ht="15" customHeight="1">
      <c r="A128" s="203"/>
      <c r="B128" s="239"/>
      <c r="C128" s="239"/>
      <c r="D128" s="239"/>
      <c r="E128" s="239"/>
      <c r="F128" s="239"/>
      <c r="G128" s="239"/>
      <c r="H128" s="239"/>
      <c r="I128" s="239"/>
      <c r="J128" s="239"/>
      <c r="K128" s="239"/>
      <c r="L128" s="203"/>
      <c r="M128" s="203"/>
      <c r="N128" s="203"/>
      <c r="O128" s="203"/>
    </row>
    <row r="129" spans="1:15" ht="15" customHeight="1">
      <c r="A129" s="203"/>
      <c r="B129" s="218" t="s">
        <v>203</v>
      </c>
      <c r="C129" s="219"/>
      <c r="D129" s="219"/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>
      <c r="A130" s="203"/>
      <c r="B130" s="203"/>
      <c r="C130" s="219" t="s">
        <v>148</v>
      </c>
      <c r="D130" s="219" t="s">
        <v>205</v>
      </c>
      <c r="E130" s="219"/>
      <c r="F130" s="219"/>
      <c r="G130" s="166" t="b">
        <v>1</v>
      </c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1"/>
      <c r="C131" s="228" t="s">
        <v>185</v>
      </c>
      <c r="D131" s="219" t="s">
        <v>207</v>
      </c>
      <c r="E131" s="219"/>
      <c r="F131" s="201"/>
      <c r="G131" s="243" t="b">
        <v>0</v>
      </c>
      <c r="H131" s="203"/>
      <c r="I131" s="203"/>
      <c r="J131" s="203"/>
      <c r="K131" s="203"/>
      <c r="L131" s="203"/>
      <c r="M131" s="203"/>
      <c r="N131" s="203"/>
      <c r="O131" s="203"/>
    </row>
    <row r="132" spans="1:15" ht="15" customHeight="1">
      <c r="A132" s="203"/>
      <c r="B132" s="201"/>
      <c r="C132" s="228"/>
      <c r="D132" s="219" t="s">
        <v>208</v>
      </c>
      <c r="E132" s="219"/>
      <c r="F132" s="201"/>
      <c r="G132" s="203"/>
      <c r="H132" s="203"/>
      <c r="I132" s="203"/>
      <c r="J132" s="203"/>
      <c r="K132" s="203"/>
      <c r="L132" s="203"/>
      <c r="M132" s="203"/>
      <c r="N132" s="203"/>
      <c r="O132" s="203"/>
    </row>
    <row r="133" spans="1:15" ht="15" customHeight="1">
      <c r="A133" s="203"/>
      <c r="B133" s="219"/>
      <c r="C133" s="219"/>
      <c r="D133" s="219" t="s">
        <v>209</v>
      </c>
      <c r="E133" s="219"/>
      <c r="F133" s="219"/>
      <c r="G133" s="203"/>
      <c r="H133" s="203"/>
      <c r="I133" s="203"/>
      <c r="J133" s="203"/>
      <c r="K133" s="203"/>
      <c r="L133" s="203"/>
      <c r="M133" s="203"/>
      <c r="N133" s="203"/>
      <c r="O133" s="203"/>
    </row>
    <row r="134" spans="1:15" ht="15" customHeight="1" thickBot="1">
      <c r="A134" s="203"/>
      <c r="B134" s="203"/>
      <c r="C134" s="203"/>
      <c r="D134" s="203"/>
      <c r="E134" s="203"/>
      <c r="F134" s="208" t="s">
        <v>210</v>
      </c>
      <c r="G134" s="208"/>
      <c r="H134" s="203"/>
      <c r="I134" s="203"/>
      <c r="J134" s="203"/>
      <c r="K134" s="203"/>
      <c r="L134" s="203"/>
      <c r="M134" s="203"/>
      <c r="N134" s="203"/>
      <c r="O134" s="203"/>
    </row>
    <row r="135" spans="1:15" ht="15" customHeight="1">
      <c r="A135" s="203"/>
      <c r="B135" s="202" t="s">
        <v>141</v>
      </c>
      <c r="C135" s="202"/>
      <c r="D135" s="202" t="s">
        <v>191</v>
      </c>
      <c r="E135" s="202" t="s">
        <v>192</v>
      </c>
      <c r="F135" s="202" t="s">
        <v>192</v>
      </c>
      <c r="G135" s="202" t="s">
        <v>193</v>
      </c>
      <c r="H135" s="202" t="s">
        <v>215</v>
      </c>
      <c r="I135" s="202"/>
      <c r="J135" s="202" t="s">
        <v>216</v>
      </c>
      <c r="K135" s="202" t="s">
        <v>217</v>
      </c>
      <c r="L135" s="203"/>
      <c r="M135" s="203"/>
      <c r="N135" s="203"/>
      <c r="O135" s="203"/>
    </row>
    <row r="136" spans="1:15" ht="15" customHeight="1">
      <c r="A136" s="203"/>
      <c r="B136" s="840">
        <f>B94</f>
        <v>2010</v>
      </c>
      <c r="C136" s="840"/>
      <c r="D136" s="208">
        <f>VLOOKUP(B136,B$7:E$11,3,FALSE)</f>
        <v>344</v>
      </c>
      <c r="E136" s="244">
        <f>IF(G$130=FALSE,"",((COUNT(B$94:B$98)-1))+(B136-$C$4))</f>
        <v>0</v>
      </c>
      <c r="F136" s="245">
        <v>0</v>
      </c>
      <c r="G136" s="246">
        <f>IF(F136="","",F136^2)</f>
        <v>0</v>
      </c>
      <c r="H136" s="231">
        <f>IF(G136="","",ABS(D136-D$136))</f>
        <v>0</v>
      </c>
      <c r="I136" s="231"/>
      <c r="J136" s="247">
        <v>0</v>
      </c>
      <c r="K136" s="247">
        <f>IF(J136="","",J136*F136)</f>
        <v>0</v>
      </c>
      <c r="L136" s="203"/>
      <c r="M136" s="203"/>
      <c r="N136" s="203"/>
      <c r="O136" s="203"/>
    </row>
    <row r="137" spans="1:15" ht="15" customHeight="1">
      <c r="A137" s="203"/>
      <c r="B137" s="840">
        <f>B95</f>
        <v>2011</v>
      </c>
      <c r="C137" s="840"/>
      <c r="D137" s="208">
        <f>VLOOKUP(B137,B$7:E$11,3,FALSE)</f>
        <v>380</v>
      </c>
      <c r="E137" s="244">
        <f>IF(G$130=FALSE,"",((COUNT(B$94:B$98)-1))+(B137-$C$4))</f>
        <v>1</v>
      </c>
      <c r="F137" s="245">
        <f>IF(E137="","",LOG(E137))</f>
        <v>0</v>
      </c>
      <c r="G137" s="246">
        <f>IF(F137="","",F137^2)</f>
        <v>0</v>
      </c>
      <c r="H137" s="231">
        <f>IF(G137="","",ABS(D137-D$136))</f>
        <v>36</v>
      </c>
      <c r="I137" s="231"/>
      <c r="J137" s="247">
        <f>IF(H137="","",LOG(H137))</f>
        <v>1.5563025007672873</v>
      </c>
      <c r="K137" s="247">
        <f>IF(J137="","",J137*F137)</f>
        <v>0</v>
      </c>
      <c r="L137" s="203"/>
      <c r="M137" s="203"/>
      <c r="N137" s="203"/>
      <c r="O137" s="203"/>
    </row>
    <row r="138" spans="1:15" ht="15" customHeight="1">
      <c r="A138" s="203"/>
      <c r="B138" s="840">
        <f>B96</f>
        <v>2012</v>
      </c>
      <c r="C138" s="840"/>
      <c r="D138" s="208">
        <f>VLOOKUP(B138,B$7:E$11,3,FALSE)</f>
        <v>286</v>
      </c>
      <c r="E138" s="244">
        <f>IF(G$130=FALSE,"",((COUNT(B$94:B$98)-1))+(B138-$C$4))</f>
        <v>2</v>
      </c>
      <c r="F138" s="245">
        <f>IF(E138="","",LOG(E138))</f>
        <v>0.3010299956639812</v>
      </c>
      <c r="G138" s="246">
        <f>IF(F138="","",F138^2)</f>
        <v>9.0619058289456544E-2</v>
      </c>
      <c r="H138" s="231">
        <f>IF(G138="","",ABS(D138-D$136))</f>
        <v>58</v>
      </c>
      <c r="I138" s="231"/>
      <c r="J138" s="247">
        <f>IF(H138="","",LOG(H138))</f>
        <v>1.7634279935629373</v>
      </c>
      <c r="K138" s="247">
        <f>IF(J138="","",J138*F138)</f>
        <v>0.53084472125599413</v>
      </c>
      <c r="L138" s="203"/>
      <c r="M138" s="203"/>
      <c r="N138" s="203"/>
      <c r="O138" s="203"/>
    </row>
    <row r="139" spans="1:15" ht="15" customHeight="1">
      <c r="A139" s="203"/>
      <c r="B139" s="840">
        <f>B97</f>
        <v>2013</v>
      </c>
      <c r="C139" s="840"/>
      <c r="D139" s="208">
        <f>VLOOKUP(B139,B$7:E$11,3,FALSE)</f>
        <v>269</v>
      </c>
      <c r="E139" s="244">
        <f>IF(G$130=FALSE,"",((COUNT(B$94:B$98)-1))+(B139-$C$4))</f>
        <v>3</v>
      </c>
      <c r="F139" s="245">
        <f>IF(E139="","",LOG(E139))</f>
        <v>0.47712125471966244</v>
      </c>
      <c r="G139" s="246">
        <f>IF(F139="","",F139^2)</f>
        <v>0.227644691705265</v>
      </c>
      <c r="H139" s="231">
        <f>IF(G139="","",ABS(D139-D$136))</f>
        <v>75</v>
      </c>
      <c r="I139" s="231"/>
      <c r="J139" s="247">
        <f>IF(H139="","",LOG(H139))</f>
        <v>1.8750612633917001</v>
      </c>
      <c r="K139" s="247">
        <f>IF(J139="","",J139*F139)</f>
        <v>0.89463158266568343</v>
      </c>
      <c r="L139" s="203"/>
      <c r="M139" s="203"/>
      <c r="N139" s="203"/>
      <c r="O139" s="203"/>
    </row>
    <row r="140" spans="1:15" ht="15" customHeight="1">
      <c r="A140" s="203"/>
      <c r="B140" s="840">
        <f>B98</f>
        <v>2014</v>
      </c>
      <c r="C140" s="840"/>
      <c r="D140" s="978">
        <f>VLOOKUP(B140,B$7:E$11,3,FALSE)+0.01</f>
        <v>138.01</v>
      </c>
      <c r="E140" s="244">
        <f>IF(G$130=FALSE,"",((COUNT(B$94:B$98)-1))+(B140-$C$4))</f>
        <v>4</v>
      </c>
      <c r="F140" s="245">
        <f>IF(E140="","",LOG(E140))</f>
        <v>0.6020599913279624</v>
      </c>
      <c r="G140" s="246">
        <f>IF(F140="","",F140^2)</f>
        <v>0.36247623315782618</v>
      </c>
      <c r="H140" s="231">
        <f>IF(G140="","",ABS(D140-D$136))</f>
        <v>205.99</v>
      </c>
      <c r="I140" s="231"/>
      <c r="J140" s="247">
        <f>IF(H140="","",LOG(H140))</f>
        <v>2.3138461376010286</v>
      </c>
      <c r="K140" s="247">
        <f>IF(J140="","",J140*F140)</f>
        <v>1.3930741855383146</v>
      </c>
      <c r="L140" s="203"/>
      <c r="M140" s="203"/>
      <c r="N140" s="203"/>
      <c r="O140" s="203"/>
    </row>
    <row r="141" spans="1:15" ht="15" customHeight="1" thickBot="1">
      <c r="A141" s="203"/>
      <c r="B141" s="211" t="s">
        <v>146</v>
      </c>
      <c r="C141" s="212"/>
      <c r="D141" s="248"/>
      <c r="E141" s="249"/>
      <c r="F141" s="250">
        <f>IF(F140="","",ROUND(SUM(F136:F140),6))</f>
        <v>1.3802110000000001</v>
      </c>
      <c r="G141" s="250">
        <f>IF(G140="","",ROUND(SUM(G136:G140),6))</f>
        <v>0.68074000000000001</v>
      </c>
      <c r="H141" s="251"/>
      <c r="I141" s="252"/>
      <c r="J141" s="253">
        <f>IF(J140="","",SUM(J136:J140))</f>
        <v>7.5086378953229538</v>
      </c>
      <c r="K141" s="253">
        <f>IF(K140="","",SUM(K136:K140))</f>
        <v>2.8185504894599922</v>
      </c>
      <c r="L141" s="203"/>
      <c r="M141" s="203"/>
      <c r="N141" s="203"/>
      <c r="O141" s="203"/>
    </row>
    <row r="142" spans="1:15" ht="15" customHeight="1">
      <c r="A142" s="203"/>
      <c r="B142" s="208" t="s">
        <v>219</v>
      </c>
      <c r="C142" s="208"/>
      <c r="D142" s="201" t="s">
        <v>162</v>
      </c>
      <c r="E142" s="201">
        <f>IF(G141="",0,5^ROUND((G141*J141-F141*K141)/((COUNT(B$136:B$140)-1)*G141-F141*F141),5))</f>
        <v>11.054910394896156</v>
      </c>
      <c r="F142" s="238" t="s">
        <v>220</v>
      </c>
      <c r="G142" s="203"/>
      <c r="H142" s="208"/>
      <c r="I142" s="203"/>
      <c r="J142" s="254">
        <f>IF(G141="",0,ROUND(((COUNT(B$136:B$140)-1)*K141-J141*F141)/((COUNT(B$136:B$140)-1)*G141-F141*F141),5))</f>
        <v>1.1133500000000001</v>
      </c>
      <c r="K142" s="255"/>
      <c r="L142" s="203"/>
      <c r="M142" s="203"/>
      <c r="N142" s="203"/>
      <c r="O142" s="203"/>
    </row>
    <row r="143" spans="1:15" ht="15" customHeight="1">
      <c r="A143" s="203"/>
      <c r="B143" s="203"/>
      <c r="C143" s="203"/>
      <c r="D143" s="238" t="s">
        <v>221</v>
      </c>
      <c r="E143" s="219"/>
      <c r="F143" s="219"/>
      <c r="G143" s="256"/>
      <c r="H143" s="201" t="s">
        <v>222</v>
      </c>
      <c r="I143" s="219" t="s">
        <v>223</v>
      </c>
      <c r="J143" s="201" t="str">
        <f>"A = 5^("&amp;RIGHT(H143,1)&amp;") "</f>
        <v xml:space="preserve">A = 5^(b) </v>
      </c>
      <c r="K143" s="203"/>
      <c r="L143" s="203"/>
      <c r="M143" s="203"/>
      <c r="N143" s="203"/>
      <c r="O143" s="203"/>
    </row>
    <row r="144" spans="1:15" ht="15" customHeight="1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</row>
    <row r="145" spans="1:15" ht="15" customHeight="1" thickBot="1">
      <c r="A145" s="203"/>
      <c r="B145" s="203"/>
      <c r="C145" s="203"/>
      <c r="D145" s="203"/>
      <c r="E145" s="203"/>
      <c r="F145" s="208" t="s">
        <v>200</v>
      </c>
      <c r="G145" s="208"/>
      <c r="H145" s="203"/>
      <c r="I145" s="203"/>
      <c r="J145" s="203"/>
      <c r="K145" s="203"/>
      <c r="L145" s="203"/>
      <c r="M145" s="203"/>
      <c r="N145" s="203"/>
      <c r="O145" s="203"/>
    </row>
    <row r="146" spans="1:15" ht="15" customHeight="1">
      <c r="A146" s="203"/>
      <c r="B146" s="202" t="s">
        <v>141</v>
      </c>
      <c r="C146" s="202"/>
      <c r="D146" s="202" t="s">
        <v>156</v>
      </c>
      <c r="E146" s="202"/>
      <c r="F146" s="202" t="s">
        <v>157</v>
      </c>
      <c r="G146" s="202"/>
      <c r="H146" s="202" t="s">
        <v>158</v>
      </c>
      <c r="I146" s="202"/>
      <c r="J146" s="202" t="s">
        <v>27</v>
      </c>
      <c r="K146" s="202"/>
      <c r="L146" s="203"/>
      <c r="M146" s="203"/>
      <c r="N146" s="203"/>
      <c r="O146" s="203"/>
    </row>
    <row r="147" spans="1:15" ht="15" customHeight="1">
      <c r="A147" s="203"/>
      <c r="B147" s="220">
        <v>2014</v>
      </c>
      <c r="C147" s="208"/>
      <c r="D147" s="257">
        <f t="shared" ref="D147:D168" si="6">IF(J$142=0,0,ROUNDUP(D$136+E$142*(B147-B$136)^J$142,0))</f>
        <v>396</v>
      </c>
      <c r="E147" s="257"/>
      <c r="F147" s="844">
        <v>0</v>
      </c>
      <c r="G147" s="844"/>
      <c r="H147" s="844">
        <f t="shared" ref="H147:H168" si="7">ROUND(D147*(1+F147),0)</f>
        <v>396</v>
      </c>
      <c r="I147" s="844"/>
      <c r="J147" s="210">
        <v>0</v>
      </c>
      <c r="K147" s="210"/>
      <c r="L147" s="203"/>
      <c r="M147" s="203"/>
      <c r="N147" s="203"/>
      <c r="O147" s="203"/>
    </row>
    <row r="148" spans="1:15" ht="15" customHeight="1">
      <c r="A148" s="203"/>
      <c r="B148" s="268">
        <v>2015</v>
      </c>
      <c r="C148" s="269"/>
      <c r="D148" s="271">
        <f t="shared" si="6"/>
        <v>411</v>
      </c>
      <c r="E148" s="271"/>
      <c r="F148" s="272">
        <v>0</v>
      </c>
      <c r="G148" s="272"/>
      <c r="H148" s="272">
        <f t="shared" si="7"/>
        <v>411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2016</v>
      </c>
      <c r="C149" s="221"/>
      <c r="D149" s="257">
        <f t="shared" si="6"/>
        <v>426</v>
      </c>
      <c r="E149" s="257"/>
      <c r="F149" s="258">
        <v>0</v>
      </c>
      <c r="G149" s="258"/>
      <c r="H149" s="258">
        <f t="shared" si="7"/>
        <v>426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2017</v>
      </c>
      <c r="C150" s="221"/>
      <c r="D150" s="257">
        <f t="shared" si="6"/>
        <v>441</v>
      </c>
      <c r="E150" s="257"/>
      <c r="F150" s="258">
        <v>0</v>
      </c>
      <c r="G150" s="258"/>
      <c r="H150" s="258">
        <f t="shared" si="7"/>
        <v>441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2018</v>
      </c>
      <c r="C151" s="221"/>
      <c r="D151" s="257">
        <f t="shared" si="6"/>
        <v>456</v>
      </c>
      <c r="E151" s="257"/>
      <c r="F151" s="258">
        <v>0</v>
      </c>
      <c r="G151" s="258"/>
      <c r="H151" s="258">
        <f t="shared" si="7"/>
        <v>456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2019</v>
      </c>
      <c r="C152" s="221"/>
      <c r="D152" s="257">
        <f t="shared" si="6"/>
        <v>472</v>
      </c>
      <c r="E152" s="257"/>
      <c r="F152" s="258">
        <v>0</v>
      </c>
      <c r="G152" s="258"/>
      <c r="H152" s="258">
        <f t="shared" si="7"/>
        <v>472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2020</v>
      </c>
      <c r="C153" s="269"/>
      <c r="D153" s="271">
        <f t="shared" si="6"/>
        <v>488</v>
      </c>
      <c r="E153" s="271"/>
      <c r="F153" s="272">
        <v>0</v>
      </c>
      <c r="G153" s="272"/>
      <c r="H153" s="272">
        <f t="shared" si="7"/>
        <v>488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2021</v>
      </c>
      <c r="C154" s="221"/>
      <c r="D154" s="257">
        <f t="shared" si="6"/>
        <v>504</v>
      </c>
      <c r="E154" s="257"/>
      <c r="F154" s="258">
        <v>0</v>
      </c>
      <c r="G154" s="258"/>
      <c r="H154" s="258">
        <f t="shared" si="7"/>
        <v>504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2022</v>
      </c>
      <c r="C155" s="221"/>
      <c r="D155" s="257">
        <f t="shared" si="6"/>
        <v>520</v>
      </c>
      <c r="E155" s="257"/>
      <c r="F155" s="258">
        <v>0</v>
      </c>
      <c r="G155" s="258"/>
      <c r="H155" s="258">
        <f t="shared" si="7"/>
        <v>520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2023</v>
      </c>
      <c r="C156" s="221"/>
      <c r="D156" s="257">
        <f t="shared" si="6"/>
        <v>537</v>
      </c>
      <c r="E156" s="257"/>
      <c r="F156" s="258">
        <v>0</v>
      </c>
      <c r="G156" s="258"/>
      <c r="H156" s="258">
        <f t="shared" si="7"/>
        <v>537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2024</v>
      </c>
      <c r="C157" s="221"/>
      <c r="D157" s="257">
        <f t="shared" si="6"/>
        <v>553</v>
      </c>
      <c r="E157" s="257"/>
      <c r="F157" s="258">
        <v>0</v>
      </c>
      <c r="G157" s="258"/>
      <c r="H157" s="258">
        <f t="shared" si="7"/>
        <v>553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2025</v>
      </c>
      <c r="C158" s="269"/>
      <c r="D158" s="271">
        <f t="shared" si="6"/>
        <v>570</v>
      </c>
      <c r="E158" s="271"/>
      <c r="F158" s="272">
        <v>0</v>
      </c>
      <c r="G158" s="272"/>
      <c r="H158" s="272">
        <f t="shared" si="7"/>
        <v>570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2026</v>
      </c>
      <c r="C159" s="221"/>
      <c r="D159" s="257">
        <f t="shared" si="6"/>
        <v>587</v>
      </c>
      <c r="E159" s="257"/>
      <c r="F159" s="258">
        <v>0</v>
      </c>
      <c r="G159" s="258"/>
      <c r="H159" s="258">
        <f t="shared" si="7"/>
        <v>587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2027</v>
      </c>
      <c r="C160" s="221"/>
      <c r="D160" s="257">
        <f t="shared" si="6"/>
        <v>604</v>
      </c>
      <c r="E160" s="257"/>
      <c r="F160" s="258">
        <v>0</v>
      </c>
      <c r="G160" s="258"/>
      <c r="H160" s="258">
        <f t="shared" si="7"/>
        <v>604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2028</v>
      </c>
      <c r="C161" s="221"/>
      <c r="D161" s="257">
        <f t="shared" si="6"/>
        <v>621</v>
      </c>
      <c r="E161" s="257"/>
      <c r="F161" s="258">
        <v>0</v>
      </c>
      <c r="G161" s="258"/>
      <c r="H161" s="258">
        <f t="shared" si="7"/>
        <v>621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2029</v>
      </c>
      <c r="C162" s="221"/>
      <c r="D162" s="257">
        <f t="shared" si="6"/>
        <v>638</v>
      </c>
      <c r="E162" s="257"/>
      <c r="F162" s="258">
        <v>0</v>
      </c>
      <c r="G162" s="258"/>
      <c r="H162" s="258">
        <f t="shared" si="7"/>
        <v>638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>
      <c r="A163" s="203"/>
      <c r="B163" s="268">
        <v>2030</v>
      </c>
      <c r="C163" s="269"/>
      <c r="D163" s="271">
        <f t="shared" si="6"/>
        <v>655</v>
      </c>
      <c r="E163" s="271"/>
      <c r="F163" s="272">
        <v>0</v>
      </c>
      <c r="G163" s="272"/>
      <c r="H163" s="272">
        <f t="shared" si="7"/>
        <v>655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0">
        <v>2031</v>
      </c>
      <c r="C164" s="221"/>
      <c r="D164" s="257">
        <f t="shared" si="6"/>
        <v>672</v>
      </c>
      <c r="E164" s="257"/>
      <c r="F164" s="258">
        <v>0</v>
      </c>
      <c r="G164" s="258"/>
      <c r="H164" s="258">
        <f t="shared" si="7"/>
        <v>672</v>
      </c>
      <c r="I164" s="258"/>
      <c r="J164" s="222">
        <v>0</v>
      </c>
      <c r="K164" s="222"/>
      <c r="L164" s="203"/>
      <c r="M164" s="203"/>
      <c r="N164" s="203"/>
      <c r="O164" s="203"/>
    </row>
    <row r="165" spans="1:15" ht="15" customHeight="1">
      <c r="A165" s="203"/>
      <c r="B165" s="220">
        <v>2032</v>
      </c>
      <c r="C165" s="221"/>
      <c r="D165" s="257">
        <f t="shared" si="6"/>
        <v>690</v>
      </c>
      <c r="E165" s="257"/>
      <c r="F165" s="258">
        <v>0</v>
      </c>
      <c r="G165" s="258"/>
      <c r="H165" s="258">
        <f t="shared" si="7"/>
        <v>690</v>
      </c>
      <c r="I165" s="258"/>
      <c r="J165" s="222">
        <v>0</v>
      </c>
      <c r="K165" s="222"/>
      <c r="L165" s="203"/>
      <c r="M165" s="203"/>
      <c r="N165" s="203"/>
      <c r="O165" s="203"/>
    </row>
    <row r="166" spans="1:15" ht="15" customHeight="1">
      <c r="A166" s="203"/>
      <c r="B166" s="220">
        <v>2033</v>
      </c>
      <c r="C166" s="221"/>
      <c r="D166" s="257">
        <f t="shared" si="6"/>
        <v>707</v>
      </c>
      <c r="E166" s="257"/>
      <c r="F166" s="258">
        <v>0</v>
      </c>
      <c r="G166" s="258"/>
      <c r="H166" s="258">
        <f t="shared" si="7"/>
        <v>707</v>
      </c>
      <c r="I166" s="258"/>
      <c r="J166" s="222">
        <v>0</v>
      </c>
      <c r="K166" s="222"/>
      <c r="L166" s="203"/>
      <c r="M166" s="203"/>
      <c r="N166" s="203"/>
      <c r="O166" s="203"/>
    </row>
    <row r="167" spans="1:15" ht="15" customHeight="1">
      <c r="A167" s="203"/>
      <c r="B167" s="220">
        <v>2034</v>
      </c>
      <c r="C167" s="221"/>
      <c r="D167" s="257">
        <f t="shared" si="6"/>
        <v>725</v>
      </c>
      <c r="E167" s="257"/>
      <c r="F167" s="258">
        <v>0</v>
      </c>
      <c r="G167" s="258"/>
      <c r="H167" s="258">
        <f t="shared" si="7"/>
        <v>725</v>
      </c>
      <c r="I167" s="258"/>
      <c r="J167" s="222">
        <v>0</v>
      </c>
      <c r="K167" s="222"/>
      <c r="L167" s="203"/>
      <c r="M167" s="203"/>
      <c r="N167" s="203"/>
      <c r="O167" s="203"/>
    </row>
    <row r="168" spans="1:15" ht="15" customHeight="1" thickBot="1">
      <c r="A168" s="203"/>
      <c r="B168" s="268">
        <v>2035</v>
      </c>
      <c r="C168" s="269"/>
      <c r="D168" s="271">
        <f t="shared" si="6"/>
        <v>743</v>
      </c>
      <c r="E168" s="271"/>
      <c r="F168" s="272">
        <v>0</v>
      </c>
      <c r="G168" s="272"/>
      <c r="H168" s="272">
        <f t="shared" si="7"/>
        <v>743</v>
      </c>
      <c r="I168" s="272"/>
      <c r="J168" s="270">
        <v>0</v>
      </c>
      <c r="K168" s="270"/>
      <c r="L168" s="203"/>
      <c r="M168" s="203"/>
      <c r="N168" s="203"/>
      <c r="O168" s="203"/>
    </row>
    <row r="169" spans="1:15" ht="15" customHeight="1">
      <c r="A169" s="203"/>
      <c r="B169" s="226"/>
      <c r="C169" s="226"/>
      <c r="D169" s="226"/>
      <c r="E169" s="226"/>
      <c r="F169" s="226"/>
      <c r="G169" s="226"/>
      <c r="H169" s="226"/>
      <c r="I169" s="226"/>
      <c r="J169" s="226"/>
      <c r="K169" s="226"/>
      <c r="L169" s="203"/>
      <c r="M169" s="203"/>
      <c r="N169" s="203"/>
      <c r="O169" s="203"/>
    </row>
    <row r="170" spans="1:15" ht="15" customHeight="1">
      <c r="A170" s="203"/>
      <c r="B170" s="239"/>
      <c r="C170" s="239"/>
      <c r="D170" s="239"/>
      <c r="E170" s="239"/>
      <c r="F170" s="239"/>
      <c r="G170" s="239"/>
      <c r="H170" s="239"/>
      <c r="I170" s="239"/>
      <c r="J170" s="239"/>
      <c r="K170" s="239"/>
      <c r="L170" s="203"/>
      <c r="M170" s="203"/>
      <c r="N170" s="203"/>
      <c r="O170" s="203"/>
    </row>
    <row r="171" spans="1:15" ht="15" customHeight="1">
      <c r="A171" s="203"/>
      <c r="B171" s="239"/>
      <c r="C171" s="239"/>
      <c r="D171" s="239"/>
      <c r="E171" s="239"/>
      <c r="F171" s="239"/>
      <c r="G171" s="239"/>
      <c r="H171" s="239"/>
      <c r="I171" s="239"/>
      <c r="J171" s="239"/>
      <c r="K171" s="239"/>
      <c r="L171" s="203"/>
      <c r="M171" s="203"/>
      <c r="N171" s="203"/>
      <c r="O171" s="203"/>
    </row>
    <row r="172" spans="1:15" ht="15" customHeight="1">
      <c r="A172" s="203"/>
      <c r="B172" s="239"/>
      <c r="C172" s="239"/>
      <c r="D172" s="239"/>
      <c r="E172" s="239"/>
      <c r="F172" s="239"/>
      <c r="G172" s="239"/>
      <c r="H172" s="239"/>
      <c r="I172" s="239"/>
      <c r="J172" s="239"/>
      <c r="K172" s="239"/>
      <c r="L172" s="203"/>
      <c r="M172" s="203"/>
      <c r="N172" s="203"/>
      <c r="O172" s="203"/>
    </row>
    <row r="173" spans="1:15" ht="15" customHeight="1">
      <c r="A173" s="203"/>
      <c r="B173" s="239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18" t="s">
        <v>229</v>
      </c>
      <c r="C174" s="219"/>
      <c r="D174" s="219"/>
      <c r="E174" s="219"/>
      <c r="F174" s="219"/>
      <c r="G174" s="219"/>
      <c r="H174" s="203"/>
      <c r="I174" s="203"/>
      <c r="J174" s="203"/>
      <c r="K174" s="203"/>
      <c r="L174" s="203"/>
      <c r="M174" s="203"/>
      <c r="N174" s="203"/>
      <c r="O174" s="203"/>
    </row>
    <row r="175" spans="1:15" ht="15" customHeight="1">
      <c r="A175" s="203"/>
      <c r="B175" s="203"/>
      <c r="C175" s="219" t="s">
        <v>148</v>
      </c>
      <c r="D175" s="219" t="s">
        <v>231</v>
      </c>
      <c r="E175" s="219"/>
      <c r="F175" s="219"/>
      <c r="G175" s="219"/>
      <c r="H175" s="203"/>
      <c r="I175" s="203"/>
      <c r="J175" s="203"/>
      <c r="K175" s="203"/>
      <c r="L175" s="203"/>
      <c r="M175" s="203"/>
      <c r="N175" s="203"/>
      <c r="O175" s="203"/>
    </row>
    <row r="176" spans="1:15" ht="15" customHeight="1">
      <c r="A176" s="203"/>
      <c r="B176" s="201"/>
      <c r="C176" s="228" t="s">
        <v>185</v>
      </c>
      <c r="D176" s="219" t="s">
        <v>207</v>
      </c>
      <c r="E176" s="219"/>
      <c r="F176" s="201"/>
      <c r="G176" s="203"/>
      <c r="H176" s="203"/>
      <c r="I176" s="203"/>
      <c r="J176" s="203"/>
      <c r="K176" s="203"/>
      <c r="L176" s="203"/>
      <c r="M176" s="203"/>
      <c r="N176" s="203"/>
      <c r="O176" s="203"/>
    </row>
    <row r="177" spans="1:15" ht="15" customHeight="1">
      <c r="A177" s="203"/>
      <c r="B177" s="201"/>
      <c r="C177" s="228"/>
      <c r="D177" s="219" t="s">
        <v>234</v>
      </c>
      <c r="E177" s="2250">
        <f>K7</f>
        <v>600</v>
      </c>
      <c r="F177" s="2250"/>
      <c r="G177" s="219" t="s">
        <v>235</v>
      </c>
      <c r="H177" s="219"/>
      <c r="I177" s="203"/>
      <c r="J177" s="203"/>
      <c r="K177" s="203"/>
      <c r="L177" s="203"/>
      <c r="M177" s="203"/>
      <c r="N177" s="203"/>
      <c r="O177" s="203"/>
    </row>
    <row r="178" spans="1:15" ht="15" customHeight="1" thickBot="1">
      <c r="A178" s="203"/>
      <c r="B178" s="203"/>
      <c r="C178" s="203"/>
      <c r="D178" s="203"/>
      <c r="E178" s="203"/>
      <c r="F178" s="208" t="s">
        <v>236</v>
      </c>
      <c r="G178" s="208"/>
      <c r="H178" s="203"/>
      <c r="I178" s="203"/>
      <c r="J178" s="203"/>
      <c r="K178" s="203"/>
      <c r="L178" s="203"/>
      <c r="M178" s="203"/>
      <c r="N178" s="203"/>
      <c r="O178" s="203"/>
    </row>
    <row r="179" spans="1:15" ht="15" customHeight="1">
      <c r="A179" s="203"/>
      <c r="B179" s="202" t="s">
        <v>141</v>
      </c>
      <c r="C179" s="202"/>
      <c r="D179" s="202" t="s">
        <v>191</v>
      </c>
      <c r="E179" s="202" t="s">
        <v>192</v>
      </c>
      <c r="F179" s="202" t="s">
        <v>193</v>
      </c>
      <c r="G179" s="202" t="s">
        <v>241</v>
      </c>
      <c r="H179" s="202" t="s">
        <v>242</v>
      </c>
      <c r="I179" s="202" t="s">
        <v>243</v>
      </c>
      <c r="J179" s="202" t="s">
        <v>216</v>
      </c>
      <c r="K179" s="202" t="s">
        <v>245</v>
      </c>
      <c r="L179" s="203"/>
      <c r="M179" s="203"/>
      <c r="N179" s="203"/>
      <c r="O179" s="203"/>
    </row>
    <row r="180" spans="1:15" ht="15" customHeight="1">
      <c r="A180" s="203"/>
      <c r="B180" s="840">
        <f>B136</f>
        <v>2010</v>
      </c>
      <c r="C180" s="840"/>
      <c r="D180" s="208">
        <f>VLOOKUP(B180,B$7:E$11,3,FALSE)</f>
        <v>344</v>
      </c>
      <c r="E180" s="244">
        <f>((COUNT(B$180:B$184)-1)/2)+(B180-$C$4)</f>
        <v>-2</v>
      </c>
      <c r="F180" s="206">
        <f>E180^2</f>
        <v>4</v>
      </c>
      <c r="G180" s="844">
        <f>E$177-D180</f>
        <v>256</v>
      </c>
      <c r="H180" s="259">
        <f>LOG(D180)</f>
        <v>2.53655844257153</v>
      </c>
      <c r="I180" s="245">
        <f>LOG(G180)</f>
        <v>2.4082399653118496</v>
      </c>
      <c r="J180" s="246">
        <f>H180-I180</f>
        <v>0.12831847725968037</v>
      </c>
      <c r="K180" s="246">
        <f>E180*J180</f>
        <v>-0.25663695451936075</v>
      </c>
      <c r="L180" s="203"/>
      <c r="M180" s="203"/>
      <c r="N180" s="203"/>
      <c r="O180" s="203"/>
    </row>
    <row r="181" spans="1:15" ht="15" customHeight="1">
      <c r="A181" s="203"/>
      <c r="B181" s="840">
        <f>B137</f>
        <v>2011</v>
      </c>
      <c r="C181" s="840"/>
      <c r="D181" s="208">
        <f>VLOOKUP(B181,B$7:E$11,3,FALSE)</f>
        <v>380</v>
      </c>
      <c r="E181" s="244">
        <f>((COUNT(B$180:B$184)-1)/2)+(B181-$C$4)</f>
        <v>-1</v>
      </c>
      <c r="F181" s="206">
        <f>E181^2</f>
        <v>1</v>
      </c>
      <c r="G181" s="844">
        <f>E$177-D181</f>
        <v>220</v>
      </c>
      <c r="H181" s="259">
        <f>LOG(D181)</f>
        <v>2.5797835966168101</v>
      </c>
      <c r="I181" s="245">
        <f>LOG(G181)</f>
        <v>2.3424226808222062</v>
      </c>
      <c r="J181" s="246">
        <f>H181-I181</f>
        <v>0.23736091579460394</v>
      </c>
      <c r="K181" s="246">
        <f>E181*J181</f>
        <v>-0.23736091579460394</v>
      </c>
      <c r="L181" s="203"/>
      <c r="M181" s="203"/>
      <c r="N181" s="203"/>
      <c r="O181" s="203"/>
    </row>
    <row r="182" spans="1:15" ht="15" customHeight="1">
      <c r="A182" s="203"/>
      <c r="B182" s="840">
        <f>B138</f>
        <v>2012</v>
      </c>
      <c r="C182" s="840"/>
      <c r="D182" s="208">
        <f>VLOOKUP(B182,B$7:E$11,3,FALSE)</f>
        <v>286</v>
      </c>
      <c r="E182" s="244">
        <f>((COUNT(B$180:B$184)-1)/2)+(B182-$C$4)</f>
        <v>0</v>
      </c>
      <c r="F182" s="206">
        <f>E182^2</f>
        <v>0</v>
      </c>
      <c r="G182" s="844">
        <f>E$177-D182</f>
        <v>314</v>
      </c>
      <c r="H182" s="259">
        <f>LOG(D182)</f>
        <v>2.4563660331290431</v>
      </c>
      <c r="I182" s="245">
        <f>LOG(G182)</f>
        <v>2.4969296480732148</v>
      </c>
      <c r="J182" s="246">
        <f>H182-I182</f>
        <v>-4.0563614944171711E-2</v>
      </c>
      <c r="K182" s="246">
        <f>E182*J182</f>
        <v>0</v>
      </c>
      <c r="L182" s="203"/>
      <c r="M182" s="203"/>
      <c r="N182" s="203"/>
      <c r="O182" s="203"/>
    </row>
    <row r="183" spans="1:15" ht="15" customHeight="1">
      <c r="A183" s="203"/>
      <c r="B183" s="840">
        <f>B139</f>
        <v>2013</v>
      </c>
      <c r="C183" s="840"/>
      <c r="D183" s="208">
        <f>VLOOKUP(B183,B$7:E$11,3,FALSE)</f>
        <v>269</v>
      </c>
      <c r="E183" s="244">
        <f>((COUNT(B$180:B$184)-1)/2)+(B183-$C$4)</f>
        <v>1</v>
      </c>
      <c r="F183" s="206">
        <f>E183^2</f>
        <v>1</v>
      </c>
      <c r="G183" s="844">
        <f>E$177-D183</f>
        <v>331</v>
      </c>
      <c r="H183" s="259">
        <f>LOG(D183)</f>
        <v>2.4297522800024081</v>
      </c>
      <c r="I183" s="245">
        <f>LOG(G183)</f>
        <v>2.5198279937757189</v>
      </c>
      <c r="J183" s="246">
        <f>H183-I183</f>
        <v>-9.0075713773310806E-2</v>
      </c>
      <c r="K183" s="246">
        <f>E183*J183</f>
        <v>-9.0075713773310806E-2</v>
      </c>
      <c r="L183" s="203"/>
      <c r="M183" s="203"/>
      <c r="N183" s="203"/>
      <c r="O183" s="203"/>
    </row>
    <row r="184" spans="1:15" ht="15" customHeight="1">
      <c r="A184" s="203"/>
      <c r="B184" s="840">
        <f>B140</f>
        <v>2014</v>
      </c>
      <c r="C184" s="840"/>
      <c r="D184" s="208">
        <f>VLOOKUP(B184,B$7:E$11,3,FALSE)</f>
        <v>138</v>
      </c>
      <c r="E184" s="244">
        <f>((COUNT(B$180:B$184)-1)/2)+(B184-$C$4)</f>
        <v>2</v>
      </c>
      <c r="F184" s="206">
        <f>E184^2</f>
        <v>4</v>
      </c>
      <c r="G184" s="844">
        <f>E$177-D184</f>
        <v>462</v>
      </c>
      <c r="H184" s="259">
        <f>LOG(D184)</f>
        <v>2.1398790864012365</v>
      </c>
      <c r="I184" s="245">
        <f>LOG(G184)</f>
        <v>2.6646419755561257</v>
      </c>
      <c r="J184" s="246">
        <f>H184-I184</f>
        <v>-0.52476288915488922</v>
      </c>
      <c r="K184" s="246">
        <f>E184*J184</f>
        <v>-1.0495257783097784</v>
      </c>
      <c r="L184" s="203"/>
      <c r="M184" s="203"/>
      <c r="N184" s="203"/>
      <c r="O184" s="203"/>
    </row>
    <row r="185" spans="1:15" ht="15" customHeight="1" thickBot="1">
      <c r="A185" s="203"/>
      <c r="B185" s="211" t="s">
        <v>146</v>
      </c>
      <c r="C185" s="212"/>
      <c r="D185" s="260">
        <f>SUM(D180:D184)</f>
        <v>1417</v>
      </c>
      <c r="E185" s="261">
        <f>SUM(E180:E184)</f>
        <v>0</v>
      </c>
      <c r="F185" s="262">
        <f>ROUND(SUM(F180:F184),0)</f>
        <v>10</v>
      </c>
      <c r="G185" s="249"/>
      <c r="H185" s="251"/>
      <c r="I185" s="252"/>
      <c r="J185" s="263">
        <f>SUM(J180:J184)</f>
        <v>-0.28972282481808742</v>
      </c>
      <c r="K185" s="263">
        <f>SUM(K180:K184)</f>
        <v>-1.6335993623970539</v>
      </c>
      <c r="L185" s="203"/>
      <c r="M185" s="203"/>
      <c r="N185" s="203"/>
      <c r="O185" s="203"/>
    </row>
    <row r="186" spans="1:15" ht="15" customHeight="1">
      <c r="A186" s="203"/>
      <c r="B186" s="208" t="s">
        <v>246</v>
      </c>
      <c r="C186" s="208"/>
      <c r="D186" s="201" t="s">
        <v>247</v>
      </c>
      <c r="E186" s="236" t="s">
        <v>248</v>
      </c>
      <c r="F186" s="203"/>
      <c r="G186" s="219" t="str">
        <f>"X = x × LOG e = "&amp;E185&amp;" 이고,"</f>
        <v>X = x × LOG e = 0 이고,</v>
      </c>
      <c r="H186" s="219"/>
      <c r="I186" s="219" t="s">
        <v>249</v>
      </c>
      <c r="J186" s="219"/>
      <c r="K186" s="201"/>
      <c r="L186" s="203"/>
      <c r="M186" s="203"/>
      <c r="N186" s="203"/>
      <c r="O186" s="203"/>
    </row>
    <row r="187" spans="1:15" ht="15" customHeight="1">
      <c r="A187" s="203"/>
      <c r="B187" s="203"/>
      <c r="C187" s="203"/>
      <c r="D187" s="219" t="s">
        <v>250</v>
      </c>
      <c r="E187" s="219"/>
      <c r="F187" s="219"/>
      <c r="G187" s="219"/>
      <c r="H187" s="254">
        <f>ROUND(((E$185*K$185-F$185*J$185)/(COUNT(B$180:B$184)*F$185-E$185*E$185))/LOG(EXP(1)),5)</f>
        <v>0.13342000000000001</v>
      </c>
      <c r="I187" s="219"/>
      <c r="J187" s="219"/>
      <c r="K187" s="203"/>
      <c r="L187" s="203"/>
      <c r="M187" s="203"/>
      <c r="N187" s="203"/>
      <c r="O187" s="203"/>
    </row>
    <row r="188" spans="1:15" ht="15" customHeight="1">
      <c r="A188" s="203"/>
      <c r="B188" s="203"/>
      <c r="C188" s="203"/>
      <c r="D188" s="219" t="s">
        <v>251</v>
      </c>
      <c r="E188" s="219"/>
      <c r="F188" s="219"/>
      <c r="G188" s="264" t="s">
        <v>252</v>
      </c>
      <c r="H188" s="219"/>
      <c r="I188" s="219"/>
      <c r="J188" s="219"/>
      <c r="K188" s="265">
        <f>ROUND((COUNT(B$180:B$184)*K185-E185*J185)/(LOG(EXP(1))*(COUNT(B$180:B$184)*F185-E185*E185)),6)</f>
        <v>-0.37614999999999998</v>
      </c>
      <c r="L188" s="203"/>
      <c r="M188" s="203"/>
      <c r="N188" s="203"/>
      <c r="O188" s="203"/>
    </row>
    <row r="189" spans="1:15" ht="15" customHeight="1">
      <c r="A189" s="203"/>
      <c r="B189" s="203"/>
      <c r="C189" s="203"/>
      <c r="D189" s="219"/>
      <c r="E189" s="203"/>
      <c r="F189" s="201"/>
      <c r="G189" s="201"/>
      <c r="H189" s="219"/>
      <c r="I189" s="219"/>
      <c r="J189" s="256"/>
      <c r="K189" s="203"/>
      <c r="L189" s="203"/>
      <c r="M189" s="203"/>
      <c r="N189" s="203"/>
      <c r="O189" s="203"/>
    </row>
    <row r="190" spans="1:15" ht="15" customHeight="1" thickBot="1">
      <c r="A190" s="203"/>
      <c r="B190" s="203"/>
      <c r="C190" s="203"/>
      <c r="D190" s="203"/>
      <c r="E190" s="203"/>
      <c r="F190" s="208" t="s">
        <v>200</v>
      </c>
      <c r="G190" s="208"/>
      <c r="H190" s="203"/>
      <c r="I190" s="203"/>
      <c r="J190" s="203"/>
      <c r="K190" s="203"/>
      <c r="L190" s="203"/>
      <c r="M190" s="203"/>
      <c r="N190" s="203"/>
      <c r="O190" s="203"/>
    </row>
    <row r="191" spans="1:15" ht="15" customHeight="1">
      <c r="A191" s="203"/>
      <c r="B191" s="202" t="s">
        <v>141</v>
      </c>
      <c r="C191" s="202"/>
      <c r="D191" s="202" t="s">
        <v>156</v>
      </c>
      <c r="E191" s="202"/>
      <c r="F191" s="202" t="s">
        <v>157</v>
      </c>
      <c r="G191" s="202"/>
      <c r="H191" s="202" t="s">
        <v>158</v>
      </c>
      <c r="I191" s="202"/>
      <c r="J191" s="202" t="s">
        <v>27</v>
      </c>
      <c r="K191" s="202"/>
      <c r="L191" s="203"/>
      <c r="M191" s="203"/>
      <c r="N191" s="203"/>
      <c r="O191" s="203"/>
    </row>
    <row r="192" spans="1:15" ht="15" customHeight="1">
      <c r="A192" s="203"/>
      <c r="B192" s="220">
        <v>2014</v>
      </c>
      <c r="C192" s="208"/>
      <c r="D192" s="208">
        <f t="shared" ref="D192:D213" si="8">ROUNDUP(E$177/(1+EXP(1)^(H$187-K$188*(B192-B$180+0.5))),0)</f>
        <v>84</v>
      </c>
      <c r="E192" s="208"/>
      <c r="F192" s="208">
        <v>0</v>
      </c>
      <c r="G192" s="208"/>
      <c r="H192" s="208">
        <f t="shared" ref="H192:H213" si="9">ROUND(D192*(1+F192),0)</f>
        <v>84</v>
      </c>
      <c r="I192" s="208"/>
      <c r="J192" s="210">
        <v>0</v>
      </c>
      <c r="K192" s="210"/>
      <c r="L192" s="203"/>
      <c r="M192" s="203"/>
      <c r="N192" s="203"/>
      <c r="O192" s="203"/>
    </row>
    <row r="193" spans="1:15" ht="15" customHeight="1">
      <c r="A193" s="203"/>
      <c r="B193" s="268">
        <v>2015</v>
      </c>
      <c r="C193" s="269"/>
      <c r="D193" s="269">
        <f t="shared" si="8"/>
        <v>60</v>
      </c>
      <c r="E193" s="269"/>
      <c r="F193" s="269">
        <v>0</v>
      </c>
      <c r="G193" s="269"/>
      <c r="H193" s="269">
        <f t="shared" si="9"/>
        <v>60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2016</v>
      </c>
      <c r="C194" s="221"/>
      <c r="D194" s="221">
        <f t="shared" si="8"/>
        <v>43</v>
      </c>
      <c r="E194" s="221"/>
      <c r="F194" s="221">
        <v>0</v>
      </c>
      <c r="G194" s="221"/>
      <c r="H194" s="221">
        <f t="shared" si="9"/>
        <v>43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2017</v>
      </c>
      <c r="C195" s="221"/>
      <c r="D195" s="221">
        <f t="shared" si="8"/>
        <v>30</v>
      </c>
      <c r="E195" s="221"/>
      <c r="F195" s="221">
        <v>0</v>
      </c>
      <c r="G195" s="221"/>
      <c r="H195" s="221">
        <f t="shared" si="9"/>
        <v>30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2018</v>
      </c>
      <c r="C196" s="221"/>
      <c r="D196" s="221">
        <f t="shared" si="8"/>
        <v>21</v>
      </c>
      <c r="E196" s="221"/>
      <c r="F196" s="221">
        <v>0</v>
      </c>
      <c r="G196" s="221"/>
      <c r="H196" s="221">
        <f t="shared" si="9"/>
        <v>21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2019</v>
      </c>
      <c r="C197" s="221"/>
      <c r="D197" s="221">
        <f t="shared" si="8"/>
        <v>15</v>
      </c>
      <c r="E197" s="221"/>
      <c r="F197" s="221">
        <v>0</v>
      </c>
      <c r="G197" s="221"/>
      <c r="H197" s="221">
        <f t="shared" si="9"/>
        <v>15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2020</v>
      </c>
      <c r="C198" s="269"/>
      <c r="D198" s="269">
        <f t="shared" si="8"/>
        <v>10</v>
      </c>
      <c r="E198" s="269"/>
      <c r="F198" s="269">
        <v>0</v>
      </c>
      <c r="G198" s="269"/>
      <c r="H198" s="269">
        <f t="shared" si="9"/>
        <v>10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2021</v>
      </c>
      <c r="C199" s="221"/>
      <c r="D199" s="221">
        <f t="shared" si="8"/>
        <v>7</v>
      </c>
      <c r="E199" s="221"/>
      <c r="F199" s="221">
        <v>0</v>
      </c>
      <c r="G199" s="221"/>
      <c r="H199" s="221">
        <f t="shared" si="9"/>
        <v>7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2022</v>
      </c>
      <c r="C200" s="221"/>
      <c r="D200" s="221">
        <f t="shared" si="8"/>
        <v>5</v>
      </c>
      <c r="E200" s="221"/>
      <c r="F200" s="221">
        <v>0</v>
      </c>
      <c r="G200" s="221"/>
      <c r="H200" s="221">
        <f t="shared" si="9"/>
        <v>5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2023</v>
      </c>
      <c r="C201" s="221"/>
      <c r="D201" s="221">
        <f t="shared" si="8"/>
        <v>4</v>
      </c>
      <c r="E201" s="221"/>
      <c r="F201" s="221">
        <v>0</v>
      </c>
      <c r="G201" s="221"/>
      <c r="H201" s="221">
        <f t="shared" si="9"/>
        <v>4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2024</v>
      </c>
      <c r="C202" s="221"/>
      <c r="D202" s="221">
        <f t="shared" si="8"/>
        <v>3</v>
      </c>
      <c r="E202" s="221"/>
      <c r="F202" s="221">
        <v>0</v>
      </c>
      <c r="G202" s="221"/>
      <c r="H202" s="221">
        <f t="shared" si="9"/>
        <v>3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>
      <c r="A203" s="203"/>
      <c r="B203" s="268">
        <v>2025</v>
      </c>
      <c r="C203" s="269"/>
      <c r="D203" s="269">
        <f t="shared" si="8"/>
        <v>2</v>
      </c>
      <c r="E203" s="269"/>
      <c r="F203" s="269">
        <v>0</v>
      </c>
      <c r="G203" s="269"/>
      <c r="H203" s="269">
        <f t="shared" si="9"/>
        <v>2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0">
        <v>2026</v>
      </c>
      <c r="C204" s="221"/>
      <c r="D204" s="221">
        <f t="shared" si="8"/>
        <v>2</v>
      </c>
      <c r="E204" s="221"/>
      <c r="F204" s="221">
        <v>0</v>
      </c>
      <c r="G204" s="221"/>
      <c r="H204" s="221">
        <f t="shared" si="9"/>
        <v>2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2027</v>
      </c>
      <c r="C205" s="221"/>
      <c r="D205" s="221">
        <f t="shared" si="8"/>
        <v>1</v>
      </c>
      <c r="E205" s="221"/>
      <c r="F205" s="221">
        <v>0</v>
      </c>
      <c r="G205" s="221"/>
      <c r="H205" s="221">
        <f t="shared" si="9"/>
        <v>1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2028</v>
      </c>
      <c r="C206" s="221"/>
      <c r="D206" s="221">
        <f t="shared" si="8"/>
        <v>1</v>
      </c>
      <c r="E206" s="221"/>
      <c r="F206" s="221">
        <v>0</v>
      </c>
      <c r="G206" s="221"/>
      <c r="H206" s="221">
        <f t="shared" si="9"/>
        <v>1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>
      <c r="A207" s="203"/>
      <c r="B207" s="220">
        <v>2029</v>
      </c>
      <c r="C207" s="221"/>
      <c r="D207" s="221">
        <f t="shared" si="8"/>
        <v>1</v>
      </c>
      <c r="E207" s="221"/>
      <c r="F207" s="221">
        <v>0</v>
      </c>
      <c r="G207" s="221"/>
      <c r="H207" s="221">
        <f t="shared" si="9"/>
        <v>1</v>
      </c>
      <c r="I207" s="221"/>
      <c r="J207" s="222">
        <v>0</v>
      </c>
      <c r="K207" s="222"/>
      <c r="L207" s="203"/>
      <c r="M207" s="203"/>
      <c r="N207" s="203"/>
      <c r="O207" s="203"/>
    </row>
    <row r="208" spans="1:15" ht="15" customHeight="1">
      <c r="A208" s="203"/>
      <c r="B208" s="268">
        <v>2030</v>
      </c>
      <c r="C208" s="269"/>
      <c r="D208" s="269">
        <f t="shared" si="8"/>
        <v>1</v>
      </c>
      <c r="E208" s="269"/>
      <c r="F208" s="269">
        <v>0</v>
      </c>
      <c r="G208" s="269"/>
      <c r="H208" s="269">
        <f t="shared" si="9"/>
        <v>1</v>
      </c>
      <c r="I208" s="269"/>
      <c r="J208" s="270">
        <v>0</v>
      </c>
      <c r="K208" s="270"/>
      <c r="L208" s="203"/>
      <c r="M208" s="203"/>
      <c r="N208" s="203"/>
      <c r="O208" s="203"/>
    </row>
    <row r="209" spans="1:15" ht="15" customHeight="1">
      <c r="A209" s="203"/>
      <c r="B209" s="220">
        <v>2031</v>
      </c>
      <c r="C209" s="221"/>
      <c r="D209" s="221">
        <f t="shared" si="8"/>
        <v>1</v>
      </c>
      <c r="E209" s="221"/>
      <c r="F209" s="221">
        <v>0</v>
      </c>
      <c r="G209" s="221"/>
      <c r="H209" s="221">
        <f t="shared" si="9"/>
        <v>1</v>
      </c>
      <c r="I209" s="221"/>
      <c r="J209" s="222">
        <v>0</v>
      </c>
      <c r="K209" s="222"/>
      <c r="L209" s="203"/>
      <c r="M209" s="203"/>
      <c r="N209" s="203"/>
      <c r="O209" s="203"/>
    </row>
    <row r="210" spans="1:15" ht="15" customHeight="1">
      <c r="A210" s="203"/>
      <c r="B210" s="220">
        <v>2032</v>
      </c>
      <c r="C210" s="221"/>
      <c r="D210" s="221">
        <f t="shared" si="8"/>
        <v>1</v>
      </c>
      <c r="E210" s="221"/>
      <c r="F210" s="221">
        <v>0</v>
      </c>
      <c r="G210" s="221"/>
      <c r="H210" s="221">
        <f t="shared" si="9"/>
        <v>1</v>
      </c>
      <c r="I210" s="221"/>
      <c r="J210" s="222">
        <v>0</v>
      </c>
      <c r="K210" s="222"/>
      <c r="L210" s="203"/>
      <c r="M210" s="203"/>
      <c r="N210" s="203"/>
      <c r="O210" s="203"/>
    </row>
    <row r="211" spans="1:15" ht="15" customHeight="1">
      <c r="A211" s="203"/>
      <c r="B211" s="220">
        <v>2033</v>
      </c>
      <c r="C211" s="221"/>
      <c r="D211" s="221">
        <f t="shared" si="8"/>
        <v>1</v>
      </c>
      <c r="E211" s="221"/>
      <c r="F211" s="221">
        <v>0</v>
      </c>
      <c r="G211" s="221"/>
      <c r="H211" s="221">
        <f t="shared" si="9"/>
        <v>1</v>
      </c>
      <c r="I211" s="221"/>
      <c r="J211" s="222">
        <v>0</v>
      </c>
      <c r="K211" s="222"/>
      <c r="L211" s="203"/>
      <c r="M211" s="203"/>
      <c r="N211" s="203"/>
      <c r="O211" s="203"/>
    </row>
    <row r="212" spans="1:15" ht="15" customHeight="1">
      <c r="A212" s="203"/>
      <c r="B212" s="220">
        <v>2034</v>
      </c>
      <c r="C212" s="221"/>
      <c r="D212" s="221">
        <f t="shared" si="8"/>
        <v>1</v>
      </c>
      <c r="E212" s="221"/>
      <c r="F212" s="221">
        <v>0</v>
      </c>
      <c r="G212" s="221"/>
      <c r="H212" s="221">
        <f t="shared" si="9"/>
        <v>1</v>
      </c>
      <c r="I212" s="221"/>
      <c r="J212" s="222">
        <v>0</v>
      </c>
      <c r="K212" s="222"/>
      <c r="L212" s="203"/>
      <c r="M212" s="203"/>
      <c r="N212" s="203"/>
      <c r="O212" s="203"/>
    </row>
    <row r="213" spans="1:15" ht="15" customHeight="1" thickBot="1">
      <c r="A213" s="203"/>
      <c r="B213" s="268">
        <v>2035</v>
      </c>
      <c r="C213" s="269"/>
      <c r="D213" s="269">
        <f t="shared" si="8"/>
        <v>1</v>
      </c>
      <c r="E213" s="269"/>
      <c r="F213" s="269">
        <v>0</v>
      </c>
      <c r="G213" s="269"/>
      <c r="H213" s="269">
        <f t="shared" si="9"/>
        <v>1</v>
      </c>
      <c r="I213" s="269"/>
      <c r="J213" s="270">
        <v>0</v>
      </c>
      <c r="K213" s="270"/>
      <c r="L213" s="203"/>
      <c r="M213" s="203"/>
      <c r="N213" s="203"/>
      <c r="O213" s="203"/>
    </row>
    <row r="214" spans="1:15" ht="15" customHeight="1">
      <c r="A214" s="203"/>
      <c r="B214" s="226"/>
      <c r="C214" s="226"/>
      <c r="D214" s="226"/>
      <c r="E214" s="226"/>
      <c r="F214" s="226"/>
      <c r="G214" s="226"/>
      <c r="H214" s="226"/>
      <c r="I214" s="226"/>
      <c r="J214" s="226"/>
      <c r="K214" s="226"/>
      <c r="L214" s="203"/>
      <c r="M214" s="203"/>
      <c r="N214" s="203"/>
      <c r="O214" s="203"/>
    </row>
    <row r="215" spans="1:15" ht="15" customHeight="1">
      <c r="A215" s="203"/>
      <c r="B215" s="239"/>
      <c r="C215" s="239"/>
      <c r="D215" s="239"/>
      <c r="E215" s="239"/>
      <c r="F215" s="239"/>
      <c r="G215" s="239"/>
      <c r="H215" s="239"/>
      <c r="I215" s="239"/>
      <c r="J215" s="239"/>
      <c r="K215" s="239"/>
      <c r="L215" s="203"/>
      <c r="M215" s="203"/>
      <c r="N215" s="203"/>
      <c r="O215" s="203"/>
    </row>
    <row r="216" spans="1:15" ht="15" customHeight="1">
      <c r="A216" s="203"/>
      <c r="B216" s="239"/>
      <c r="C216" s="239"/>
      <c r="D216" s="239"/>
      <c r="E216" s="239"/>
      <c r="F216" s="239"/>
      <c r="G216" s="239"/>
      <c r="H216" s="239"/>
      <c r="I216" s="239"/>
      <c r="J216" s="239"/>
      <c r="K216" s="239"/>
      <c r="L216" s="203"/>
      <c r="M216" s="203"/>
      <c r="N216" s="203"/>
      <c r="O216" s="203"/>
    </row>
    <row r="217" spans="1:15" ht="15" customHeight="1">
      <c r="A217" s="203"/>
      <c r="B217" s="239"/>
      <c r="C217" s="239"/>
      <c r="D217" s="239"/>
      <c r="E217" s="239"/>
      <c r="F217" s="239"/>
      <c r="G217" s="239"/>
      <c r="H217" s="239"/>
      <c r="I217" s="239"/>
      <c r="J217" s="239"/>
      <c r="K217" s="239"/>
      <c r="L217" s="203"/>
      <c r="M217" s="203"/>
      <c r="N217" s="203"/>
      <c r="O217" s="203"/>
    </row>
    <row r="218" spans="1:15" ht="15" customHeight="1">
      <c r="A218" s="203"/>
      <c r="B218" s="239"/>
      <c r="C218" s="239"/>
      <c r="D218" s="239"/>
      <c r="E218" s="239"/>
      <c r="F218" s="239"/>
      <c r="G218" s="239"/>
      <c r="H218" s="239"/>
      <c r="I218" s="239"/>
      <c r="J218" s="239"/>
      <c r="K218" s="239"/>
      <c r="L218" s="203"/>
      <c r="M218" s="203"/>
      <c r="N218" s="203"/>
      <c r="O218" s="203"/>
    </row>
    <row r="219" spans="1:15" ht="15" customHeight="1" thickBot="1">
      <c r="A219" s="203"/>
      <c r="B219" s="203"/>
      <c r="C219" s="203"/>
      <c r="D219" s="203"/>
      <c r="E219" s="203"/>
      <c r="F219" s="208" t="s">
        <v>259</v>
      </c>
      <c r="G219" s="208"/>
      <c r="H219" s="203"/>
      <c r="I219" s="203"/>
      <c r="J219" s="203"/>
      <c r="K219" s="228" t="s">
        <v>260</v>
      </c>
      <c r="L219" s="203"/>
      <c r="M219" s="203"/>
      <c r="N219" s="203"/>
      <c r="O219" s="203"/>
    </row>
    <row r="220" spans="1:15" ht="15" customHeight="1">
      <c r="A220" s="203"/>
      <c r="B220" s="202" t="s">
        <v>141</v>
      </c>
      <c r="C220" s="202"/>
      <c r="D220" s="202" t="s">
        <v>261</v>
      </c>
      <c r="E220" s="202" t="s">
        <v>262</v>
      </c>
      <c r="F220" s="202" t="s">
        <v>263</v>
      </c>
      <c r="G220" s="202" t="s">
        <v>279</v>
      </c>
      <c r="H220" s="202" t="s">
        <v>264</v>
      </c>
      <c r="I220" s="202" t="s">
        <v>54</v>
      </c>
      <c r="J220" s="202" t="s">
        <v>266</v>
      </c>
      <c r="K220" s="202"/>
      <c r="L220" s="203"/>
      <c r="M220" s="203"/>
      <c r="N220" s="203">
        <v>396</v>
      </c>
      <c r="O220" s="203">
        <v>386</v>
      </c>
    </row>
    <row r="221" spans="1:15" ht="15" customHeight="1">
      <c r="A221" s="203"/>
      <c r="B221" s="220">
        <v>2014</v>
      </c>
      <c r="C221" s="221"/>
      <c r="D221" s="257">
        <f t="array" ref="D221">IF(B21=B221,H21)</f>
        <v>138</v>
      </c>
      <c r="E221" s="257">
        <f t="array" ref="E221">IF(B55=B221,H55)</f>
        <v>138</v>
      </c>
      <c r="F221" s="257">
        <f t="array" ref="F221">IF(B105=B221,H105)</f>
        <v>179</v>
      </c>
      <c r="G221" s="257">
        <f t="array" ref="G221">IF(B147=B221,H147)</f>
        <v>396</v>
      </c>
      <c r="H221" s="257">
        <f t="array" ref="H221">IF(B192=B221,H192)</f>
        <v>84</v>
      </c>
      <c r="I221" s="257">
        <f t="shared" ref="I221:I242" si="10">IF(G221=0,AVERAGE(D221,E221,F221,H221),AVERAGE(D221:H221))</f>
        <v>187</v>
      </c>
      <c r="J221" s="266">
        <f t="shared" ref="J221:J242" si="11">ROUND(AVERAGE(D221,F221:G221),0)</f>
        <v>238</v>
      </c>
      <c r="K221" s="258"/>
      <c r="L221" s="203"/>
      <c r="M221" s="203"/>
      <c r="N221" s="203"/>
      <c r="O221" s="203"/>
    </row>
    <row r="222" spans="1:15" ht="15" customHeight="1">
      <c r="A222" s="203"/>
      <c r="B222" s="268">
        <v>2015</v>
      </c>
      <c r="C222" s="269"/>
      <c r="D222" s="271">
        <f t="array" ref="D222">IF(B22=B222,H22)</f>
        <v>87</v>
      </c>
      <c r="E222" s="271">
        <f t="array" ref="E222">IF(B56=B222,H56)</f>
        <v>110</v>
      </c>
      <c r="F222" s="271">
        <f t="array" ref="F222">IF(B106=B222,H106)</f>
        <v>127</v>
      </c>
      <c r="G222" s="271">
        <f t="array" ref="G222">IF(B148=B222,H148)</f>
        <v>411</v>
      </c>
      <c r="H222" s="271">
        <f t="array" ref="H222">IF(B193=B222,H193)</f>
        <v>60</v>
      </c>
      <c r="I222" s="271">
        <f t="shared" si="10"/>
        <v>159</v>
      </c>
      <c r="J222" s="273">
        <f t="shared" si="11"/>
        <v>208</v>
      </c>
      <c r="K222" s="272"/>
      <c r="L222" s="203"/>
      <c r="M222" s="203"/>
      <c r="N222" s="203"/>
      <c r="O222" s="203"/>
    </row>
    <row r="223" spans="1:15" ht="15" customHeight="1">
      <c r="A223" s="203"/>
      <c r="B223" s="220">
        <v>2016</v>
      </c>
      <c r="C223" s="221"/>
      <c r="D223" s="257">
        <f t="array" ref="D223">IF(B23=B223,H23)</f>
        <v>35</v>
      </c>
      <c r="E223" s="257">
        <f t="array" ref="E223">IF(B57=B223,H57)</f>
        <v>87</v>
      </c>
      <c r="F223" s="257">
        <f t="array" ref="F223">IF(B107=B223,H107)</f>
        <v>74</v>
      </c>
      <c r="G223" s="257">
        <f t="array" ref="G223">IF(B149=B223,H149)</f>
        <v>426</v>
      </c>
      <c r="H223" s="257">
        <f t="array" ref="H223">IF(B194=B223,H194)</f>
        <v>43</v>
      </c>
      <c r="I223" s="257">
        <f t="shared" si="10"/>
        <v>133</v>
      </c>
      <c r="J223" s="266">
        <f t="shared" si="11"/>
        <v>178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2017</v>
      </c>
      <c r="C224" s="221"/>
      <c r="D224" s="257">
        <f t="array" ref="D224">IF(B24=B224,H24)</f>
        <v>-17</v>
      </c>
      <c r="E224" s="257">
        <f t="array" ref="E224">IF(B58=B224,H58)</f>
        <v>70</v>
      </c>
      <c r="F224" s="257">
        <f t="array" ref="F224">IF(B108=B224,H108)</f>
        <v>22</v>
      </c>
      <c r="G224" s="257">
        <f t="array" ref="G224">IF(B150=B224,H150)</f>
        <v>441</v>
      </c>
      <c r="H224" s="257">
        <f t="array" ref="H224">IF(B195=B224,H195)</f>
        <v>30</v>
      </c>
      <c r="I224" s="257">
        <f t="shared" si="10"/>
        <v>109.2</v>
      </c>
      <c r="J224" s="266">
        <f t="shared" si="11"/>
        <v>149</v>
      </c>
      <c r="K224" s="258"/>
      <c r="L224" s="203"/>
      <c r="M224" s="203"/>
      <c r="N224" s="203"/>
      <c r="O224" s="203"/>
    </row>
    <row r="225" spans="1:15" ht="15" customHeight="1">
      <c r="A225" s="203"/>
      <c r="B225" s="220">
        <v>2018</v>
      </c>
      <c r="C225" s="221"/>
      <c r="D225" s="257">
        <f t="array" ref="D225">IF(B25=B225,H25)</f>
        <v>-68</v>
      </c>
      <c r="E225" s="257">
        <f t="array" ref="E225">IF(B59=B225,H59)</f>
        <v>55</v>
      </c>
      <c r="F225" s="257">
        <f t="array" ref="F225">IF(B109=B225,H109)</f>
        <v>-31</v>
      </c>
      <c r="G225" s="257">
        <f t="array" ref="G225">IF(B151=B225,H151)</f>
        <v>456</v>
      </c>
      <c r="H225" s="257">
        <f t="array" ref="H225">IF(B196=B225,H196)</f>
        <v>21</v>
      </c>
      <c r="I225" s="257">
        <f t="shared" si="10"/>
        <v>86.6</v>
      </c>
      <c r="J225" s="266">
        <f t="shared" si="11"/>
        <v>119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2019</v>
      </c>
      <c r="C226" s="221"/>
      <c r="D226" s="257">
        <f t="array" ref="D226">IF(B26=B226,H26)</f>
        <v>-120</v>
      </c>
      <c r="E226" s="257">
        <f t="array" ref="E226">IF(B60=B226,H60)</f>
        <v>44</v>
      </c>
      <c r="F226" s="257">
        <f t="array" ref="F226">IF(B110=B226,H110)</f>
        <v>-84</v>
      </c>
      <c r="G226" s="257">
        <f t="array" ref="G226">IF(B152=B226,H152)</f>
        <v>472</v>
      </c>
      <c r="H226" s="257">
        <f t="array" ref="H226">IF(B197=B226,H197)</f>
        <v>15</v>
      </c>
      <c r="I226" s="257">
        <f t="shared" si="10"/>
        <v>65.400000000000006</v>
      </c>
      <c r="J226" s="266">
        <f t="shared" si="11"/>
        <v>89</v>
      </c>
      <c r="K226" s="258"/>
      <c r="L226" s="203"/>
      <c r="M226" s="203"/>
      <c r="N226" s="203"/>
      <c r="O226" s="203"/>
    </row>
    <row r="227" spans="1:15" ht="15" customHeight="1">
      <c r="A227" s="203"/>
      <c r="B227" s="268">
        <v>2020</v>
      </c>
      <c r="C227" s="269"/>
      <c r="D227" s="271">
        <f t="array" ref="D227">IF(B27=B227,H27)</f>
        <v>-171</v>
      </c>
      <c r="E227" s="271">
        <f t="array" ref="E227">IF(B61=B227,H61)</f>
        <v>35</v>
      </c>
      <c r="F227" s="271">
        <f t="array" ref="F227">IF(B111=B227,H111)</f>
        <v>-136</v>
      </c>
      <c r="G227" s="271">
        <f t="array" ref="G227">IF(B153=B227,H153)</f>
        <v>488</v>
      </c>
      <c r="H227" s="271">
        <f t="array" ref="H227">IF(B198=B227,H198)</f>
        <v>10</v>
      </c>
      <c r="I227" s="271">
        <f t="shared" si="10"/>
        <v>45.2</v>
      </c>
      <c r="J227" s="273">
        <f t="shared" si="11"/>
        <v>60</v>
      </c>
      <c r="K227" s="272"/>
      <c r="L227" s="203"/>
      <c r="M227" s="203"/>
      <c r="N227" s="203"/>
      <c r="O227" s="203"/>
    </row>
    <row r="228" spans="1:15" ht="15" customHeight="1">
      <c r="A228" s="203"/>
      <c r="B228" s="220">
        <v>2021</v>
      </c>
      <c r="C228" s="221"/>
      <c r="D228" s="257">
        <f t="array" ref="D228">IF(B28=B228,H28)</f>
        <v>-223</v>
      </c>
      <c r="E228" s="257">
        <f t="array" ref="E228">IF(B62=B228,H62)</f>
        <v>28</v>
      </c>
      <c r="F228" s="257">
        <f t="array" ref="F228">IF(B112=B228,H112)</f>
        <v>-188</v>
      </c>
      <c r="G228" s="257">
        <f t="array" ref="G228">IF(B154=B228,H154)</f>
        <v>504</v>
      </c>
      <c r="H228" s="257">
        <f t="array" ref="H228">IF(B199=B228,H199)</f>
        <v>7</v>
      </c>
      <c r="I228" s="257">
        <f t="shared" si="10"/>
        <v>25.6</v>
      </c>
      <c r="J228" s="266">
        <f t="shared" si="11"/>
        <v>31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2022</v>
      </c>
      <c r="C229" s="221"/>
      <c r="D229" s="257">
        <f t="array" ref="D229">IF(B29=B229,H29)</f>
        <v>-274</v>
      </c>
      <c r="E229" s="257">
        <f t="array" ref="E229">IF(B63=B229,H63)</f>
        <v>22</v>
      </c>
      <c r="F229" s="257">
        <f t="array" ref="F229">IF(B113=B229,H113)</f>
        <v>-240</v>
      </c>
      <c r="G229" s="257">
        <f t="array" ref="G229">IF(B155=B229,H155)</f>
        <v>520</v>
      </c>
      <c r="H229" s="257">
        <f t="array" ref="H229">IF(B200=B229,H200)</f>
        <v>5</v>
      </c>
      <c r="I229" s="257">
        <f t="shared" si="10"/>
        <v>6.6</v>
      </c>
      <c r="J229" s="266">
        <f t="shared" si="11"/>
        <v>2</v>
      </c>
      <c r="K229" s="258"/>
      <c r="L229" s="203"/>
      <c r="M229" s="203"/>
      <c r="N229" s="203"/>
      <c r="O229" s="203"/>
    </row>
    <row r="230" spans="1:15" ht="15" customHeight="1">
      <c r="A230" s="203"/>
      <c r="B230" s="220">
        <v>2023</v>
      </c>
      <c r="C230" s="221"/>
      <c r="D230" s="257">
        <f t="array" ref="D230">IF(B30=B230,H30)</f>
        <v>-326</v>
      </c>
      <c r="E230" s="257">
        <f t="array" ref="E230">IF(B64=B230,H64)</f>
        <v>18</v>
      </c>
      <c r="F230" s="257">
        <f t="array" ref="F230">IF(B114=B230,H114)</f>
        <v>-293</v>
      </c>
      <c r="G230" s="257">
        <f t="array" ref="G230">IF(B156=B230,H156)</f>
        <v>537</v>
      </c>
      <c r="H230" s="257">
        <f t="array" ref="H230">IF(B201=B230,H201)</f>
        <v>4</v>
      </c>
      <c r="I230" s="257">
        <f t="shared" si="10"/>
        <v>-12</v>
      </c>
      <c r="J230" s="266">
        <f t="shared" si="11"/>
        <v>-27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2024</v>
      </c>
      <c r="C231" s="221"/>
      <c r="D231" s="257">
        <f t="array" ref="D231">IF(B31=B231,H31)</f>
        <v>-377</v>
      </c>
      <c r="E231" s="257">
        <f t="array" ref="E231">IF(B65=B231,H65)</f>
        <v>14</v>
      </c>
      <c r="F231" s="257">
        <f t="array" ref="F231">IF(B115=B231,H115)</f>
        <v>-345</v>
      </c>
      <c r="G231" s="257">
        <f t="array" ref="G231">IF(B157=B231,H157)</f>
        <v>553</v>
      </c>
      <c r="H231" s="257">
        <f t="array" ref="H231">IF(B202=B231,H202)</f>
        <v>3</v>
      </c>
      <c r="I231" s="257">
        <f t="shared" si="10"/>
        <v>-30.4</v>
      </c>
      <c r="J231" s="266">
        <f t="shared" si="11"/>
        <v>-56</v>
      </c>
      <c r="K231" s="258"/>
      <c r="L231" s="203"/>
      <c r="M231" s="203"/>
      <c r="N231" s="203"/>
      <c r="O231" s="203"/>
    </row>
    <row r="232" spans="1:15" ht="15" customHeight="1">
      <c r="A232" s="203"/>
      <c r="B232" s="268">
        <v>2025</v>
      </c>
      <c r="C232" s="269"/>
      <c r="D232" s="271">
        <f t="array" ref="D232">IF(B32=B232,H32)</f>
        <v>-429</v>
      </c>
      <c r="E232" s="271">
        <f t="array" ref="E232">IF(B66=B232,H66)</f>
        <v>11</v>
      </c>
      <c r="F232" s="271">
        <f t="array" ref="F232">IF(B116=B232,H116)</f>
        <v>-397</v>
      </c>
      <c r="G232" s="271">
        <f t="array" ref="G232">IF(B158=B232,H158)</f>
        <v>570</v>
      </c>
      <c r="H232" s="271">
        <f t="array" ref="H232">IF(B203=B232,H203)</f>
        <v>2</v>
      </c>
      <c r="I232" s="271">
        <f t="shared" si="10"/>
        <v>-48.6</v>
      </c>
      <c r="J232" s="273">
        <f t="shared" si="11"/>
        <v>-85</v>
      </c>
      <c r="K232" s="272"/>
      <c r="L232" s="203"/>
      <c r="M232" s="203"/>
      <c r="N232" s="203"/>
      <c r="O232" s="203"/>
    </row>
    <row r="233" spans="1:15" ht="15" customHeight="1">
      <c r="A233" s="203"/>
      <c r="B233" s="220">
        <v>2026</v>
      </c>
      <c r="C233" s="221"/>
      <c r="D233" s="257">
        <f t="array" ref="D233">IF(B33=B233,H33)</f>
        <v>-480</v>
      </c>
      <c r="E233" s="257">
        <f t="array" ref="E233">IF(B67=B233,H67)</f>
        <v>9</v>
      </c>
      <c r="F233" s="257">
        <f t="array" ref="F233">IF(B117=B233,H117)</f>
        <v>-450</v>
      </c>
      <c r="G233" s="257">
        <f t="array" ref="G233">IF(B159=B233,H159)</f>
        <v>587</v>
      </c>
      <c r="H233" s="257">
        <f t="array" ref="H233">IF(B204=B233,H204)</f>
        <v>2</v>
      </c>
      <c r="I233" s="257">
        <f t="shared" si="10"/>
        <v>-66.400000000000006</v>
      </c>
      <c r="J233" s="266">
        <f t="shared" si="11"/>
        <v>-114</v>
      </c>
      <c r="K233" s="258"/>
      <c r="L233" s="203"/>
      <c r="M233" s="203"/>
      <c r="N233" s="203"/>
      <c r="O233" s="203"/>
    </row>
    <row r="234" spans="1:15" ht="15" customHeight="1">
      <c r="A234" s="203"/>
      <c r="B234" s="220">
        <v>2027</v>
      </c>
      <c r="C234" s="221"/>
      <c r="D234" s="257">
        <f t="array" ref="D234">IF(B34=B234,H34)</f>
        <v>-532</v>
      </c>
      <c r="E234" s="257">
        <f t="array" ref="E234">IF(B68=B234,H68)</f>
        <v>7</v>
      </c>
      <c r="F234" s="257">
        <f t="array" ref="F234">IF(B118=B234,H118)</f>
        <v>-502</v>
      </c>
      <c r="G234" s="257">
        <f t="array" ref="G234">IF(B160=B234,H160)</f>
        <v>604</v>
      </c>
      <c r="H234" s="257">
        <f t="array" ref="H234">IF(B205=B234,H205)</f>
        <v>1</v>
      </c>
      <c r="I234" s="257">
        <f t="shared" si="10"/>
        <v>-84.4</v>
      </c>
      <c r="J234" s="266">
        <f t="shared" si="11"/>
        <v>-143</v>
      </c>
      <c r="K234" s="258"/>
      <c r="L234" s="203"/>
      <c r="M234" s="203"/>
      <c r="N234" s="203"/>
      <c r="O234" s="203"/>
    </row>
    <row r="235" spans="1:15" ht="15" customHeight="1">
      <c r="A235" s="203"/>
      <c r="B235" s="220">
        <v>2028</v>
      </c>
      <c r="C235" s="221"/>
      <c r="D235" s="257">
        <f t="array" ref="D235">IF(B35=B235,H35)</f>
        <v>-583</v>
      </c>
      <c r="E235" s="257">
        <f t="array" ref="E235">IF(B69=B235,H69)</f>
        <v>6</v>
      </c>
      <c r="F235" s="257">
        <f t="array" ref="F235">IF(B119=B235,H119)</f>
        <v>-554</v>
      </c>
      <c r="G235" s="257">
        <f t="array" ref="G235">IF(B161=B235,H161)</f>
        <v>621</v>
      </c>
      <c r="H235" s="257">
        <f t="array" ref="H235">IF(B206=B235,H206)</f>
        <v>1</v>
      </c>
      <c r="I235" s="257">
        <f t="shared" si="10"/>
        <v>-101.8</v>
      </c>
      <c r="J235" s="266">
        <f t="shared" si="11"/>
        <v>-172</v>
      </c>
      <c r="K235" s="258"/>
      <c r="L235" s="203"/>
      <c r="M235" s="203"/>
      <c r="N235" s="203"/>
      <c r="O235" s="203"/>
    </row>
    <row r="236" spans="1:15" ht="15" customHeight="1">
      <c r="A236" s="203"/>
      <c r="B236" s="220">
        <v>2029</v>
      </c>
      <c r="C236" s="221"/>
      <c r="D236" s="257">
        <f t="array" ref="D236">IF(B36=B236,H36)</f>
        <v>-635</v>
      </c>
      <c r="E236" s="257">
        <f t="array" ref="E236">IF(B70=B236,H70)</f>
        <v>4</v>
      </c>
      <c r="F236" s="257">
        <f t="array" ref="F236">IF(B120=B236,H120)</f>
        <v>-607</v>
      </c>
      <c r="G236" s="257">
        <f t="array" ref="G236">IF(B162=B236,H162)</f>
        <v>638</v>
      </c>
      <c r="H236" s="257">
        <f t="array" ref="H236">IF(B207=B236,H207)</f>
        <v>1</v>
      </c>
      <c r="I236" s="257">
        <f t="shared" si="10"/>
        <v>-119.8</v>
      </c>
      <c r="J236" s="266">
        <f t="shared" si="11"/>
        <v>-201</v>
      </c>
      <c r="K236" s="258"/>
      <c r="L236" s="203"/>
      <c r="M236" s="203"/>
      <c r="N236" s="203"/>
      <c r="O236" s="203"/>
    </row>
    <row r="237" spans="1:15" ht="15" customHeight="1">
      <c r="A237" s="203"/>
      <c r="B237" s="268">
        <v>2030</v>
      </c>
      <c r="C237" s="269"/>
      <c r="D237" s="271">
        <f t="array" ref="D237">IF(B37=B237,H37)</f>
        <v>-686</v>
      </c>
      <c r="E237" s="271">
        <f t="array" ref="E237">IF(B71=B237,H71)</f>
        <v>4</v>
      </c>
      <c r="F237" s="271">
        <f t="array" ref="F237">IF(B121=B237,H121)</f>
        <v>-659</v>
      </c>
      <c r="G237" s="271">
        <f t="array" ref="G237">IF(B163=B237,H163)</f>
        <v>655</v>
      </c>
      <c r="H237" s="271">
        <f t="array" ref="H237">IF(B208=B237,H208)</f>
        <v>1</v>
      </c>
      <c r="I237" s="271">
        <f t="shared" si="10"/>
        <v>-137</v>
      </c>
      <c r="J237" s="273">
        <f t="shared" si="11"/>
        <v>-230</v>
      </c>
      <c r="K237" s="272"/>
      <c r="L237" s="203"/>
      <c r="M237" s="203"/>
      <c r="N237" s="203"/>
      <c r="O237" s="203"/>
    </row>
    <row r="238" spans="1:15" ht="15" customHeight="1">
      <c r="A238" s="203"/>
      <c r="B238" s="220">
        <v>2031</v>
      </c>
      <c r="C238" s="221"/>
      <c r="D238" s="257">
        <f t="array" ref="D238">IF(B38=B238,H38)</f>
        <v>-738</v>
      </c>
      <c r="E238" s="257">
        <f t="array" ref="E238">IF(B72=B238,H72)</f>
        <v>3</v>
      </c>
      <c r="F238" s="257">
        <f t="array" ref="F238">IF(B122=B238,H122)</f>
        <v>-711</v>
      </c>
      <c r="G238" s="257">
        <f t="array" ref="G238">IF(B164=B238,H164)</f>
        <v>672</v>
      </c>
      <c r="H238" s="257">
        <f t="array" ref="H238">IF(B209=B238,H209)</f>
        <v>1</v>
      </c>
      <c r="I238" s="257">
        <f t="shared" si="10"/>
        <v>-154.6</v>
      </c>
      <c r="J238" s="266">
        <f t="shared" si="11"/>
        <v>-259</v>
      </c>
      <c r="K238" s="258"/>
      <c r="L238" s="203"/>
      <c r="M238" s="203"/>
      <c r="N238" s="203"/>
      <c r="O238" s="203"/>
    </row>
    <row r="239" spans="1:15" ht="15" customHeight="1">
      <c r="A239" s="203"/>
      <c r="B239" s="220">
        <v>2032</v>
      </c>
      <c r="C239" s="221"/>
      <c r="D239" s="257">
        <f t="array" ref="D239">IF(B39=B239,H39)</f>
        <v>-789</v>
      </c>
      <c r="E239" s="257">
        <f t="array" ref="E239">IF(B73=B239,H73)</f>
        <v>2</v>
      </c>
      <c r="F239" s="257">
        <f t="array" ref="F239">IF(B123=B239,H123)</f>
        <v>-763</v>
      </c>
      <c r="G239" s="257">
        <f t="array" ref="G239">IF(B165=B239,H165)</f>
        <v>690</v>
      </c>
      <c r="H239" s="257">
        <f t="array" ref="H239">IF(B210=B239,H210)</f>
        <v>1</v>
      </c>
      <c r="I239" s="257">
        <f t="shared" si="10"/>
        <v>-171.8</v>
      </c>
      <c r="J239" s="266">
        <f t="shared" si="11"/>
        <v>-287</v>
      </c>
      <c r="K239" s="258"/>
      <c r="L239" s="203"/>
      <c r="M239" s="203"/>
      <c r="N239" s="203"/>
      <c r="O239" s="203"/>
    </row>
    <row r="240" spans="1:15" ht="15" customHeight="1">
      <c r="A240" s="203"/>
      <c r="B240" s="220">
        <v>2033</v>
      </c>
      <c r="C240" s="221"/>
      <c r="D240" s="257">
        <f t="array" ref="D240">IF(B40=B240,H40)</f>
        <v>-841</v>
      </c>
      <c r="E240" s="257">
        <f t="array" ref="E240">IF(B74=B240,H74)</f>
        <v>2</v>
      </c>
      <c r="F240" s="257">
        <f t="array" ref="F240">IF(B124=B240,H124)</f>
        <v>-816</v>
      </c>
      <c r="G240" s="257">
        <f t="array" ref="G240">IF(B166=B240,H166)</f>
        <v>707</v>
      </c>
      <c r="H240" s="257">
        <f t="array" ref="H240">IF(B211=B240,H211)</f>
        <v>1</v>
      </c>
      <c r="I240" s="257">
        <f t="shared" si="10"/>
        <v>-189.4</v>
      </c>
      <c r="J240" s="266">
        <f t="shared" si="11"/>
        <v>-317</v>
      </c>
      <c r="K240" s="258"/>
      <c r="L240" s="203"/>
      <c r="M240" s="203"/>
      <c r="N240" s="203"/>
      <c r="O240" s="203"/>
    </row>
    <row r="241" spans="1:15" ht="15" customHeight="1">
      <c r="A241" s="203"/>
      <c r="B241" s="220">
        <v>2034</v>
      </c>
      <c r="C241" s="221"/>
      <c r="D241" s="257">
        <f t="array" ref="D241">IF(B41=B241,H41)</f>
        <v>-892</v>
      </c>
      <c r="E241" s="257">
        <f t="array" ref="E241">IF(B75=B241,H75)</f>
        <v>1</v>
      </c>
      <c r="F241" s="257">
        <f t="array" ref="F241">IF(B125=B241,H125)</f>
        <v>-868</v>
      </c>
      <c r="G241" s="257">
        <f t="array" ref="G241">IF(B167=B241,H167)</f>
        <v>725</v>
      </c>
      <c r="H241" s="257">
        <f t="array" ref="H241">IF(B212=B241,H212)</f>
        <v>1</v>
      </c>
      <c r="I241" s="257">
        <f t="shared" si="10"/>
        <v>-206.6</v>
      </c>
      <c r="J241" s="266">
        <f t="shared" si="11"/>
        <v>-345</v>
      </c>
      <c r="K241" s="258"/>
      <c r="L241" s="203"/>
      <c r="M241" s="203"/>
      <c r="N241" s="203"/>
      <c r="O241" s="203"/>
    </row>
    <row r="242" spans="1:15" ht="15" customHeight="1" thickBot="1">
      <c r="A242" s="203"/>
      <c r="B242" s="268">
        <v>2035</v>
      </c>
      <c r="C242" s="269"/>
      <c r="D242" s="271">
        <f t="array" ref="D242">IF(B42=B242,H42)</f>
        <v>-944</v>
      </c>
      <c r="E242" s="271">
        <f t="array" ref="E242">IF(B76=B242,H76)</f>
        <v>1</v>
      </c>
      <c r="F242" s="271">
        <f t="array" ref="F242">IF(B126=B242,H126)</f>
        <v>-920</v>
      </c>
      <c r="G242" s="271">
        <f t="array" ref="G242">IF(B168=B242,H168)</f>
        <v>743</v>
      </c>
      <c r="H242" s="271">
        <f t="array" ref="H242">IF(B213=B242,H213)</f>
        <v>1</v>
      </c>
      <c r="I242" s="271">
        <f t="shared" si="10"/>
        <v>-223.8</v>
      </c>
      <c r="J242" s="273">
        <f t="shared" si="11"/>
        <v>-374</v>
      </c>
      <c r="K242" s="272"/>
      <c r="L242" s="203"/>
      <c r="M242" s="203"/>
      <c r="N242" s="203"/>
      <c r="O242" s="203"/>
    </row>
    <row r="243" spans="1:15">
      <c r="B243" s="226"/>
      <c r="C243" s="226"/>
      <c r="D243" s="226"/>
      <c r="E243" s="226"/>
      <c r="F243" s="226"/>
      <c r="G243" s="226"/>
      <c r="H243" s="226"/>
      <c r="I243" s="226"/>
      <c r="J243" s="226"/>
      <c r="K243" s="226"/>
    </row>
  </sheetData>
  <mergeCells count="1">
    <mergeCell ref="E177:F177"/>
  </mergeCells>
  <phoneticPr fontId="7" type="noConversion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"/>
  <sheetViews>
    <sheetView workbookViewId="0"/>
  </sheetViews>
  <sheetFormatPr defaultRowHeight="13.5"/>
  <cols>
    <col min="1" max="16384" width="8.88671875" style="812"/>
  </cols>
  <sheetData/>
  <phoneticPr fontId="7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>
      <selection activeCell="D7" sqref="D7"/>
    </sheetView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1006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1007</v>
      </c>
      <c r="C4" s="197">
        <v>2016</v>
      </c>
    </row>
    <row r="5" spans="1:15" ht="15" customHeight="1" thickBot="1">
      <c r="A5" s="198"/>
      <c r="B5" s="196" t="s">
        <v>1008</v>
      </c>
      <c r="C5" s="199"/>
      <c r="D5" s="196" t="s">
        <v>1776</v>
      </c>
      <c r="F5" s="200" t="s">
        <v>1009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1010</v>
      </c>
      <c r="C6" s="202"/>
      <c r="D6" s="202" t="s">
        <v>1011</v>
      </c>
      <c r="E6" s="202"/>
      <c r="F6" s="202" t="s">
        <v>1012</v>
      </c>
      <c r="G6" s="202"/>
      <c r="H6" s="202" t="s">
        <v>1013</v>
      </c>
      <c r="I6" s="202"/>
      <c r="J6" s="202" t="s">
        <v>1014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실적산정'!I11</f>
        <v>303.52531095833643</v>
      </c>
      <c r="E7" s="844"/>
      <c r="F7" s="206">
        <v>0</v>
      </c>
      <c r="G7" s="206"/>
      <c r="H7" s="207">
        <v>0</v>
      </c>
      <c r="I7" s="208"/>
      <c r="J7" s="209" t="s">
        <v>1015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실적산정'!I12</f>
        <v>290.18562621258206</v>
      </c>
      <c r="E8" s="844"/>
      <c r="F8" s="206">
        <f t="shared" ref="F8:F12" si="1">D8-D7</f>
        <v>-13.339684745754369</v>
      </c>
      <c r="G8" s="206"/>
      <c r="H8" s="207">
        <f t="shared" ref="H8:H12" si="2">ROUND(F8/D7*100,2)</f>
        <v>-4.3899999999999997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실적산정'!I13</f>
        <v>307.57328082032461</v>
      </c>
      <c r="E9" s="844"/>
      <c r="F9" s="206">
        <f t="shared" si="1"/>
        <v>17.387654607742547</v>
      </c>
      <c r="G9" s="206"/>
      <c r="H9" s="207">
        <f t="shared" si="2"/>
        <v>5.99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실적산정'!I14</f>
        <v>404.04147105426927</v>
      </c>
      <c r="E10" s="844"/>
      <c r="F10" s="206">
        <f t="shared" si="1"/>
        <v>96.468190233944654</v>
      </c>
      <c r="G10" s="206"/>
      <c r="H10" s="207">
        <f t="shared" si="2"/>
        <v>31.36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실적산정'!I15</f>
        <v>315.93575036474795</v>
      </c>
      <c r="E11" s="844"/>
      <c r="F11" s="206">
        <f t="shared" si="1"/>
        <v>-88.10572068952132</v>
      </c>
      <c r="G11" s="206"/>
      <c r="H11" s="207">
        <f t="shared" si="2"/>
        <v>-21.81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실적산정'!I16</f>
        <v>256.95970175352454</v>
      </c>
      <c r="E12" s="844"/>
      <c r="F12" s="206">
        <f t="shared" si="1"/>
        <v>-58.976048611223405</v>
      </c>
      <c r="G12" s="206"/>
      <c r="H12" s="207">
        <f t="shared" si="2"/>
        <v>-18.670000000000002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1016</v>
      </c>
      <c r="C13" s="212"/>
      <c r="D13" s="213">
        <f>SUM(D7:D12)</f>
        <v>1878.2211411637848</v>
      </c>
      <c r="E13" s="214"/>
      <c r="F13" s="215"/>
      <c r="G13" s="215"/>
      <c r="H13" s="918">
        <f>SUM(H7:H12)</f>
        <v>-7.52</v>
      </c>
      <c r="I13" s="216"/>
      <c r="J13" s="217">
        <f>ROUND(AVERAGE(H7:H12),1)</f>
        <v>-1.3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1017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1018</v>
      </c>
      <c r="D16" s="219" t="s">
        <v>1019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1020</v>
      </c>
      <c r="D17" s="219" t="s">
        <v>1021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1022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1023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1024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1010</v>
      </c>
      <c r="C21" s="202"/>
      <c r="D21" s="202" t="s">
        <v>1025</v>
      </c>
      <c r="E21" s="202"/>
      <c r="F21" s="202" t="s">
        <v>1026</v>
      </c>
      <c r="G21" s="202"/>
      <c r="H21" s="202" t="s">
        <v>1027</v>
      </c>
      <c r="I21" s="202"/>
      <c r="J21" s="202" t="s">
        <v>1014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257</v>
      </c>
      <c r="E22" s="221"/>
      <c r="F22" s="221">
        <v>0</v>
      </c>
      <c r="G22" s="221"/>
      <c r="H22" s="221">
        <f t="shared" ref="H22:H36" si="4">ROUND(D22*(1+F22),0)</f>
        <v>257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248</v>
      </c>
      <c r="E23" s="221"/>
      <c r="F23" s="221">
        <v>0</v>
      </c>
      <c r="G23" s="221"/>
      <c r="H23" s="221">
        <f t="shared" si="4"/>
        <v>248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238</v>
      </c>
      <c r="E24" s="221"/>
      <c r="F24" s="221">
        <v>0</v>
      </c>
      <c r="G24" s="221"/>
      <c r="H24" s="221">
        <f t="shared" si="4"/>
        <v>238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229</v>
      </c>
      <c r="E25" s="221"/>
      <c r="F25" s="221">
        <v>0</v>
      </c>
      <c r="G25" s="221"/>
      <c r="H25" s="221">
        <f t="shared" si="4"/>
        <v>229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220</v>
      </c>
      <c r="E26" s="269"/>
      <c r="F26" s="269">
        <v>0</v>
      </c>
      <c r="G26" s="269"/>
      <c r="H26" s="269">
        <f t="shared" si="4"/>
        <v>220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210</v>
      </c>
      <c r="E27" s="221"/>
      <c r="F27" s="221">
        <v>0</v>
      </c>
      <c r="G27" s="221"/>
      <c r="H27" s="221">
        <f t="shared" si="4"/>
        <v>210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201</v>
      </c>
      <c r="E28" s="221"/>
      <c r="F28" s="221">
        <v>0</v>
      </c>
      <c r="G28" s="221"/>
      <c r="H28" s="221">
        <f t="shared" si="4"/>
        <v>201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192</v>
      </c>
      <c r="E29" s="221"/>
      <c r="F29" s="221">
        <v>0</v>
      </c>
      <c r="G29" s="221"/>
      <c r="H29" s="221">
        <f t="shared" si="4"/>
        <v>192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183</v>
      </c>
      <c r="E30" s="221"/>
      <c r="F30" s="221">
        <v>0</v>
      </c>
      <c r="G30" s="221"/>
      <c r="H30" s="221">
        <f t="shared" si="4"/>
        <v>183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173</v>
      </c>
      <c r="E31" s="269"/>
      <c r="F31" s="269">
        <v>0</v>
      </c>
      <c r="G31" s="269"/>
      <c r="H31" s="269">
        <f t="shared" si="4"/>
        <v>173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164</v>
      </c>
      <c r="E32" s="221"/>
      <c r="F32" s="221">
        <v>0</v>
      </c>
      <c r="G32" s="221"/>
      <c r="H32" s="221">
        <f t="shared" si="4"/>
        <v>164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155</v>
      </c>
      <c r="E33" s="221"/>
      <c r="F33" s="221">
        <v>0</v>
      </c>
      <c r="G33" s="221"/>
      <c r="H33" s="221">
        <f t="shared" si="4"/>
        <v>155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145</v>
      </c>
      <c r="E34" s="221"/>
      <c r="F34" s="221">
        <v>0</v>
      </c>
      <c r="G34" s="221"/>
      <c r="H34" s="221">
        <f t="shared" si="4"/>
        <v>145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136</v>
      </c>
      <c r="E35" s="221"/>
      <c r="F35" s="221">
        <v>0</v>
      </c>
      <c r="G35" s="221"/>
      <c r="H35" s="221">
        <f t="shared" si="4"/>
        <v>136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127</v>
      </c>
      <c r="E36" s="269"/>
      <c r="F36" s="269">
        <v>0</v>
      </c>
      <c r="G36" s="269"/>
      <c r="H36" s="269">
        <f t="shared" si="4"/>
        <v>127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117</v>
      </c>
      <c r="E37" s="221"/>
      <c r="F37" s="221">
        <v>0</v>
      </c>
      <c r="G37" s="221"/>
      <c r="H37" s="221">
        <f>ROUND(D37*(1+F37),0)</f>
        <v>117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108</v>
      </c>
      <c r="E38" s="221"/>
      <c r="F38" s="221">
        <v>0</v>
      </c>
      <c r="G38" s="221"/>
      <c r="H38" s="221">
        <f>ROUND(D38*(1+F38),0)</f>
        <v>108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99</v>
      </c>
      <c r="E39" s="221"/>
      <c r="F39" s="221">
        <v>0</v>
      </c>
      <c r="G39" s="221"/>
      <c r="H39" s="221">
        <f>ROUND(D39*(1+F39),0)</f>
        <v>99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90</v>
      </c>
      <c r="E40" s="221"/>
      <c r="F40" s="221">
        <v>0</v>
      </c>
      <c r="G40" s="221"/>
      <c r="H40" s="221">
        <f>ROUND(D40*(1+F40),0)</f>
        <v>90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80</v>
      </c>
      <c r="E41" s="269"/>
      <c r="F41" s="269">
        <v>0</v>
      </c>
      <c r="G41" s="269"/>
      <c r="H41" s="269">
        <f>ROUND(D41*(1+F41),0)</f>
        <v>80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1028</v>
      </c>
      <c r="C42" s="223"/>
      <c r="D42" s="224" t="s">
        <v>1029</v>
      </c>
      <c r="E42" s="225">
        <f>D$12</f>
        <v>256.95970175352454</v>
      </c>
      <c r="F42" s="226"/>
      <c r="G42" s="224" t="s">
        <v>1030</v>
      </c>
      <c r="H42" s="224">
        <f>ROUND((D$12-D7)/(COUNT(D$7:D$12)-1),1)</f>
        <v>-9.3000000000000007</v>
      </c>
      <c r="I42" s="224"/>
      <c r="J42" s="224" t="s">
        <v>1031</v>
      </c>
      <c r="K42" s="227" t="s">
        <v>1032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1033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1018</v>
      </c>
      <c r="D47" s="219" t="s">
        <v>1034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1020</v>
      </c>
      <c r="D48" s="219" t="s">
        <v>1021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1022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1035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1036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1010</v>
      </c>
      <c r="C53" s="202"/>
      <c r="D53" s="202" t="s">
        <v>1025</v>
      </c>
      <c r="E53" s="202"/>
      <c r="F53" s="202" t="s">
        <v>1026</v>
      </c>
      <c r="G53" s="202"/>
      <c r="H53" s="202" t="s">
        <v>1027</v>
      </c>
      <c r="I53" s="202"/>
      <c r="J53" s="202" t="s">
        <v>1014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257</v>
      </c>
      <c r="E54" s="221"/>
      <c r="F54" s="221">
        <v>0</v>
      </c>
      <c r="G54" s="221"/>
      <c r="H54" s="221">
        <f t="shared" ref="H54:H68" si="6">ROUND(D54*(1+F54),0)</f>
        <v>257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249</v>
      </c>
      <c r="E55" s="221"/>
      <c r="F55" s="221">
        <v>0</v>
      </c>
      <c r="G55" s="221"/>
      <c r="H55" s="221">
        <f t="shared" si="6"/>
        <v>249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240</v>
      </c>
      <c r="E56" s="221"/>
      <c r="F56" s="221">
        <v>0</v>
      </c>
      <c r="G56" s="221"/>
      <c r="H56" s="221">
        <f t="shared" si="6"/>
        <v>240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233</v>
      </c>
      <c r="E57" s="221"/>
      <c r="F57" s="221">
        <v>0</v>
      </c>
      <c r="G57" s="221"/>
      <c r="H57" s="221">
        <f t="shared" si="6"/>
        <v>233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225</v>
      </c>
      <c r="E58" s="269"/>
      <c r="F58" s="269">
        <v>0</v>
      </c>
      <c r="G58" s="269"/>
      <c r="H58" s="269">
        <f t="shared" si="6"/>
        <v>225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218</v>
      </c>
      <c r="E59" s="221"/>
      <c r="F59" s="221">
        <v>0</v>
      </c>
      <c r="G59" s="221"/>
      <c r="H59" s="221">
        <f t="shared" si="6"/>
        <v>218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210</v>
      </c>
      <c r="E60" s="221"/>
      <c r="F60" s="221">
        <v>0</v>
      </c>
      <c r="G60" s="221"/>
      <c r="H60" s="221">
        <f t="shared" si="6"/>
        <v>210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204</v>
      </c>
      <c r="E61" s="221"/>
      <c r="F61" s="221">
        <v>0</v>
      </c>
      <c r="G61" s="221"/>
      <c r="H61" s="221">
        <f t="shared" si="6"/>
        <v>204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197</v>
      </c>
      <c r="E62" s="221"/>
      <c r="F62" s="221">
        <v>0</v>
      </c>
      <c r="G62" s="221"/>
      <c r="H62" s="221">
        <f t="shared" si="6"/>
        <v>197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190</v>
      </c>
      <c r="E63" s="269"/>
      <c r="F63" s="269">
        <v>0</v>
      </c>
      <c r="G63" s="269"/>
      <c r="H63" s="269">
        <f t="shared" si="6"/>
        <v>190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184</v>
      </c>
      <c r="E64" s="221"/>
      <c r="F64" s="221">
        <v>0</v>
      </c>
      <c r="G64" s="221"/>
      <c r="H64" s="221">
        <f t="shared" si="6"/>
        <v>184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178</v>
      </c>
      <c r="E65" s="221"/>
      <c r="F65" s="221">
        <v>0</v>
      </c>
      <c r="G65" s="221"/>
      <c r="H65" s="221">
        <f t="shared" si="6"/>
        <v>178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172</v>
      </c>
      <c r="E66" s="221"/>
      <c r="F66" s="221">
        <v>0</v>
      </c>
      <c r="G66" s="221"/>
      <c r="H66" s="221">
        <f t="shared" si="6"/>
        <v>172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167</v>
      </c>
      <c r="E67" s="221"/>
      <c r="F67" s="221">
        <v>0</v>
      </c>
      <c r="G67" s="221"/>
      <c r="H67" s="221">
        <f t="shared" si="6"/>
        <v>167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161</v>
      </c>
      <c r="E68" s="269"/>
      <c r="F68" s="269">
        <v>0</v>
      </c>
      <c r="G68" s="269"/>
      <c r="H68" s="269">
        <f t="shared" si="6"/>
        <v>161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156</v>
      </c>
      <c r="E69" s="221"/>
      <c r="F69" s="221">
        <v>0</v>
      </c>
      <c r="G69" s="221"/>
      <c r="H69" s="221">
        <f>ROUND(D69*(1+F69),0)</f>
        <v>156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151</v>
      </c>
      <c r="E70" s="221"/>
      <c r="F70" s="221">
        <v>0</v>
      </c>
      <c r="G70" s="221"/>
      <c r="H70" s="221">
        <f>ROUND(D70*(1+F70),0)</f>
        <v>151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146</v>
      </c>
      <c r="E71" s="221"/>
      <c r="F71" s="221">
        <v>0</v>
      </c>
      <c r="G71" s="221"/>
      <c r="H71" s="221">
        <f>ROUND(D71*(1+F71),0)</f>
        <v>146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141</v>
      </c>
      <c r="E72" s="221"/>
      <c r="F72" s="221">
        <v>0</v>
      </c>
      <c r="G72" s="221"/>
      <c r="H72" s="221">
        <f>ROUND(D72*(1+F72),0)</f>
        <v>141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136</v>
      </c>
      <c r="E73" s="269"/>
      <c r="F73" s="269">
        <v>0</v>
      </c>
      <c r="G73" s="269"/>
      <c r="H73" s="269">
        <f>ROUND(D73*(1+F73),0)</f>
        <v>136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1037</v>
      </c>
      <c r="C74" s="223"/>
      <c r="D74" s="224" t="s">
        <v>1038</v>
      </c>
      <c r="E74" s="225">
        <f>D$12</f>
        <v>256.95970175352454</v>
      </c>
      <c r="F74" s="226"/>
      <c r="G74" s="224" t="s">
        <v>1039</v>
      </c>
      <c r="H74" s="224">
        <f>ROUND((E$74/D$7)^(1/(COUNT(D$7:D$12)-1)),6)</f>
        <v>0.96723899999999996</v>
      </c>
      <c r="I74" s="224"/>
      <c r="J74" s="224" t="s">
        <v>1040</v>
      </c>
      <c r="K74" s="227" t="s">
        <v>1041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1042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1043</v>
      </c>
      <c r="D85" s="219" t="s">
        <v>1044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1045</v>
      </c>
      <c r="D86" s="219" t="s">
        <v>1046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1047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1048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1049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1050</v>
      </c>
      <c r="C90" s="202"/>
      <c r="D90" s="202" t="s">
        <v>1051</v>
      </c>
      <c r="E90" s="202" t="s">
        <v>1052</v>
      </c>
      <c r="F90" s="202" t="s">
        <v>1053</v>
      </c>
      <c r="G90" s="202"/>
      <c r="H90" s="202" t="s">
        <v>1054</v>
      </c>
      <c r="I90" s="202"/>
      <c r="J90" s="202" t="s">
        <v>1055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303.52531095833643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-758.81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290.18562621258206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-435.28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307.57328082032461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-153.79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404.04147105426927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202.02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315.93575036474795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473.9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256.95970175352454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642.4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146</v>
      </c>
      <c r="C97" s="212"/>
      <c r="D97" s="232">
        <f>SUM(D91:D96)</f>
        <v>1878.2211411637848</v>
      </c>
      <c r="E97" s="215"/>
      <c r="F97" s="233">
        <f>ROUND(SUM(F91:F96),0)</f>
        <v>18</v>
      </c>
      <c r="G97" s="212"/>
      <c r="H97" s="234">
        <f>SUM(H91:H96)</f>
        <v>-29.559999999999945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197</v>
      </c>
      <c r="C98" s="208"/>
      <c r="D98" s="236" t="s">
        <v>198</v>
      </c>
      <c r="E98" s="203"/>
      <c r="F98" s="203"/>
      <c r="G98" s="201">
        <f>((COUNT(B$91:B$96))*H$97-D$97*E$97)/((COUNT(B$91:B$96))*F$97-E$97*E$97)</f>
        <v>-1.6422222222222191</v>
      </c>
      <c r="H98" s="236" t="s">
        <v>199</v>
      </c>
      <c r="I98" s="201"/>
      <c r="J98" s="201"/>
      <c r="K98" s="201">
        <f>ROUND((F97*D97-H97*E97)/(COUNT(B$91:B$96)*F97-E97*E97),0)</f>
        <v>313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200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141</v>
      </c>
      <c r="C102" s="202"/>
      <c r="D102" s="202" t="s">
        <v>156</v>
      </c>
      <c r="E102" s="202"/>
      <c r="F102" s="202" t="s">
        <v>157</v>
      </c>
      <c r="G102" s="202"/>
      <c r="H102" s="202" t="s">
        <v>158</v>
      </c>
      <c r="I102" s="202"/>
      <c r="J102" s="202" t="s">
        <v>144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309</v>
      </c>
      <c r="E103" s="221"/>
      <c r="F103" s="221">
        <v>0</v>
      </c>
      <c r="G103" s="221"/>
      <c r="H103" s="221">
        <f t="shared" ref="H103:H117" si="13">ROUND(D103*(1+F103),0)</f>
        <v>309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308</v>
      </c>
      <c r="E104" s="221"/>
      <c r="F104" s="221">
        <v>0</v>
      </c>
      <c r="G104" s="221"/>
      <c r="H104" s="221">
        <f t="shared" si="13"/>
        <v>308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306</v>
      </c>
      <c r="E105" s="221"/>
      <c r="F105" s="221">
        <v>0</v>
      </c>
      <c r="G105" s="221"/>
      <c r="H105" s="221">
        <f t="shared" si="13"/>
        <v>306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304</v>
      </c>
      <c r="E106" s="221"/>
      <c r="F106" s="221">
        <v>0</v>
      </c>
      <c r="G106" s="221"/>
      <c r="H106" s="221">
        <f t="shared" si="13"/>
        <v>304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303</v>
      </c>
      <c r="E107" s="269"/>
      <c r="F107" s="269">
        <v>0</v>
      </c>
      <c r="G107" s="269"/>
      <c r="H107" s="269">
        <f t="shared" si="13"/>
        <v>303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301</v>
      </c>
      <c r="E108" s="221"/>
      <c r="F108" s="221">
        <v>0</v>
      </c>
      <c r="G108" s="221"/>
      <c r="H108" s="221">
        <f t="shared" si="13"/>
        <v>301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300</v>
      </c>
      <c r="E109" s="221"/>
      <c r="F109" s="221">
        <v>0</v>
      </c>
      <c r="G109" s="221"/>
      <c r="H109" s="221">
        <f t="shared" si="13"/>
        <v>300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298</v>
      </c>
      <c r="E110" s="221"/>
      <c r="F110" s="221">
        <v>0</v>
      </c>
      <c r="G110" s="221"/>
      <c r="H110" s="221">
        <f t="shared" si="13"/>
        <v>298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296</v>
      </c>
      <c r="E111" s="221"/>
      <c r="F111" s="221">
        <v>0</v>
      </c>
      <c r="G111" s="221"/>
      <c r="H111" s="221">
        <f t="shared" si="13"/>
        <v>296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295</v>
      </c>
      <c r="E112" s="269"/>
      <c r="F112" s="269">
        <v>0</v>
      </c>
      <c r="G112" s="269"/>
      <c r="H112" s="269">
        <f t="shared" si="13"/>
        <v>295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293</v>
      </c>
      <c r="E113" s="221"/>
      <c r="F113" s="221">
        <v>0</v>
      </c>
      <c r="G113" s="221"/>
      <c r="H113" s="221">
        <f t="shared" si="13"/>
        <v>293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291</v>
      </c>
      <c r="E114" s="221"/>
      <c r="F114" s="221">
        <v>0</v>
      </c>
      <c r="G114" s="221"/>
      <c r="H114" s="221">
        <f t="shared" si="13"/>
        <v>291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290</v>
      </c>
      <c r="E115" s="221"/>
      <c r="F115" s="221">
        <v>0</v>
      </c>
      <c r="G115" s="221"/>
      <c r="H115" s="221">
        <f t="shared" si="13"/>
        <v>290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288</v>
      </c>
      <c r="E116" s="221"/>
      <c r="F116" s="221">
        <v>0</v>
      </c>
      <c r="G116" s="221"/>
      <c r="H116" s="221">
        <f t="shared" si="13"/>
        <v>288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286</v>
      </c>
      <c r="E117" s="269"/>
      <c r="F117" s="269">
        <v>0</v>
      </c>
      <c r="G117" s="269"/>
      <c r="H117" s="269">
        <f t="shared" si="13"/>
        <v>286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285</v>
      </c>
      <c r="E118" s="221"/>
      <c r="F118" s="221">
        <v>0</v>
      </c>
      <c r="G118" s="221"/>
      <c r="H118" s="221">
        <f>ROUND(D118*(1+F118),0)</f>
        <v>285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283</v>
      </c>
      <c r="E119" s="221"/>
      <c r="F119" s="221">
        <v>0</v>
      </c>
      <c r="G119" s="221"/>
      <c r="H119" s="221">
        <f>ROUND(D119*(1+F119),0)</f>
        <v>283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281</v>
      </c>
      <c r="E120" s="221"/>
      <c r="F120" s="221">
        <v>0</v>
      </c>
      <c r="G120" s="221"/>
      <c r="H120" s="221">
        <f>ROUND(D120*(1+F120),0)</f>
        <v>281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280</v>
      </c>
      <c r="E121" s="221"/>
      <c r="F121" s="221">
        <v>0</v>
      </c>
      <c r="G121" s="221"/>
      <c r="H121" s="221">
        <f>ROUND(D121*(1+F121),0)</f>
        <v>280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278</v>
      </c>
      <c r="E122" s="269"/>
      <c r="F122" s="269">
        <v>0</v>
      </c>
      <c r="G122" s="269"/>
      <c r="H122" s="269">
        <f>ROUND(D122*(1+F122),0)</f>
        <v>278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203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148</v>
      </c>
      <c r="D126" s="219" t="s">
        <v>205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185</v>
      </c>
      <c r="D127" s="219" t="s">
        <v>207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208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209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210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141</v>
      </c>
      <c r="C131" s="202"/>
      <c r="D131" s="202" t="s">
        <v>191</v>
      </c>
      <c r="E131" s="202" t="s">
        <v>192</v>
      </c>
      <c r="F131" s="202" t="s">
        <v>192</v>
      </c>
      <c r="G131" s="202" t="s">
        <v>193</v>
      </c>
      <c r="H131" s="202" t="s">
        <v>215</v>
      </c>
      <c r="I131" s="202"/>
      <c r="J131" s="202" t="s">
        <v>216</v>
      </c>
      <c r="K131" s="202" t="s">
        <v>217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303.52531095833643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290.18562621258206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13.339684745754369</v>
      </c>
      <c r="I133" s="231"/>
      <c r="J133" s="247">
        <f t="shared" ref="J133:J137" si="20">IF(H133="","",LOG(H133))</f>
        <v>1.1251455661024878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307.57328082032461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17.387654607742547</v>
      </c>
      <c r="I134" s="231"/>
      <c r="J134" s="247">
        <f t="shared" si="20"/>
        <v>1.240241004681824</v>
      </c>
      <c r="K134" s="247">
        <f t="shared" si="17"/>
        <v>0.37334974426166118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404.04147105426927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96.468190233944654</v>
      </c>
      <c r="I135" s="231"/>
      <c r="J135" s="247">
        <f t="shared" si="20"/>
        <v>1.9843841311335344</v>
      </c>
      <c r="K135" s="247">
        <f t="shared" si="17"/>
        <v>0.94679184649221915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315.93575036474795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88.10572068952132</v>
      </c>
      <c r="I136" s="231"/>
      <c r="J136" s="247">
        <f t="shared" si="20"/>
        <v>1.9450041079947056</v>
      </c>
      <c r="K136" s="247">
        <f t="shared" si="17"/>
        <v>1.1710091563921436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256.95970175352454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58.976048611223405</v>
      </c>
      <c r="I137" s="231"/>
      <c r="J137" s="247">
        <f t="shared" si="20"/>
        <v>1.7706756715079397</v>
      </c>
      <c r="K137" s="247">
        <f t="shared" si="17"/>
        <v>1.2376491817915878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1056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8.0654504814204913</v>
      </c>
      <c r="K138" s="253">
        <f>IF(K137="","",SUM(K132:K137))</f>
        <v>3.7287999289376117</v>
      </c>
      <c r="L138" s="203"/>
      <c r="M138" s="203"/>
      <c r="N138" s="203"/>
      <c r="O138" s="203"/>
    </row>
    <row r="139" spans="1:15" ht="15" customHeight="1">
      <c r="A139" s="203"/>
      <c r="B139" s="208" t="s">
        <v>1057</v>
      </c>
      <c r="C139" s="208"/>
      <c r="D139" s="201" t="s">
        <v>1030</v>
      </c>
      <c r="E139" s="201">
        <f>IF(G138="",0,10^ROUND((G138*J138-F138*K138)/((COUNT(B$132:B$137)-1)*G138-F138*F138),5))</f>
        <v>12.631647566759069</v>
      </c>
      <c r="F139" s="238" t="s">
        <v>1058</v>
      </c>
      <c r="G139" s="203"/>
      <c r="H139" s="208"/>
      <c r="I139" s="203"/>
      <c r="J139" s="254">
        <f>IF(G138="",0,ROUND(((COUNT(B$132:B$137)-1)*K138-J138*F138)/((COUNT(B$132:B$137)-1)*G138-F138*F138),5))</f>
        <v>1.23037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1059</v>
      </c>
      <c r="E140" s="219"/>
      <c r="F140" s="219"/>
      <c r="G140" s="256"/>
      <c r="H140" s="201" t="s">
        <v>1060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1061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1010</v>
      </c>
      <c r="C143" s="202"/>
      <c r="D143" s="202" t="s">
        <v>1025</v>
      </c>
      <c r="E143" s="202"/>
      <c r="F143" s="202" t="s">
        <v>1026</v>
      </c>
      <c r="G143" s="202"/>
      <c r="H143" s="202" t="s">
        <v>1027</v>
      </c>
      <c r="I143" s="202"/>
      <c r="J143" s="202" t="s">
        <v>1014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396</v>
      </c>
      <c r="E144" s="257"/>
      <c r="F144" s="258">
        <v>0</v>
      </c>
      <c r="G144" s="258"/>
      <c r="H144" s="258">
        <f t="shared" ref="H144:H158" si="21">ROUND(D144*(1+F144),0)</f>
        <v>396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419</v>
      </c>
      <c r="E145" s="257"/>
      <c r="F145" s="258">
        <v>0</v>
      </c>
      <c r="G145" s="258"/>
      <c r="H145" s="258">
        <f t="shared" si="21"/>
        <v>419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442</v>
      </c>
      <c r="E146" s="257"/>
      <c r="F146" s="258">
        <v>0</v>
      </c>
      <c r="G146" s="258"/>
      <c r="H146" s="258">
        <f t="shared" si="21"/>
        <v>442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467</v>
      </c>
      <c r="E147" s="257"/>
      <c r="F147" s="258">
        <v>0</v>
      </c>
      <c r="G147" s="258"/>
      <c r="H147" s="258">
        <f t="shared" si="21"/>
        <v>467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493</v>
      </c>
      <c r="E148" s="271"/>
      <c r="F148" s="272">
        <v>0</v>
      </c>
      <c r="G148" s="272"/>
      <c r="H148" s="272">
        <f t="shared" si="21"/>
        <v>493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519</v>
      </c>
      <c r="E149" s="257"/>
      <c r="F149" s="258">
        <v>0</v>
      </c>
      <c r="G149" s="258"/>
      <c r="H149" s="258">
        <f t="shared" si="21"/>
        <v>519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545</v>
      </c>
      <c r="E150" s="257"/>
      <c r="F150" s="258">
        <v>0</v>
      </c>
      <c r="G150" s="258"/>
      <c r="H150" s="258">
        <f t="shared" si="21"/>
        <v>545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573</v>
      </c>
      <c r="E151" s="257"/>
      <c r="F151" s="258">
        <v>0</v>
      </c>
      <c r="G151" s="258"/>
      <c r="H151" s="258">
        <f t="shared" si="21"/>
        <v>573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601</v>
      </c>
      <c r="E152" s="257"/>
      <c r="F152" s="258">
        <v>0</v>
      </c>
      <c r="G152" s="258"/>
      <c r="H152" s="258">
        <f t="shared" si="21"/>
        <v>601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629</v>
      </c>
      <c r="E153" s="271"/>
      <c r="F153" s="272">
        <v>0</v>
      </c>
      <c r="G153" s="272"/>
      <c r="H153" s="272">
        <f t="shared" si="21"/>
        <v>629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658</v>
      </c>
      <c r="E154" s="257"/>
      <c r="F154" s="258">
        <v>0</v>
      </c>
      <c r="G154" s="258"/>
      <c r="H154" s="258">
        <f t="shared" si="21"/>
        <v>658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687</v>
      </c>
      <c r="E155" s="257"/>
      <c r="F155" s="258">
        <v>0</v>
      </c>
      <c r="G155" s="258"/>
      <c r="H155" s="258">
        <f t="shared" si="21"/>
        <v>687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716</v>
      </c>
      <c r="E156" s="257"/>
      <c r="F156" s="258">
        <v>0</v>
      </c>
      <c r="G156" s="258"/>
      <c r="H156" s="258">
        <f t="shared" si="21"/>
        <v>716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747</v>
      </c>
      <c r="E157" s="257"/>
      <c r="F157" s="258">
        <v>0</v>
      </c>
      <c r="G157" s="258"/>
      <c r="H157" s="258">
        <f t="shared" si="21"/>
        <v>747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777</v>
      </c>
      <c r="E158" s="271"/>
      <c r="F158" s="272">
        <v>0</v>
      </c>
      <c r="G158" s="272"/>
      <c r="H158" s="272">
        <f t="shared" si="21"/>
        <v>777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808</v>
      </c>
      <c r="E159" s="257"/>
      <c r="F159" s="258">
        <v>0</v>
      </c>
      <c r="G159" s="258"/>
      <c r="H159" s="258">
        <f>ROUND(D159*(1+F159),0)</f>
        <v>808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839</v>
      </c>
      <c r="E160" s="257"/>
      <c r="F160" s="258">
        <v>0</v>
      </c>
      <c r="G160" s="258"/>
      <c r="H160" s="258">
        <f>ROUND(D160*(1+F160),0)</f>
        <v>839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870</v>
      </c>
      <c r="E161" s="257"/>
      <c r="F161" s="258">
        <v>0</v>
      </c>
      <c r="G161" s="258"/>
      <c r="H161" s="258">
        <f>ROUND(D161*(1+F161),0)</f>
        <v>870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902</v>
      </c>
      <c r="E162" s="257"/>
      <c r="F162" s="258">
        <v>0</v>
      </c>
      <c r="G162" s="258"/>
      <c r="H162" s="258">
        <f>ROUND(D162*(1+F162),0)</f>
        <v>902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934</v>
      </c>
      <c r="E163" s="271"/>
      <c r="F163" s="272">
        <v>0</v>
      </c>
      <c r="G163" s="272"/>
      <c r="H163" s="272">
        <f>ROUND(D163*(1+F163),0)</f>
        <v>934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1062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1018</v>
      </c>
      <c r="D170" s="219" t="s">
        <v>1063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1064</v>
      </c>
      <c r="D171" s="219" t="s">
        <v>1065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1066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303.52531095833643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296.47468904166357</v>
      </c>
      <c r="H175" s="259">
        <f t="shared" ref="H175:H180" si="28">LOG(D175)</f>
        <v>2.4821949127134055</v>
      </c>
      <c r="I175" s="245">
        <f t="shared" ref="I175:I180" si="29">LOG(G175)</f>
        <v>2.4719876222238844</v>
      </c>
      <c r="J175" s="246">
        <f t="shared" ref="J175:J180" si="30">H175-I175</f>
        <v>1.0207290489521181E-2</v>
      </c>
      <c r="K175" s="246">
        <f t="shared" ref="K175:K180" si="31">E175*J175</f>
        <v>-2.5518226223802953E-2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290.18562621258206</v>
      </c>
      <c r="E176" s="244">
        <f t="shared" si="25"/>
        <v>-1.5</v>
      </c>
      <c r="F176" s="206">
        <f t="shared" si="26"/>
        <v>2.25</v>
      </c>
      <c r="G176" s="844">
        <f t="shared" si="27"/>
        <v>309.81437378741794</v>
      </c>
      <c r="H176" s="259">
        <f t="shared" si="28"/>
        <v>2.4626758966917888</v>
      </c>
      <c r="I176" s="245">
        <f t="shared" si="29"/>
        <v>2.4911015629123692</v>
      </c>
      <c r="J176" s="246">
        <f t="shared" si="30"/>
        <v>-2.8425666220580403E-2</v>
      </c>
      <c r="K176" s="246">
        <f t="shared" si="31"/>
        <v>4.2638499330870605E-2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307.57328082032461</v>
      </c>
      <c r="E177" s="244">
        <f t="shared" si="25"/>
        <v>-0.5</v>
      </c>
      <c r="F177" s="206">
        <f t="shared" si="26"/>
        <v>0.25</v>
      </c>
      <c r="G177" s="844">
        <f t="shared" si="27"/>
        <v>292.42671917967539</v>
      </c>
      <c r="H177" s="259">
        <f t="shared" si="28"/>
        <v>2.4879486051986253</v>
      </c>
      <c r="I177" s="245">
        <f t="shared" si="29"/>
        <v>2.4660170518088957</v>
      </c>
      <c r="J177" s="246">
        <f t="shared" si="30"/>
        <v>2.1931553389729519E-2</v>
      </c>
      <c r="K177" s="246">
        <f t="shared" si="31"/>
        <v>-1.0965776694864759E-2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404.04147105426927</v>
      </c>
      <c r="E178" s="244">
        <f t="shared" si="25"/>
        <v>0.5</v>
      </c>
      <c r="F178" s="206">
        <f t="shared" si="26"/>
        <v>0.25</v>
      </c>
      <c r="G178" s="844">
        <f t="shared" si="27"/>
        <v>195.95852894573073</v>
      </c>
      <c r="H178" s="259">
        <f t="shared" si="28"/>
        <v>2.6064259436395267</v>
      </c>
      <c r="I178" s="245">
        <f t="shared" si="29"/>
        <v>2.2921641705620552</v>
      </c>
      <c r="J178" s="246">
        <f t="shared" si="30"/>
        <v>0.3142617730774715</v>
      </c>
      <c r="K178" s="246">
        <f t="shared" si="31"/>
        <v>0.15713088653873575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315.93575036474795</v>
      </c>
      <c r="E179" s="244">
        <f t="shared" si="25"/>
        <v>1.5</v>
      </c>
      <c r="F179" s="206">
        <f t="shared" si="26"/>
        <v>2.25</v>
      </c>
      <c r="G179" s="844">
        <f t="shared" si="27"/>
        <v>284.06424963525205</v>
      </c>
      <c r="H179" s="259">
        <f t="shared" si="28"/>
        <v>2.4995987721781914</v>
      </c>
      <c r="I179" s="245">
        <f t="shared" si="29"/>
        <v>2.4534165798577323</v>
      </c>
      <c r="J179" s="246">
        <f t="shared" si="30"/>
        <v>4.6182192320459059E-2</v>
      </c>
      <c r="K179" s="246">
        <f t="shared" si="31"/>
        <v>6.9273288480688588E-2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256.95970175352454</v>
      </c>
      <c r="E180" s="244">
        <f t="shared" si="25"/>
        <v>2.5</v>
      </c>
      <c r="F180" s="206">
        <f t="shared" si="26"/>
        <v>6.25</v>
      </c>
      <c r="G180" s="844">
        <f t="shared" si="27"/>
        <v>343.04029824647546</v>
      </c>
      <c r="H180" s="259">
        <f t="shared" si="28"/>
        <v>2.4098650195245144</v>
      </c>
      <c r="I180" s="245">
        <f t="shared" si="29"/>
        <v>2.5353451412616099</v>
      </c>
      <c r="J180" s="246">
        <f t="shared" si="30"/>
        <v>-0.12548012173709555</v>
      </c>
      <c r="K180" s="246">
        <f t="shared" si="31"/>
        <v>-0.31370030434273888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>
        <f>SUM(D175:D180)</f>
        <v>1878.2211411637848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0.2386770213195053</v>
      </c>
      <c r="K181" s="263">
        <f>SUM(K175:K180)</f>
        <v>-8.114163291111165E-2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>
        <f>ROUND(((E$181*K$181-F$181*J$181)/(COUNT(B$175:B$180)*F$181-E$181*E$181))/LOG(EXP(1)),5)</f>
        <v>-9.1600000000000001E-2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>
        <f>ROUND((COUNT(B$175:B$180)*K181-E181*J181)/(LOG(EXP(1))*(COUNT(B$175:B$180)*F181-E181*E181)),6)</f>
        <v>-1.038E-2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307</v>
      </c>
      <c r="E188" s="221"/>
      <c r="F188" s="221">
        <v>0</v>
      </c>
      <c r="G188" s="221"/>
      <c r="H188" s="221">
        <f t="shared" ref="H188:H202" si="33">ROUND(D188*(1+F188),0)</f>
        <v>307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306</v>
      </c>
      <c r="E189" s="221"/>
      <c r="F189" s="221">
        <v>0</v>
      </c>
      <c r="G189" s="221"/>
      <c r="H189" s="221">
        <f t="shared" si="33"/>
        <v>306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304</v>
      </c>
      <c r="E190" s="221"/>
      <c r="F190" s="221">
        <v>0</v>
      </c>
      <c r="G190" s="221"/>
      <c r="H190" s="221">
        <f t="shared" si="33"/>
        <v>304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303</v>
      </c>
      <c r="E191" s="221"/>
      <c r="F191" s="221">
        <v>0</v>
      </c>
      <c r="G191" s="221"/>
      <c r="H191" s="221">
        <f t="shared" si="33"/>
        <v>303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301</v>
      </c>
      <c r="E192" s="269"/>
      <c r="F192" s="269">
        <v>0</v>
      </c>
      <c r="G192" s="269"/>
      <c r="H192" s="269">
        <f t="shared" si="33"/>
        <v>301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299</v>
      </c>
      <c r="E193" s="221"/>
      <c r="F193" s="221">
        <v>0</v>
      </c>
      <c r="G193" s="221"/>
      <c r="H193" s="221">
        <f t="shared" si="33"/>
        <v>299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298</v>
      </c>
      <c r="E194" s="221"/>
      <c r="F194" s="221">
        <v>0</v>
      </c>
      <c r="G194" s="221"/>
      <c r="H194" s="221">
        <f t="shared" si="33"/>
        <v>298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296</v>
      </c>
      <c r="E195" s="221"/>
      <c r="F195" s="221">
        <v>0</v>
      </c>
      <c r="G195" s="221"/>
      <c r="H195" s="221">
        <f t="shared" si="33"/>
        <v>296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295</v>
      </c>
      <c r="E196" s="221"/>
      <c r="F196" s="221">
        <v>0</v>
      </c>
      <c r="G196" s="221"/>
      <c r="H196" s="221">
        <f t="shared" si="33"/>
        <v>295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293</v>
      </c>
      <c r="E197" s="269"/>
      <c r="F197" s="269">
        <v>0</v>
      </c>
      <c r="G197" s="269"/>
      <c r="H197" s="269">
        <f t="shared" si="33"/>
        <v>293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292</v>
      </c>
      <c r="E198" s="221"/>
      <c r="F198" s="221">
        <v>0</v>
      </c>
      <c r="G198" s="221"/>
      <c r="H198" s="221">
        <f t="shared" si="33"/>
        <v>292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290</v>
      </c>
      <c r="E199" s="221"/>
      <c r="F199" s="221">
        <v>0</v>
      </c>
      <c r="G199" s="221"/>
      <c r="H199" s="221">
        <f t="shared" si="33"/>
        <v>290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289</v>
      </c>
      <c r="E200" s="221"/>
      <c r="F200" s="221">
        <v>0</v>
      </c>
      <c r="G200" s="221"/>
      <c r="H200" s="221">
        <f t="shared" si="33"/>
        <v>289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287</v>
      </c>
      <c r="E201" s="221"/>
      <c r="F201" s="221">
        <v>0</v>
      </c>
      <c r="G201" s="221"/>
      <c r="H201" s="221">
        <f t="shared" si="33"/>
        <v>287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285</v>
      </c>
      <c r="E202" s="269"/>
      <c r="F202" s="269">
        <v>0</v>
      </c>
      <c r="G202" s="269"/>
      <c r="H202" s="269">
        <f t="shared" si="33"/>
        <v>285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284</v>
      </c>
      <c r="E203" s="221"/>
      <c r="F203" s="221">
        <v>0</v>
      </c>
      <c r="G203" s="221"/>
      <c r="H203" s="221">
        <f>ROUND(D203*(1+F203),0)</f>
        <v>284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282</v>
      </c>
      <c r="E204" s="221"/>
      <c r="F204" s="221">
        <v>0</v>
      </c>
      <c r="G204" s="221"/>
      <c r="H204" s="221">
        <f>ROUND(D204*(1+F204),0)</f>
        <v>282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281</v>
      </c>
      <c r="E205" s="221"/>
      <c r="F205" s="221">
        <v>0</v>
      </c>
      <c r="G205" s="221"/>
      <c r="H205" s="221">
        <f>ROUND(D205*(1+F205),0)</f>
        <v>281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279</v>
      </c>
      <c r="E206" s="221"/>
      <c r="F206" s="221">
        <v>0</v>
      </c>
      <c r="G206" s="221"/>
      <c r="H206" s="221">
        <f>ROUND(D206*(1+F206),0)</f>
        <v>279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278</v>
      </c>
      <c r="E207" s="269"/>
      <c r="F207" s="269">
        <v>0</v>
      </c>
      <c r="G207" s="269"/>
      <c r="H207" s="269">
        <f>ROUND(D207*(1+F207),0)</f>
        <v>278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257</v>
      </c>
      <c r="E215" s="257">
        <f t="array" ref="E215">IF(B54=B215,H54)</f>
        <v>257</v>
      </c>
      <c r="F215" s="257">
        <f t="array" ref="F215">IF(B103=B215,H103)</f>
        <v>309</v>
      </c>
      <c r="G215" s="257">
        <f t="array" ref="G215">IF(B144=B215,H144)</f>
        <v>396</v>
      </c>
      <c r="H215" s="257">
        <f t="array" ref="H215">IF(B188=B215,H188)</f>
        <v>307</v>
      </c>
      <c r="I215" s="257">
        <f t="shared" ref="I215:I229" si="34">IF(G215=0,AVERAGE(D215,E215,F215,H215),AVERAGE(D215:H215))</f>
        <v>305.2</v>
      </c>
      <c r="J215" s="266">
        <f t="shared" ref="J215:J229" si="35">ROUND(AVERAGE(D215,F215:G215),0)</f>
        <v>321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248</v>
      </c>
      <c r="E216" s="257">
        <f t="array" ref="E216">IF(B55=B216,H55)</f>
        <v>249</v>
      </c>
      <c r="F216" s="257">
        <f t="array" ref="F216">IF(B104=B216,H104)</f>
        <v>308</v>
      </c>
      <c r="G216" s="257">
        <f t="array" ref="G216">IF(B145=B216,H145)</f>
        <v>419</v>
      </c>
      <c r="H216" s="257">
        <f t="array" ref="H216">IF(B189=B216,H189)</f>
        <v>306</v>
      </c>
      <c r="I216" s="257">
        <f t="shared" si="34"/>
        <v>306</v>
      </c>
      <c r="J216" s="266">
        <f t="shared" si="35"/>
        <v>325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238</v>
      </c>
      <c r="E217" s="257">
        <f t="array" ref="E217">IF(B56=B217,H56)</f>
        <v>240</v>
      </c>
      <c r="F217" s="257">
        <f t="array" ref="F217">IF(B105=B217,H105)</f>
        <v>306</v>
      </c>
      <c r="G217" s="257">
        <f t="array" ref="G217">IF(B146=B217,H146)</f>
        <v>442</v>
      </c>
      <c r="H217" s="257">
        <f t="array" ref="H217">IF(B190=B217,H190)</f>
        <v>304</v>
      </c>
      <c r="I217" s="257">
        <f t="shared" si="34"/>
        <v>306</v>
      </c>
      <c r="J217" s="266">
        <f t="shared" si="35"/>
        <v>329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229</v>
      </c>
      <c r="E218" s="257">
        <f t="array" ref="E218">IF(B57=B218,H57)</f>
        <v>233</v>
      </c>
      <c r="F218" s="257">
        <f t="array" ref="F218">IF(B106=B218,H106)</f>
        <v>304</v>
      </c>
      <c r="G218" s="257">
        <f t="array" ref="G218">IF(B147=B218,H147)</f>
        <v>467</v>
      </c>
      <c r="H218" s="257">
        <f t="array" ref="H218">IF(B191=B218,H191)</f>
        <v>303</v>
      </c>
      <c r="I218" s="257">
        <f t="shared" si="34"/>
        <v>307.2</v>
      </c>
      <c r="J218" s="266">
        <f t="shared" si="35"/>
        <v>333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220</v>
      </c>
      <c r="E219" s="271">
        <f t="array" ref="E219">IF(B58=B219,H58)</f>
        <v>225</v>
      </c>
      <c r="F219" s="271">
        <f t="array" ref="F219">IF(B107=B219,H107)</f>
        <v>303</v>
      </c>
      <c r="G219" s="271">
        <f t="array" ref="G219">IF(B148=B219,H148)</f>
        <v>493</v>
      </c>
      <c r="H219" s="271">
        <f t="array" ref="H219">IF(B192=B219,H192)</f>
        <v>301</v>
      </c>
      <c r="I219" s="271">
        <f t="shared" si="34"/>
        <v>308.39999999999998</v>
      </c>
      <c r="J219" s="273">
        <f t="shared" si="35"/>
        <v>339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210</v>
      </c>
      <c r="E220" s="257">
        <f t="array" ref="E220">IF(B59=B220,H59)</f>
        <v>218</v>
      </c>
      <c r="F220" s="257">
        <f t="array" ref="F220">IF(B108=B220,H108)</f>
        <v>301</v>
      </c>
      <c r="G220" s="257">
        <f t="array" ref="G220">IF(B149=B220,H149)</f>
        <v>519</v>
      </c>
      <c r="H220" s="257">
        <f t="array" ref="H220">IF(B193=B220,H193)</f>
        <v>299</v>
      </c>
      <c r="I220" s="257">
        <f t="shared" si="34"/>
        <v>309.39999999999998</v>
      </c>
      <c r="J220" s="266">
        <f t="shared" si="35"/>
        <v>343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201</v>
      </c>
      <c r="E221" s="257">
        <f t="array" ref="E221">IF(B60=B221,H60)</f>
        <v>210</v>
      </c>
      <c r="F221" s="257">
        <f t="array" ref="F221">IF(B109=B221,H109)</f>
        <v>300</v>
      </c>
      <c r="G221" s="257">
        <f t="array" ref="G221">IF(B150=B221,H150)</f>
        <v>545</v>
      </c>
      <c r="H221" s="257">
        <f t="array" ref="H221">IF(B194=B221,H194)</f>
        <v>298</v>
      </c>
      <c r="I221" s="257">
        <f t="shared" si="34"/>
        <v>310.8</v>
      </c>
      <c r="J221" s="266">
        <f t="shared" si="35"/>
        <v>349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192</v>
      </c>
      <c r="E222" s="257">
        <f t="array" ref="E222">IF(B61=B222,H61)</f>
        <v>204</v>
      </c>
      <c r="F222" s="257">
        <f t="array" ref="F222">IF(B110=B222,H110)</f>
        <v>298</v>
      </c>
      <c r="G222" s="257">
        <f t="array" ref="G222">IF(B151=B222,H151)</f>
        <v>573</v>
      </c>
      <c r="H222" s="257">
        <f t="array" ref="H222">IF(B195=B222,H195)</f>
        <v>296</v>
      </c>
      <c r="I222" s="257">
        <f t="shared" si="34"/>
        <v>312.60000000000002</v>
      </c>
      <c r="J222" s="266">
        <f t="shared" si="35"/>
        <v>354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183</v>
      </c>
      <c r="E223" s="257">
        <f t="array" ref="E223">IF(B62=B223,H62)</f>
        <v>197</v>
      </c>
      <c r="F223" s="257">
        <f t="array" ref="F223">IF(B111=B223,H111)</f>
        <v>296</v>
      </c>
      <c r="G223" s="257">
        <f t="array" ref="G223">IF(B152=B223,H152)</f>
        <v>601</v>
      </c>
      <c r="H223" s="257">
        <f t="array" ref="H223">IF(B196=B223,H196)</f>
        <v>295</v>
      </c>
      <c r="I223" s="257">
        <f t="shared" si="34"/>
        <v>314.39999999999998</v>
      </c>
      <c r="J223" s="266">
        <f t="shared" si="35"/>
        <v>360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173</v>
      </c>
      <c r="E224" s="271">
        <f t="array" ref="E224">IF(B63=B224,H63)</f>
        <v>190</v>
      </c>
      <c r="F224" s="271">
        <f t="array" ref="F224">IF(B112=B224,H112)</f>
        <v>295</v>
      </c>
      <c r="G224" s="271">
        <f t="array" ref="G224">IF(B153=B224,H153)</f>
        <v>629</v>
      </c>
      <c r="H224" s="271">
        <f t="array" ref="H224">IF(B197=B224,H197)</f>
        <v>293</v>
      </c>
      <c r="I224" s="271">
        <f t="shared" si="34"/>
        <v>316</v>
      </c>
      <c r="J224" s="273">
        <f t="shared" si="35"/>
        <v>366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164</v>
      </c>
      <c r="E225" s="257">
        <f t="array" ref="E225">IF(B64=B225,H64)</f>
        <v>184</v>
      </c>
      <c r="F225" s="257">
        <f t="array" ref="F225">IF(B113=B225,H113)</f>
        <v>293</v>
      </c>
      <c r="G225" s="257">
        <f t="array" ref="G225">IF(B154=B225,H154)</f>
        <v>658</v>
      </c>
      <c r="H225" s="257">
        <f t="array" ref="H225">IF(B198=B225,H198)</f>
        <v>292</v>
      </c>
      <c r="I225" s="257">
        <f t="shared" si="34"/>
        <v>318.2</v>
      </c>
      <c r="J225" s="266">
        <f t="shared" si="35"/>
        <v>372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155</v>
      </c>
      <c r="E226" s="257">
        <f t="array" ref="E226">IF(B65=B226,H65)</f>
        <v>178</v>
      </c>
      <c r="F226" s="257">
        <f t="array" ref="F226">IF(B114=B226,H114)</f>
        <v>291</v>
      </c>
      <c r="G226" s="257">
        <f t="array" ref="G226">IF(B155=B226,H155)</f>
        <v>687</v>
      </c>
      <c r="H226" s="257">
        <f t="array" ref="H226">IF(B199=B226,H199)</f>
        <v>290</v>
      </c>
      <c r="I226" s="257">
        <f t="shared" si="34"/>
        <v>320.2</v>
      </c>
      <c r="J226" s="266">
        <f t="shared" si="35"/>
        <v>378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145</v>
      </c>
      <c r="E227" s="257">
        <f t="array" ref="E227">IF(B66=B227,H66)</f>
        <v>172</v>
      </c>
      <c r="F227" s="257">
        <f t="array" ref="F227">IF(B115=B227,H115)</f>
        <v>290</v>
      </c>
      <c r="G227" s="257">
        <f t="array" ref="G227">IF(B156=B227,H156)</f>
        <v>716</v>
      </c>
      <c r="H227" s="257">
        <f t="array" ref="H227">IF(B200=B227,H200)</f>
        <v>289</v>
      </c>
      <c r="I227" s="257">
        <f t="shared" si="34"/>
        <v>322.39999999999998</v>
      </c>
      <c r="J227" s="266">
        <f t="shared" si="35"/>
        <v>384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136</v>
      </c>
      <c r="E228" s="257">
        <f t="array" ref="E228">IF(B67=B228,H67)</f>
        <v>167</v>
      </c>
      <c r="F228" s="257">
        <f t="array" ref="F228">IF(B116=B228,H116)</f>
        <v>288</v>
      </c>
      <c r="G228" s="257">
        <f t="array" ref="G228">IF(B157=B228,H157)</f>
        <v>747</v>
      </c>
      <c r="H228" s="257">
        <f t="array" ref="H228">IF(B201=B228,H201)</f>
        <v>287</v>
      </c>
      <c r="I228" s="257">
        <f t="shared" si="34"/>
        <v>325</v>
      </c>
      <c r="J228" s="266">
        <f t="shared" si="35"/>
        <v>390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127</v>
      </c>
      <c r="E229" s="271">
        <f t="array" ref="E229">IF(B68=B229,H68)</f>
        <v>161</v>
      </c>
      <c r="F229" s="271">
        <f t="array" ref="F229">IF(B117=B229,H117)</f>
        <v>286</v>
      </c>
      <c r="G229" s="271">
        <f t="array" ref="G229">IF(B158=B229,H158)</f>
        <v>777</v>
      </c>
      <c r="H229" s="271">
        <f t="array" ref="H229">IF(B202=B229,H202)</f>
        <v>285</v>
      </c>
      <c r="I229" s="271">
        <f t="shared" si="34"/>
        <v>327.2</v>
      </c>
      <c r="J229" s="273">
        <f t="shared" si="35"/>
        <v>397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117</v>
      </c>
      <c r="E230" s="257">
        <f t="array" ref="E230">IF(B69=B230,H69)</f>
        <v>156</v>
      </c>
      <c r="F230" s="257">
        <f t="array" ref="F230">IF(B118=B230,H118)</f>
        <v>285</v>
      </c>
      <c r="G230" s="257">
        <f t="array" ref="G230">IF(B159=B230,H159)</f>
        <v>808</v>
      </c>
      <c r="H230" s="257">
        <f t="array" ref="H230">IF(B203=B230,H203)</f>
        <v>284</v>
      </c>
      <c r="I230" s="257">
        <f>IF(G230=0,AVERAGE(D230,E230,F230,H230),AVERAGE(D230:H230))</f>
        <v>330</v>
      </c>
      <c r="J230" s="266">
        <f>ROUND(AVERAGE(D230,F230:G230),0)</f>
        <v>403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108</v>
      </c>
      <c r="E231" s="257">
        <f t="array" ref="E231">IF(B70=B231,H70)</f>
        <v>151</v>
      </c>
      <c r="F231" s="257">
        <f t="array" ref="F231">IF(B119=B231,H119)</f>
        <v>283</v>
      </c>
      <c r="G231" s="257">
        <f t="array" ref="G231">IF(B160=B231,H160)</f>
        <v>839</v>
      </c>
      <c r="H231" s="257">
        <f t="array" ref="H231">IF(B204=B231,H204)</f>
        <v>282</v>
      </c>
      <c r="I231" s="257">
        <f>IF(G231=0,AVERAGE(D231,E231,F231,H231),AVERAGE(D231:H231))</f>
        <v>332.6</v>
      </c>
      <c r="J231" s="266">
        <f>ROUND(AVERAGE(D231,F231:G231),0)</f>
        <v>410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99</v>
      </c>
      <c r="E232" s="257">
        <f t="array" ref="E232">IF(B71=B232,H71)</f>
        <v>146</v>
      </c>
      <c r="F232" s="257">
        <f t="array" ref="F232">IF(B120=B232,H120)</f>
        <v>281</v>
      </c>
      <c r="G232" s="257">
        <f t="array" ref="G232">IF(B161=B232,H161)</f>
        <v>870</v>
      </c>
      <c r="H232" s="257">
        <f t="array" ref="H232">IF(B205=B232,H205)</f>
        <v>281</v>
      </c>
      <c r="I232" s="257">
        <f>IF(G232=0,AVERAGE(D232,E232,F232,H232),AVERAGE(D232:H232))</f>
        <v>335.4</v>
      </c>
      <c r="J232" s="266">
        <f>ROUND(AVERAGE(D232,F232:G232),0)</f>
        <v>417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90</v>
      </c>
      <c r="E233" s="257">
        <f t="array" ref="E233">IF(B72=B233,H72)</f>
        <v>141</v>
      </c>
      <c r="F233" s="257">
        <f t="array" ref="F233">IF(B121=B233,H121)</f>
        <v>280</v>
      </c>
      <c r="G233" s="257">
        <f t="array" ref="G233">IF(B162=B233,H162)</f>
        <v>902</v>
      </c>
      <c r="H233" s="257">
        <f t="array" ref="H233">IF(B206=B233,H206)</f>
        <v>279</v>
      </c>
      <c r="I233" s="257">
        <f>IF(G233=0,AVERAGE(D233,E233,F233,H233),AVERAGE(D233:H233))</f>
        <v>338.4</v>
      </c>
      <c r="J233" s="266">
        <f>ROUND(AVERAGE(D233,F233:G233),0)</f>
        <v>424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80</v>
      </c>
      <c r="E234" s="271">
        <f t="array" ref="E234">IF(B73=B234,H73)</f>
        <v>136</v>
      </c>
      <c r="F234" s="271">
        <f t="array" ref="F234">IF(B122=B234,H122)</f>
        <v>278</v>
      </c>
      <c r="G234" s="271">
        <f t="array" ref="G234">IF(B163=B234,H163)</f>
        <v>934</v>
      </c>
      <c r="H234" s="271">
        <f t="array" ref="H234">IF(B207=B234,H207)</f>
        <v>278</v>
      </c>
      <c r="I234" s="271">
        <f>IF(G234=0,AVERAGE(D234,E234,F234,H234),AVERAGE(D234:H234))</f>
        <v>341.2</v>
      </c>
      <c r="J234" s="273">
        <f>ROUND(AVERAGE(D234,F234:G234),0)</f>
        <v>431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974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1776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+'음성읍(10년) (물)'!D8</f>
        <v>290.18562621258206</v>
      </c>
      <c r="E7" s="844"/>
      <c r="F7" s="206">
        <v>0</v>
      </c>
      <c r="G7" s="206"/>
      <c r="H7" s="207">
        <v>0</v>
      </c>
      <c r="I7" s="208"/>
      <c r="J7" s="209" t="s">
        <v>1015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+'음성읍(10년) (물)'!D9</f>
        <v>307.57328082032461</v>
      </c>
      <c r="E8" s="844"/>
      <c r="F8" s="206">
        <f>D8-D7</f>
        <v>17.387654607742547</v>
      </c>
      <c r="G8" s="206"/>
      <c r="H8" s="207">
        <f>ROUND(F8/D7*100,2)</f>
        <v>5.99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+'음성읍(10년) (물)'!D10</f>
        <v>404.04147105426927</v>
      </c>
      <c r="E9" s="844"/>
      <c r="F9" s="206">
        <f>D9-D8</f>
        <v>96.468190233944654</v>
      </c>
      <c r="G9" s="206"/>
      <c r="H9" s="207">
        <f>ROUND(F9/D8*100,2)</f>
        <v>31.36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+'음성읍(10년) (물)'!D11</f>
        <v>315.93575036474795</v>
      </c>
      <c r="E10" s="844"/>
      <c r="F10" s="206">
        <f>D10-D9</f>
        <v>-88.10572068952132</v>
      </c>
      <c r="G10" s="206"/>
      <c r="H10" s="207">
        <f>ROUND(F10/D9*100,2)</f>
        <v>-21.81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+'음성읍(10년) (물)'!D12</f>
        <v>256.95970175352454</v>
      </c>
      <c r="E11" s="844"/>
      <c r="F11" s="206">
        <f>D11-D10</f>
        <v>-58.976048611223405</v>
      </c>
      <c r="G11" s="206"/>
      <c r="H11" s="207">
        <f>ROUND(F11/D10*100,2)</f>
        <v>-18.670000000000002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1056</v>
      </c>
      <c r="C12" s="212"/>
      <c r="D12" s="213">
        <f>SUM(D7:D11)</f>
        <v>1574.6958302054484</v>
      </c>
      <c r="E12" s="214"/>
      <c r="F12" s="215"/>
      <c r="G12" s="215"/>
      <c r="H12" s="216">
        <f>SUM(H7:H11)</f>
        <v>-3.129999999999999</v>
      </c>
      <c r="I12" s="216"/>
      <c r="J12" s="217">
        <f>ROUND(AVERAGE(H7:H11),1)</f>
        <v>-0.6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144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257</v>
      </c>
      <c r="E21" s="221"/>
      <c r="F21" s="221">
        <v>0</v>
      </c>
      <c r="G21" s="221"/>
      <c r="H21" s="221">
        <f t="shared" ref="H21:H40" si="1">ROUND(D21*(1+F21),0)</f>
        <v>257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249</v>
      </c>
      <c r="E22" s="221"/>
      <c r="F22" s="221">
        <v>0</v>
      </c>
      <c r="G22" s="221"/>
      <c r="H22" s="221">
        <f t="shared" si="1"/>
        <v>249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240</v>
      </c>
      <c r="E23" s="221"/>
      <c r="F23" s="221">
        <v>0</v>
      </c>
      <c r="G23" s="221"/>
      <c r="H23" s="221">
        <f t="shared" si="1"/>
        <v>240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232</v>
      </c>
      <c r="E24" s="221"/>
      <c r="F24" s="221">
        <v>0</v>
      </c>
      <c r="G24" s="221"/>
      <c r="H24" s="221">
        <f t="shared" si="1"/>
        <v>232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224</v>
      </c>
      <c r="E25" s="269"/>
      <c r="F25" s="269">
        <v>0</v>
      </c>
      <c r="G25" s="269"/>
      <c r="H25" s="269">
        <f t="shared" si="1"/>
        <v>224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215</v>
      </c>
      <c r="E26" s="221"/>
      <c r="F26" s="221">
        <v>0</v>
      </c>
      <c r="G26" s="221"/>
      <c r="H26" s="221">
        <f t="shared" si="1"/>
        <v>215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207</v>
      </c>
      <c r="E27" s="221"/>
      <c r="F27" s="221">
        <v>0</v>
      </c>
      <c r="G27" s="221"/>
      <c r="H27" s="221">
        <f t="shared" si="1"/>
        <v>207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199</v>
      </c>
      <c r="E28" s="221"/>
      <c r="F28" s="221">
        <v>0</v>
      </c>
      <c r="G28" s="221"/>
      <c r="H28" s="221">
        <f t="shared" si="1"/>
        <v>199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191</v>
      </c>
      <c r="E29" s="221"/>
      <c r="F29" s="221">
        <v>0</v>
      </c>
      <c r="G29" s="221"/>
      <c r="H29" s="221">
        <f t="shared" si="1"/>
        <v>191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182</v>
      </c>
      <c r="E30" s="269"/>
      <c r="F30" s="269">
        <v>0</v>
      </c>
      <c r="G30" s="269"/>
      <c r="H30" s="269">
        <f t="shared" si="1"/>
        <v>182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174</v>
      </c>
      <c r="E31" s="221"/>
      <c r="F31" s="221">
        <v>0</v>
      </c>
      <c r="G31" s="221"/>
      <c r="H31" s="221">
        <f t="shared" si="1"/>
        <v>174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166</v>
      </c>
      <c r="E32" s="221"/>
      <c r="F32" s="221">
        <v>0</v>
      </c>
      <c r="G32" s="221"/>
      <c r="H32" s="221">
        <f t="shared" si="1"/>
        <v>166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157</v>
      </c>
      <c r="E33" s="221"/>
      <c r="F33" s="221">
        <v>0</v>
      </c>
      <c r="G33" s="221"/>
      <c r="H33" s="221">
        <f t="shared" si="1"/>
        <v>157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149</v>
      </c>
      <c r="E34" s="221"/>
      <c r="F34" s="221">
        <v>0</v>
      </c>
      <c r="G34" s="221"/>
      <c r="H34" s="221">
        <f t="shared" si="1"/>
        <v>149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141</v>
      </c>
      <c r="E35" s="269"/>
      <c r="F35" s="269">
        <v>0</v>
      </c>
      <c r="G35" s="269"/>
      <c r="H35" s="269">
        <f t="shared" si="1"/>
        <v>141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132</v>
      </c>
      <c r="E36" s="221"/>
      <c r="F36" s="221">
        <v>0</v>
      </c>
      <c r="G36" s="221"/>
      <c r="H36" s="221">
        <f t="shared" si="1"/>
        <v>132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124</v>
      </c>
      <c r="E37" s="221"/>
      <c r="F37" s="221">
        <v>0</v>
      </c>
      <c r="G37" s="221"/>
      <c r="H37" s="221">
        <f t="shared" si="1"/>
        <v>124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116</v>
      </c>
      <c r="E38" s="221"/>
      <c r="F38" s="221">
        <v>0</v>
      </c>
      <c r="G38" s="221"/>
      <c r="H38" s="221">
        <f t="shared" si="1"/>
        <v>116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108</v>
      </c>
      <c r="E39" s="221"/>
      <c r="F39" s="221">
        <v>0</v>
      </c>
      <c r="G39" s="221"/>
      <c r="H39" s="221">
        <f t="shared" si="1"/>
        <v>108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99</v>
      </c>
      <c r="E40" s="269"/>
      <c r="F40" s="269">
        <v>0</v>
      </c>
      <c r="G40" s="269"/>
      <c r="H40" s="269">
        <f t="shared" si="1"/>
        <v>99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256.95970175352454</v>
      </c>
      <c r="F41" s="226"/>
      <c r="G41" s="224" t="s">
        <v>162</v>
      </c>
      <c r="H41" s="224">
        <f>ROUND((D$11-D$7)/(COUNT(D$7:D$11)-1),1)</f>
        <v>-8.3000000000000007</v>
      </c>
      <c r="I41" s="224"/>
      <c r="J41" s="224" t="s">
        <v>163</v>
      </c>
      <c r="K41" s="227" t="s">
        <v>164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165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148</v>
      </c>
      <c r="D46" s="219" t="s">
        <v>167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150</v>
      </c>
      <c r="D47" s="219" t="s">
        <v>151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152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171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172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141</v>
      </c>
      <c r="C52" s="202"/>
      <c r="D52" s="202" t="s">
        <v>156</v>
      </c>
      <c r="E52" s="202"/>
      <c r="F52" s="202" t="s">
        <v>157</v>
      </c>
      <c r="G52" s="202"/>
      <c r="H52" s="202" t="s">
        <v>158</v>
      </c>
      <c r="I52" s="202"/>
      <c r="J52" s="202" t="s">
        <v>144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257</v>
      </c>
      <c r="E53" s="221"/>
      <c r="F53" s="221">
        <v>0</v>
      </c>
      <c r="G53" s="221"/>
      <c r="H53" s="221">
        <f t="shared" ref="H53:H72" si="3">ROUND(D53*(1+F53),0)</f>
        <v>257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249</v>
      </c>
      <c r="E54" s="221"/>
      <c r="F54" s="221">
        <v>0</v>
      </c>
      <c r="G54" s="221"/>
      <c r="H54" s="221">
        <f t="shared" si="3"/>
        <v>249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242</v>
      </c>
      <c r="E55" s="221"/>
      <c r="F55" s="221">
        <v>0</v>
      </c>
      <c r="G55" s="221"/>
      <c r="H55" s="221">
        <f t="shared" si="3"/>
        <v>242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235</v>
      </c>
      <c r="E56" s="221"/>
      <c r="F56" s="221">
        <v>0</v>
      </c>
      <c r="G56" s="221"/>
      <c r="H56" s="221">
        <f t="shared" si="3"/>
        <v>235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228</v>
      </c>
      <c r="E57" s="269"/>
      <c r="F57" s="269">
        <v>0</v>
      </c>
      <c r="G57" s="269"/>
      <c r="H57" s="269">
        <f t="shared" si="3"/>
        <v>228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221</v>
      </c>
      <c r="E58" s="221"/>
      <c r="F58" s="221">
        <v>0</v>
      </c>
      <c r="G58" s="221"/>
      <c r="H58" s="221">
        <f t="shared" si="3"/>
        <v>221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214</v>
      </c>
      <c r="E59" s="221"/>
      <c r="F59" s="221">
        <v>0</v>
      </c>
      <c r="G59" s="221"/>
      <c r="H59" s="221">
        <f t="shared" si="3"/>
        <v>214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208</v>
      </c>
      <c r="E60" s="221"/>
      <c r="F60" s="221">
        <v>0</v>
      </c>
      <c r="G60" s="221"/>
      <c r="H60" s="221">
        <f t="shared" si="3"/>
        <v>208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201</v>
      </c>
      <c r="E61" s="221"/>
      <c r="F61" s="221">
        <v>0</v>
      </c>
      <c r="G61" s="221"/>
      <c r="H61" s="221">
        <f t="shared" si="3"/>
        <v>201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195</v>
      </c>
      <c r="E62" s="269"/>
      <c r="F62" s="269">
        <v>0</v>
      </c>
      <c r="G62" s="269"/>
      <c r="H62" s="269">
        <f t="shared" si="3"/>
        <v>195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190</v>
      </c>
      <c r="E63" s="221"/>
      <c r="F63" s="221">
        <v>0</v>
      </c>
      <c r="G63" s="221"/>
      <c r="H63" s="221">
        <f t="shared" si="3"/>
        <v>190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184</v>
      </c>
      <c r="E64" s="221"/>
      <c r="F64" s="221">
        <v>0</v>
      </c>
      <c r="G64" s="221"/>
      <c r="H64" s="221">
        <f t="shared" si="3"/>
        <v>184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178</v>
      </c>
      <c r="E65" s="221"/>
      <c r="F65" s="221">
        <v>0</v>
      </c>
      <c r="G65" s="221"/>
      <c r="H65" s="221">
        <f t="shared" si="3"/>
        <v>178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173</v>
      </c>
      <c r="E66" s="221"/>
      <c r="F66" s="221">
        <v>0</v>
      </c>
      <c r="G66" s="221"/>
      <c r="H66" s="221">
        <f t="shared" si="3"/>
        <v>173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168</v>
      </c>
      <c r="E67" s="269"/>
      <c r="F67" s="269">
        <v>0</v>
      </c>
      <c r="G67" s="269"/>
      <c r="H67" s="269">
        <f t="shared" si="3"/>
        <v>168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163</v>
      </c>
      <c r="E68" s="221"/>
      <c r="F68" s="221">
        <v>0</v>
      </c>
      <c r="G68" s="221"/>
      <c r="H68" s="221">
        <f t="shared" si="3"/>
        <v>163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158</v>
      </c>
      <c r="E69" s="221"/>
      <c r="F69" s="221">
        <v>0</v>
      </c>
      <c r="G69" s="221"/>
      <c r="H69" s="221">
        <f t="shared" si="3"/>
        <v>158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153</v>
      </c>
      <c r="E70" s="221"/>
      <c r="F70" s="221">
        <v>0</v>
      </c>
      <c r="G70" s="221"/>
      <c r="H70" s="221">
        <f t="shared" si="3"/>
        <v>153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149</v>
      </c>
      <c r="E71" s="221"/>
      <c r="F71" s="221">
        <v>0</v>
      </c>
      <c r="G71" s="221"/>
      <c r="H71" s="221">
        <f t="shared" si="3"/>
        <v>149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144</v>
      </c>
      <c r="E72" s="269"/>
      <c r="F72" s="269">
        <v>0</v>
      </c>
      <c r="G72" s="269"/>
      <c r="H72" s="269">
        <f t="shared" si="3"/>
        <v>144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177</v>
      </c>
      <c r="C73" s="223"/>
      <c r="D73" s="224" t="s">
        <v>161</v>
      </c>
      <c r="E73" s="225">
        <f>D$11</f>
        <v>256.95970175352454</v>
      </c>
      <c r="F73" s="226"/>
      <c r="G73" s="224" t="s">
        <v>179</v>
      </c>
      <c r="H73" s="224">
        <f>ROUND((E$73/D$7)^(1/(COUNT(D$7:D$11)-1)),6)</f>
        <v>0.97005699999999995</v>
      </c>
      <c r="I73" s="224"/>
      <c r="J73" s="224" t="s">
        <v>163</v>
      </c>
      <c r="K73" s="227" t="s">
        <v>164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182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148</v>
      </c>
      <c r="D84" s="219" t="s">
        <v>184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185</v>
      </c>
      <c r="D85" s="219" t="s">
        <v>186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187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188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189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141</v>
      </c>
      <c r="C89" s="202"/>
      <c r="D89" s="202" t="s">
        <v>191</v>
      </c>
      <c r="E89" s="202" t="s">
        <v>192</v>
      </c>
      <c r="F89" s="202" t="s">
        <v>193</v>
      </c>
      <c r="G89" s="202"/>
      <c r="H89" s="202" t="s">
        <v>194</v>
      </c>
      <c r="I89" s="202"/>
      <c r="J89" s="202" t="s">
        <v>144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290.18562621258206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-580.37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307.57328082032461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-307.57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404.04147105426927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315.93575036474795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315.94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256.95970175352454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513.91999999999996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>
        <f>SUM(D90:D94)</f>
        <v>1574.6958302054484</v>
      </c>
      <c r="E95" s="215"/>
      <c r="F95" s="233">
        <f>ROUND(SUM(F90:F94),0)</f>
        <v>10</v>
      </c>
      <c r="G95" s="212"/>
      <c r="H95" s="211">
        <f>SUM(H90:H94)</f>
        <v>-58.080000000000041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>
        <f>((COUNT(B$90:B$94))*H$95-D$95*E$95)/((COUNT(B$90:B$94))*F$95-E$95*E$95)</f>
        <v>-5.8080000000000043</v>
      </c>
      <c r="H96" s="236" t="s">
        <v>199</v>
      </c>
      <c r="I96" s="201"/>
      <c r="J96" s="201"/>
      <c r="K96" s="201">
        <f>ROUND((F95*D95-H95*E95)/(COUNT(B$90:B$94)*F95-E95*E95),0)</f>
        <v>315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304</v>
      </c>
      <c r="E101" s="221"/>
      <c r="F101" s="221">
        <v>0</v>
      </c>
      <c r="G101" s="221"/>
      <c r="H101" s="221">
        <f t="shared" ref="H101:H120" si="5">ROUND(D101*(1+F101),0)</f>
        <v>304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298</v>
      </c>
      <c r="E102" s="221"/>
      <c r="F102" s="221">
        <v>0</v>
      </c>
      <c r="G102" s="221"/>
      <c r="H102" s="221">
        <f t="shared" si="5"/>
        <v>298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292</v>
      </c>
      <c r="E103" s="221"/>
      <c r="F103" s="221">
        <v>0</v>
      </c>
      <c r="G103" s="221"/>
      <c r="H103" s="221">
        <f t="shared" si="5"/>
        <v>292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286</v>
      </c>
      <c r="E104" s="221"/>
      <c r="F104" s="221">
        <v>0</v>
      </c>
      <c r="G104" s="221"/>
      <c r="H104" s="221">
        <f t="shared" si="5"/>
        <v>286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281</v>
      </c>
      <c r="E105" s="269"/>
      <c r="F105" s="269">
        <v>0</v>
      </c>
      <c r="G105" s="269"/>
      <c r="H105" s="269">
        <f t="shared" si="5"/>
        <v>281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275</v>
      </c>
      <c r="E106" s="221"/>
      <c r="F106" s="221">
        <v>0</v>
      </c>
      <c r="G106" s="221"/>
      <c r="H106" s="221">
        <f t="shared" si="5"/>
        <v>275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269</v>
      </c>
      <c r="E107" s="221"/>
      <c r="F107" s="221">
        <v>0</v>
      </c>
      <c r="G107" s="221"/>
      <c r="H107" s="221">
        <f t="shared" si="5"/>
        <v>269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263</v>
      </c>
      <c r="E108" s="221"/>
      <c r="F108" s="221">
        <v>0</v>
      </c>
      <c r="G108" s="221"/>
      <c r="H108" s="221">
        <f t="shared" si="5"/>
        <v>263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257</v>
      </c>
      <c r="E109" s="221"/>
      <c r="F109" s="221">
        <v>0</v>
      </c>
      <c r="G109" s="221"/>
      <c r="H109" s="221">
        <f t="shared" si="5"/>
        <v>257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252</v>
      </c>
      <c r="E110" s="269"/>
      <c r="F110" s="269">
        <v>0</v>
      </c>
      <c r="G110" s="269"/>
      <c r="H110" s="269">
        <f t="shared" si="5"/>
        <v>252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246</v>
      </c>
      <c r="E111" s="221"/>
      <c r="F111" s="221">
        <v>0</v>
      </c>
      <c r="G111" s="221"/>
      <c r="H111" s="221">
        <f t="shared" si="5"/>
        <v>246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240</v>
      </c>
      <c r="E112" s="221"/>
      <c r="F112" s="221">
        <v>0</v>
      </c>
      <c r="G112" s="221"/>
      <c r="H112" s="221">
        <f t="shared" si="5"/>
        <v>240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234</v>
      </c>
      <c r="E113" s="221"/>
      <c r="F113" s="221">
        <v>0</v>
      </c>
      <c r="G113" s="221"/>
      <c r="H113" s="221">
        <f t="shared" si="5"/>
        <v>234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228</v>
      </c>
      <c r="E114" s="221"/>
      <c r="F114" s="221">
        <v>0</v>
      </c>
      <c r="G114" s="221"/>
      <c r="H114" s="221">
        <f t="shared" si="5"/>
        <v>228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223</v>
      </c>
      <c r="E115" s="269"/>
      <c r="F115" s="269">
        <v>0</v>
      </c>
      <c r="G115" s="269"/>
      <c r="H115" s="269">
        <f t="shared" si="5"/>
        <v>223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217</v>
      </c>
      <c r="E116" s="221"/>
      <c r="F116" s="221">
        <v>0</v>
      </c>
      <c r="G116" s="221"/>
      <c r="H116" s="221">
        <f t="shared" si="5"/>
        <v>217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211</v>
      </c>
      <c r="E117" s="221"/>
      <c r="F117" s="221">
        <v>0</v>
      </c>
      <c r="G117" s="221"/>
      <c r="H117" s="221">
        <f t="shared" si="5"/>
        <v>211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205</v>
      </c>
      <c r="E118" s="221"/>
      <c r="F118" s="221">
        <v>0</v>
      </c>
      <c r="G118" s="221"/>
      <c r="H118" s="221">
        <f t="shared" si="5"/>
        <v>205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199</v>
      </c>
      <c r="E119" s="221"/>
      <c r="F119" s="221">
        <v>0</v>
      </c>
      <c r="G119" s="221"/>
      <c r="H119" s="221">
        <f t="shared" si="5"/>
        <v>199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194</v>
      </c>
      <c r="E120" s="269"/>
      <c r="F120" s="269">
        <v>0</v>
      </c>
      <c r="G120" s="269"/>
      <c r="H120" s="269">
        <f t="shared" si="5"/>
        <v>194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290.18562621258206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307.57328082032461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17.387654607742547</v>
      </c>
      <c r="I131" s="231"/>
      <c r="J131" s="247">
        <f>IF(H131="","",LOG(H131))</f>
        <v>1.240241004681824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404.04147105426927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113.8558448416872</v>
      </c>
      <c r="I132" s="231"/>
      <c r="J132" s="247">
        <f>IF(H132="","",LOG(H132))</f>
        <v>2.0563553302286031</v>
      </c>
      <c r="K132" s="247">
        <f>IF(J132="","",J132*F132)</f>
        <v>0.61902463614232095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315.93575036474795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25.750124152165881</v>
      </c>
      <c r="I133" s="231"/>
      <c r="J133" s="247">
        <f>IF(H133="","",LOG(H133))</f>
        <v>1.4107793272983973</v>
      </c>
      <c r="K133" s="247">
        <f>IF(J133="","",J133*F133)</f>
        <v>0.67311280277317265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256.95970175352454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33.225924459057524</v>
      </c>
      <c r="I134" s="231"/>
      <c r="J134" s="247">
        <f>IF(H134="","",LOG(H134))</f>
        <v>1.5214770733433474</v>
      </c>
      <c r="K134" s="247">
        <f>IF(J134="","",J134*F134)</f>
        <v>0.91602047358278937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1056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6.2288527355521719</v>
      </c>
      <c r="K135" s="253">
        <f>IF(K134="","",SUM(K130:K134))</f>
        <v>2.2081579124982831</v>
      </c>
      <c r="L135" s="203"/>
      <c r="M135" s="203"/>
      <c r="N135" s="203"/>
      <c r="O135" s="203"/>
    </row>
    <row r="136" spans="1:15" ht="15" customHeight="1">
      <c r="A136" s="203"/>
      <c r="B136" s="208" t="s">
        <v>1057</v>
      </c>
      <c r="C136" s="208"/>
      <c r="D136" s="201" t="s">
        <v>1030</v>
      </c>
      <c r="E136" s="201">
        <f>IF(G135="",0,5^ROUND((G135*J135-F135*K135)/((COUNT(B$130:B$134)-1)*G135-F135*F135),5))</f>
        <v>10.447380210282448</v>
      </c>
      <c r="F136" s="238" t="s">
        <v>1058</v>
      </c>
      <c r="G136" s="203"/>
      <c r="H136" s="208"/>
      <c r="I136" s="203"/>
      <c r="J136" s="254">
        <f>IF(G135="",0,ROUND(((COUNT(B$130:B$134)-1)*K135-J135*F135)/((COUNT(B$130:B$134)-1)*G135-F135*F135),5))</f>
        <v>0.28791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1059</v>
      </c>
      <c r="E137" s="219"/>
      <c r="F137" s="219"/>
      <c r="G137" s="256"/>
      <c r="H137" s="201" t="s">
        <v>1060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1061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1010</v>
      </c>
      <c r="C140" s="202"/>
      <c r="D140" s="202" t="s">
        <v>1025</v>
      </c>
      <c r="E140" s="202"/>
      <c r="F140" s="202" t="s">
        <v>1026</v>
      </c>
      <c r="G140" s="202"/>
      <c r="H140" s="202" t="s">
        <v>1027</v>
      </c>
      <c r="I140" s="202"/>
      <c r="J140" s="202" t="s">
        <v>1014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306</v>
      </c>
      <c r="E141" s="257"/>
      <c r="F141" s="258">
        <v>0</v>
      </c>
      <c r="G141" s="258"/>
      <c r="H141" s="258">
        <f t="shared" ref="H141:H160" si="7">ROUND(D141*(1+F141),0)</f>
        <v>306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307</v>
      </c>
      <c r="E142" s="257"/>
      <c r="F142" s="258">
        <v>0</v>
      </c>
      <c r="G142" s="258"/>
      <c r="H142" s="258">
        <f t="shared" si="7"/>
        <v>307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308</v>
      </c>
      <c r="E143" s="257"/>
      <c r="F143" s="258">
        <v>0</v>
      </c>
      <c r="G143" s="258"/>
      <c r="H143" s="258">
        <f t="shared" si="7"/>
        <v>308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309</v>
      </c>
      <c r="E144" s="257"/>
      <c r="F144" s="258">
        <v>0</v>
      </c>
      <c r="G144" s="258"/>
      <c r="H144" s="258">
        <f t="shared" si="7"/>
        <v>309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310</v>
      </c>
      <c r="E145" s="271"/>
      <c r="F145" s="272">
        <v>0</v>
      </c>
      <c r="G145" s="272"/>
      <c r="H145" s="272">
        <f t="shared" si="7"/>
        <v>310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310</v>
      </c>
      <c r="E146" s="257"/>
      <c r="F146" s="258">
        <v>0</v>
      </c>
      <c r="G146" s="258"/>
      <c r="H146" s="258">
        <f t="shared" si="7"/>
        <v>310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311</v>
      </c>
      <c r="E147" s="257"/>
      <c r="F147" s="258">
        <v>0</v>
      </c>
      <c r="G147" s="258"/>
      <c r="H147" s="258">
        <f t="shared" si="7"/>
        <v>311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312</v>
      </c>
      <c r="E148" s="257"/>
      <c r="F148" s="258">
        <v>0</v>
      </c>
      <c r="G148" s="258"/>
      <c r="H148" s="258">
        <f t="shared" si="7"/>
        <v>312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312</v>
      </c>
      <c r="E149" s="257"/>
      <c r="F149" s="258">
        <v>0</v>
      </c>
      <c r="G149" s="258"/>
      <c r="H149" s="258">
        <f t="shared" si="7"/>
        <v>312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313</v>
      </c>
      <c r="E150" s="271"/>
      <c r="F150" s="272">
        <v>0</v>
      </c>
      <c r="G150" s="272"/>
      <c r="H150" s="272">
        <f t="shared" si="7"/>
        <v>313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313</v>
      </c>
      <c r="E151" s="257"/>
      <c r="F151" s="258">
        <v>0</v>
      </c>
      <c r="G151" s="258"/>
      <c r="H151" s="258">
        <f t="shared" si="7"/>
        <v>313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313</v>
      </c>
      <c r="E152" s="257"/>
      <c r="F152" s="258">
        <v>0</v>
      </c>
      <c r="G152" s="258"/>
      <c r="H152" s="258">
        <f t="shared" si="7"/>
        <v>313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314</v>
      </c>
      <c r="E153" s="257"/>
      <c r="F153" s="258">
        <v>0</v>
      </c>
      <c r="G153" s="258"/>
      <c r="H153" s="258">
        <f t="shared" si="7"/>
        <v>314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314</v>
      </c>
      <c r="E154" s="257"/>
      <c r="F154" s="258">
        <v>0</v>
      </c>
      <c r="G154" s="258"/>
      <c r="H154" s="258">
        <f t="shared" si="7"/>
        <v>314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315</v>
      </c>
      <c r="E155" s="271"/>
      <c r="F155" s="272">
        <v>0</v>
      </c>
      <c r="G155" s="272"/>
      <c r="H155" s="272">
        <f t="shared" si="7"/>
        <v>315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315</v>
      </c>
      <c r="E156" s="257"/>
      <c r="F156" s="258">
        <v>0</v>
      </c>
      <c r="G156" s="258"/>
      <c r="H156" s="258">
        <f t="shared" si="7"/>
        <v>315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315</v>
      </c>
      <c r="E157" s="257"/>
      <c r="F157" s="258">
        <v>0</v>
      </c>
      <c r="G157" s="258"/>
      <c r="H157" s="258">
        <f t="shared" si="7"/>
        <v>315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316</v>
      </c>
      <c r="E158" s="257"/>
      <c r="F158" s="258">
        <v>0</v>
      </c>
      <c r="G158" s="258"/>
      <c r="H158" s="258">
        <f t="shared" si="7"/>
        <v>316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316</v>
      </c>
      <c r="E159" s="257"/>
      <c r="F159" s="258">
        <v>0</v>
      </c>
      <c r="G159" s="258"/>
      <c r="H159" s="258">
        <f t="shared" si="7"/>
        <v>316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316</v>
      </c>
      <c r="E160" s="271"/>
      <c r="F160" s="272">
        <v>0</v>
      </c>
      <c r="G160" s="272"/>
      <c r="H160" s="272">
        <f t="shared" si="7"/>
        <v>316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1062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1018</v>
      </c>
      <c r="D167" s="219" t="s">
        <v>1063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1064</v>
      </c>
      <c r="D168" s="219" t="s">
        <v>1065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1066</v>
      </c>
      <c r="E169" s="2250">
        <f>K7</f>
        <v>600</v>
      </c>
      <c r="F169" s="2250"/>
      <c r="G169" s="219" t="s">
        <v>235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236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141</v>
      </c>
      <c r="C171" s="202"/>
      <c r="D171" s="202" t="s">
        <v>191</v>
      </c>
      <c r="E171" s="202" t="s">
        <v>192</v>
      </c>
      <c r="F171" s="202" t="s">
        <v>193</v>
      </c>
      <c r="G171" s="202" t="s">
        <v>241</v>
      </c>
      <c r="H171" s="202" t="s">
        <v>242</v>
      </c>
      <c r="I171" s="202" t="s">
        <v>243</v>
      </c>
      <c r="J171" s="202" t="s">
        <v>216</v>
      </c>
      <c r="K171" s="202" t="s">
        <v>245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290.18562621258206</v>
      </c>
      <c r="E172" s="244">
        <f>((COUNT(B$172:B$176)-1)/2)+(B172-$C$4)</f>
        <v>-2</v>
      </c>
      <c r="F172" s="206">
        <f>E172^2</f>
        <v>4</v>
      </c>
      <c r="G172" s="844">
        <f>E$169-D172</f>
        <v>309.81437378741794</v>
      </c>
      <c r="H172" s="259">
        <f>LOG(D172)</f>
        <v>2.4626758966917888</v>
      </c>
      <c r="I172" s="245">
        <f>LOG(G172)</f>
        <v>2.4911015629123692</v>
      </c>
      <c r="J172" s="246">
        <f>H172-I172</f>
        <v>-2.8425666220580403E-2</v>
      </c>
      <c r="K172" s="246">
        <f>E172*J172</f>
        <v>5.6851332441160807E-2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307.57328082032461</v>
      </c>
      <c r="E173" s="244">
        <f>((COUNT(B$172:B$176)-1)/2)+(B173-$C$4)</f>
        <v>-1</v>
      </c>
      <c r="F173" s="206">
        <f>E173^2</f>
        <v>1</v>
      </c>
      <c r="G173" s="844">
        <f>E$169-D173</f>
        <v>292.42671917967539</v>
      </c>
      <c r="H173" s="259">
        <f>LOG(D173)</f>
        <v>2.4879486051986253</v>
      </c>
      <c r="I173" s="245">
        <f>LOG(G173)</f>
        <v>2.4660170518088957</v>
      </c>
      <c r="J173" s="246">
        <f>H173-I173</f>
        <v>2.1931553389729519E-2</v>
      </c>
      <c r="K173" s="246">
        <f>E173*J173</f>
        <v>-2.1931553389729519E-2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404.04147105426927</v>
      </c>
      <c r="E174" s="244">
        <f>((COUNT(B$172:B$176)-1)/2)+(B174-$C$4)</f>
        <v>0</v>
      </c>
      <c r="F174" s="206">
        <f>E174^2</f>
        <v>0</v>
      </c>
      <c r="G174" s="844">
        <f>E$169-D174</f>
        <v>195.95852894573073</v>
      </c>
      <c r="H174" s="259">
        <f>LOG(D174)</f>
        <v>2.6064259436395267</v>
      </c>
      <c r="I174" s="245">
        <f>LOG(G174)</f>
        <v>2.2921641705620552</v>
      </c>
      <c r="J174" s="246">
        <f>H174-I174</f>
        <v>0.3142617730774715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315.93575036474795</v>
      </c>
      <c r="E175" s="244">
        <f>((COUNT(B$172:B$176)-1)/2)+(B175-$C$4)</f>
        <v>1</v>
      </c>
      <c r="F175" s="206">
        <f>E175^2</f>
        <v>1</v>
      </c>
      <c r="G175" s="844">
        <f>E$169-D175</f>
        <v>284.06424963525205</v>
      </c>
      <c r="H175" s="259">
        <f>LOG(D175)</f>
        <v>2.4995987721781914</v>
      </c>
      <c r="I175" s="245">
        <f>LOG(G175)</f>
        <v>2.4534165798577323</v>
      </c>
      <c r="J175" s="246">
        <f>H175-I175</f>
        <v>4.6182192320459059E-2</v>
      </c>
      <c r="K175" s="246">
        <f>E175*J175</f>
        <v>4.6182192320459059E-2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256.95970175352454</v>
      </c>
      <c r="E176" s="244">
        <f>((COUNT(B$172:B$176)-1)/2)+(B176-$C$4)</f>
        <v>2</v>
      </c>
      <c r="F176" s="206">
        <f>E176^2</f>
        <v>4</v>
      </c>
      <c r="G176" s="844">
        <f>E$169-D176</f>
        <v>343.04029824647546</v>
      </c>
      <c r="H176" s="259">
        <f>LOG(D176)</f>
        <v>2.4098650195245144</v>
      </c>
      <c r="I176" s="245">
        <f>LOG(G176)</f>
        <v>2.5353451412616099</v>
      </c>
      <c r="J176" s="246">
        <f>H176-I176</f>
        <v>-0.12548012173709555</v>
      </c>
      <c r="K176" s="246">
        <f>E176*J176</f>
        <v>-0.2509602434741911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1067</v>
      </c>
      <c r="C177" s="212"/>
      <c r="D177" s="260">
        <f>SUM(D172:D176)</f>
        <v>1574.6958302054484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0.22846973082998412</v>
      </c>
      <c r="K177" s="263">
        <f>SUM(K172:K176)</f>
        <v>-0.16985827210230076</v>
      </c>
      <c r="L177" s="203"/>
      <c r="M177" s="203"/>
      <c r="N177" s="203"/>
      <c r="O177" s="203"/>
    </row>
    <row r="178" spans="1:15" ht="15" customHeight="1">
      <c r="A178" s="203"/>
      <c r="B178" s="208" t="s">
        <v>1068</v>
      </c>
      <c r="C178" s="208"/>
      <c r="D178" s="201" t="s">
        <v>1069</v>
      </c>
      <c r="E178" s="236" t="s">
        <v>1070</v>
      </c>
      <c r="F178" s="203"/>
      <c r="G178" s="219" t="str">
        <f>"X = x × LOG e = "&amp;E177&amp;" 이고,"</f>
        <v>X = x × LOG e = 0 이고,</v>
      </c>
      <c r="H178" s="219"/>
      <c r="I178" s="219" t="s">
        <v>1071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1072</v>
      </c>
      <c r="E179" s="219"/>
      <c r="F179" s="219"/>
      <c r="G179" s="219"/>
      <c r="H179" s="254">
        <f>ROUND(((E$177*K$177-F$177*J$177)/(COUNT(B$172:B$176)*F$177-E$177*E$177))/LOG(EXP(1)),5)</f>
        <v>-0.10521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1073</v>
      </c>
      <c r="E180" s="219"/>
      <c r="F180" s="219"/>
      <c r="G180" s="264" t="s">
        <v>1074</v>
      </c>
      <c r="H180" s="219"/>
      <c r="I180" s="219"/>
      <c r="J180" s="219"/>
      <c r="K180" s="265">
        <f>ROUND((COUNT(B$172:B$176)*K177-E177*J177)/(LOG(EXP(1))*(COUNT(B$172:B$176)*F177-E177*E177)),6)</f>
        <v>-3.9111E-2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1075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1076</v>
      </c>
      <c r="C183" s="202"/>
      <c r="D183" s="202" t="s">
        <v>1077</v>
      </c>
      <c r="E183" s="202"/>
      <c r="F183" s="202" t="s">
        <v>1078</v>
      </c>
      <c r="G183" s="202"/>
      <c r="H183" s="202" t="s">
        <v>1079</v>
      </c>
      <c r="I183" s="202"/>
      <c r="J183" s="202" t="s">
        <v>1080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290</v>
      </c>
      <c r="E184" s="221"/>
      <c r="F184" s="221">
        <v>0</v>
      </c>
      <c r="G184" s="221"/>
      <c r="H184" s="221">
        <f t="shared" ref="H184:H203" si="9">ROUND(D184*(1+F184),0)</f>
        <v>290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284</v>
      </c>
      <c r="E185" s="221"/>
      <c r="F185" s="221">
        <v>0</v>
      </c>
      <c r="G185" s="221"/>
      <c r="H185" s="221">
        <f t="shared" si="9"/>
        <v>284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278</v>
      </c>
      <c r="E186" s="221"/>
      <c r="F186" s="221">
        <v>0</v>
      </c>
      <c r="G186" s="221"/>
      <c r="H186" s="221">
        <f t="shared" si="9"/>
        <v>278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272</v>
      </c>
      <c r="E187" s="221"/>
      <c r="F187" s="221">
        <v>0</v>
      </c>
      <c r="G187" s="221"/>
      <c r="H187" s="221">
        <f t="shared" si="9"/>
        <v>272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267</v>
      </c>
      <c r="E188" s="269"/>
      <c r="F188" s="269">
        <v>0</v>
      </c>
      <c r="G188" s="269"/>
      <c r="H188" s="269">
        <f t="shared" si="9"/>
        <v>267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261</v>
      </c>
      <c r="E189" s="221"/>
      <c r="F189" s="221">
        <v>0</v>
      </c>
      <c r="G189" s="221"/>
      <c r="H189" s="221">
        <f t="shared" si="9"/>
        <v>261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255</v>
      </c>
      <c r="E190" s="221"/>
      <c r="F190" s="221">
        <v>0</v>
      </c>
      <c r="G190" s="221"/>
      <c r="H190" s="221">
        <f t="shared" si="9"/>
        <v>255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249</v>
      </c>
      <c r="E191" s="221"/>
      <c r="F191" s="221">
        <v>0</v>
      </c>
      <c r="G191" s="221"/>
      <c r="H191" s="221">
        <f t="shared" si="9"/>
        <v>249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244</v>
      </c>
      <c r="E192" s="221"/>
      <c r="F192" s="221">
        <v>0</v>
      </c>
      <c r="G192" s="221"/>
      <c r="H192" s="221">
        <f t="shared" si="9"/>
        <v>244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238</v>
      </c>
      <c r="E193" s="269"/>
      <c r="F193" s="269">
        <v>0</v>
      </c>
      <c r="G193" s="269"/>
      <c r="H193" s="269">
        <f t="shared" si="9"/>
        <v>238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232</v>
      </c>
      <c r="E194" s="221"/>
      <c r="F194" s="221">
        <v>0</v>
      </c>
      <c r="G194" s="221"/>
      <c r="H194" s="221">
        <f t="shared" si="9"/>
        <v>232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227</v>
      </c>
      <c r="E195" s="221"/>
      <c r="F195" s="221">
        <v>0</v>
      </c>
      <c r="G195" s="221"/>
      <c r="H195" s="221">
        <f t="shared" si="9"/>
        <v>227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221</v>
      </c>
      <c r="E196" s="221"/>
      <c r="F196" s="221">
        <v>0</v>
      </c>
      <c r="G196" s="221"/>
      <c r="H196" s="221">
        <f t="shared" si="9"/>
        <v>221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216</v>
      </c>
      <c r="E197" s="221"/>
      <c r="F197" s="221">
        <v>0</v>
      </c>
      <c r="G197" s="221"/>
      <c r="H197" s="221">
        <f t="shared" si="9"/>
        <v>216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211</v>
      </c>
      <c r="E198" s="269"/>
      <c r="F198" s="269">
        <v>0</v>
      </c>
      <c r="G198" s="269"/>
      <c r="H198" s="269">
        <f t="shared" si="9"/>
        <v>211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205</v>
      </c>
      <c r="E199" s="221"/>
      <c r="F199" s="221">
        <v>0</v>
      </c>
      <c r="G199" s="221"/>
      <c r="H199" s="221">
        <f t="shared" si="9"/>
        <v>205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200</v>
      </c>
      <c r="E200" s="221"/>
      <c r="F200" s="221">
        <v>0</v>
      </c>
      <c r="G200" s="221"/>
      <c r="H200" s="221">
        <f t="shared" si="9"/>
        <v>200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195</v>
      </c>
      <c r="E201" s="221"/>
      <c r="F201" s="221">
        <v>0</v>
      </c>
      <c r="G201" s="221"/>
      <c r="H201" s="221">
        <f t="shared" si="9"/>
        <v>195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190</v>
      </c>
      <c r="E202" s="221"/>
      <c r="F202" s="221">
        <v>0</v>
      </c>
      <c r="G202" s="221"/>
      <c r="H202" s="221">
        <f t="shared" si="9"/>
        <v>190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185</v>
      </c>
      <c r="E203" s="269"/>
      <c r="F203" s="269">
        <v>0</v>
      </c>
      <c r="G203" s="269"/>
      <c r="H203" s="269">
        <f t="shared" si="9"/>
        <v>185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1081</v>
      </c>
      <c r="G209" s="208"/>
      <c r="H209" s="203"/>
      <c r="I209" s="203"/>
      <c r="J209" s="203"/>
      <c r="K209" s="228" t="s">
        <v>1082</v>
      </c>
      <c r="L209" s="203"/>
      <c r="M209" s="203"/>
      <c r="N209" s="203"/>
      <c r="O209" s="203"/>
    </row>
    <row r="210" spans="1:15" ht="15" customHeight="1">
      <c r="A210" s="203"/>
      <c r="B210" s="202" t="s">
        <v>1076</v>
      </c>
      <c r="C210" s="202"/>
      <c r="D210" s="202" t="s">
        <v>1083</v>
      </c>
      <c r="E210" s="202" t="s">
        <v>1084</v>
      </c>
      <c r="F210" s="202" t="s">
        <v>1085</v>
      </c>
      <c r="G210" s="202" t="s">
        <v>1086</v>
      </c>
      <c r="H210" s="202" t="s">
        <v>1087</v>
      </c>
      <c r="I210" s="202" t="s">
        <v>1088</v>
      </c>
      <c r="J210" s="202" t="s">
        <v>1089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257</v>
      </c>
      <c r="E211" s="257">
        <f t="array" ref="E211">IF(B53=B211,H53)</f>
        <v>257</v>
      </c>
      <c r="F211" s="257">
        <f t="array" ref="F211">IF(B101=B211,H101)</f>
        <v>304</v>
      </c>
      <c r="G211" s="257">
        <f t="array" ref="G211">IF(B141=B211,H141)</f>
        <v>306</v>
      </c>
      <c r="H211" s="257">
        <f t="array" ref="H211">IF(B184=B211,H184)</f>
        <v>290</v>
      </c>
      <c r="I211" s="257">
        <f t="shared" ref="I211:I230" si="10">IF(G211=0,AVERAGE(D211,E211,F211,H211),AVERAGE(D211:H211))</f>
        <v>282.8</v>
      </c>
      <c r="J211" s="266">
        <f t="shared" ref="J211:J230" si="11">ROUND(AVERAGE(D211,F211:G211),0)</f>
        <v>289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249</v>
      </c>
      <c r="E212" s="257">
        <f t="array" ref="E212">IF(B54=B212,H54)</f>
        <v>249</v>
      </c>
      <c r="F212" s="257">
        <f t="array" ref="F212">IF(B102=B212,H102)</f>
        <v>298</v>
      </c>
      <c r="G212" s="257">
        <f t="array" ref="G212">IF(B142=B212,H142)</f>
        <v>307</v>
      </c>
      <c r="H212" s="257">
        <f t="array" ref="H212">IF(B185=B212,H185)</f>
        <v>284</v>
      </c>
      <c r="I212" s="257">
        <f t="shared" si="10"/>
        <v>277.39999999999998</v>
      </c>
      <c r="J212" s="266">
        <f t="shared" si="11"/>
        <v>285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240</v>
      </c>
      <c r="E213" s="257">
        <f t="array" ref="E213">IF(B55=B213,H55)</f>
        <v>242</v>
      </c>
      <c r="F213" s="257">
        <f t="array" ref="F213">IF(B103=B213,H103)</f>
        <v>292</v>
      </c>
      <c r="G213" s="257">
        <f t="array" ref="G213">IF(B143=B213,H143)</f>
        <v>308</v>
      </c>
      <c r="H213" s="257">
        <f t="array" ref="H213">IF(B186=B213,H186)</f>
        <v>278</v>
      </c>
      <c r="I213" s="257">
        <f t="shared" si="10"/>
        <v>272</v>
      </c>
      <c r="J213" s="266">
        <f t="shared" si="11"/>
        <v>280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232</v>
      </c>
      <c r="E214" s="257">
        <f t="array" ref="E214">IF(B56=B214,H56)</f>
        <v>235</v>
      </c>
      <c r="F214" s="257">
        <f t="array" ref="F214">IF(B104=B214,H104)</f>
        <v>286</v>
      </c>
      <c r="G214" s="257">
        <f t="array" ref="G214">IF(B144=B214,H144)</f>
        <v>309</v>
      </c>
      <c r="H214" s="257">
        <f t="array" ref="H214">IF(B187=B214,H187)</f>
        <v>272</v>
      </c>
      <c r="I214" s="257">
        <f t="shared" si="10"/>
        <v>266.8</v>
      </c>
      <c r="J214" s="266">
        <f t="shared" si="11"/>
        <v>276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224</v>
      </c>
      <c r="E215" s="271">
        <f t="array" ref="E215">IF(B57=B215,H57)</f>
        <v>228</v>
      </c>
      <c r="F215" s="271">
        <f t="array" ref="F215">IF(B105=B215,H105)</f>
        <v>281</v>
      </c>
      <c r="G215" s="271">
        <f t="array" ref="G215">IF(B145=B215,H145)</f>
        <v>310</v>
      </c>
      <c r="H215" s="271">
        <f t="array" ref="H215">IF(B188=B215,H188)</f>
        <v>267</v>
      </c>
      <c r="I215" s="271">
        <f t="shared" si="10"/>
        <v>262</v>
      </c>
      <c r="J215" s="273">
        <f t="shared" si="11"/>
        <v>272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215</v>
      </c>
      <c r="E216" s="257">
        <f t="array" ref="E216">IF(B58=B216,H58)</f>
        <v>221</v>
      </c>
      <c r="F216" s="257">
        <f t="array" ref="F216">IF(B106=B216,H106)</f>
        <v>275</v>
      </c>
      <c r="G216" s="257">
        <f t="array" ref="G216">IF(B146=B216,H146)</f>
        <v>310</v>
      </c>
      <c r="H216" s="257">
        <f t="array" ref="H216">IF(B189=B216,H189)</f>
        <v>261</v>
      </c>
      <c r="I216" s="257">
        <f t="shared" si="10"/>
        <v>256.39999999999998</v>
      </c>
      <c r="J216" s="266">
        <f t="shared" si="11"/>
        <v>267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207</v>
      </c>
      <c r="E217" s="257">
        <f t="array" ref="E217">IF(B59=B217,H59)</f>
        <v>214</v>
      </c>
      <c r="F217" s="257">
        <f t="array" ref="F217">IF(B107=B217,H107)</f>
        <v>269</v>
      </c>
      <c r="G217" s="257">
        <f t="array" ref="G217">IF(B147=B217,H147)</f>
        <v>311</v>
      </c>
      <c r="H217" s="257">
        <f t="array" ref="H217">IF(B190=B217,H190)</f>
        <v>255</v>
      </c>
      <c r="I217" s="257">
        <f t="shared" si="10"/>
        <v>251.2</v>
      </c>
      <c r="J217" s="266">
        <f t="shared" si="11"/>
        <v>262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199</v>
      </c>
      <c r="E218" s="257">
        <f t="array" ref="E218">IF(B60=B218,H60)</f>
        <v>208</v>
      </c>
      <c r="F218" s="257">
        <f t="array" ref="F218">IF(B108=B218,H108)</f>
        <v>263</v>
      </c>
      <c r="G218" s="257">
        <f t="array" ref="G218">IF(B148=B218,H148)</f>
        <v>312</v>
      </c>
      <c r="H218" s="257">
        <f t="array" ref="H218">IF(B191=B218,H191)</f>
        <v>249</v>
      </c>
      <c r="I218" s="257">
        <f t="shared" si="10"/>
        <v>246.2</v>
      </c>
      <c r="J218" s="266">
        <f t="shared" si="11"/>
        <v>258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191</v>
      </c>
      <c r="E219" s="257">
        <f t="array" ref="E219">IF(B61=B219,H61)</f>
        <v>201</v>
      </c>
      <c r="F219" s="257">
        <f t="array" ref="F219">IF(B109=B219,H109)</f>
        <v>257</v>
      </c>
      <c r="G219" s="257">
        <f t="array" ref="G219">IF(B149=B219,H149)</f>
        <v>312</v>
      </c>
      <c r="H219" s="257">
        <f t="array" ref="H219">IF(B192=B219,H192)</f>
        <v>244</v>
      </c>
      <c r="I219" s="257">
        <f t="shared" si="10"/>
        <v>241</v>
      </c>
      <c r="J219" s="266">
        <f t="shared" si="11"/>
        <v>253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182</v>
      </c>
      <c r="E220" s="271">
        <f t="array" ref="E220">IF(B62=B220,H62)</f>
        <v>195</v>
      </c>
      <c r="F220" s="271">
        <f t="array" ref="F220">IF(B110=B220,H110)</f>
        <v>252</v>
      </c>
      <c r="G220" s="271">
        <f t="array" ref="G220">IF(B150=B220,H150)</f>
        <v>313</v>
      </c>
      <c r="H220" s="271">
        <f t="array" ref="H220">IF(B193=B220,H193)</f>
        <v>238</v>
      </c>
      <c r="I220" s="271">
        <f t="shared" si="10"/>
        <v>236</v>
      </c>
      <c r="J220" s="273">
        <f t="shared" si="11"/>
        <v>249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174</v>
      </c>
      <c r="E221" s="257">
        <f t="array" ref="E221">IF(B63=B221,H63)</f>
        <v>190</v>
      </c>
      <c r="F221" s="257">
        <f t="array" ref="F221">IF(B111=B221,H111)</f>
        <v>246</v>
      </c>
      <c r="G221" s="257">
        <f t="array" ref="G221">IF(B151=B221,H151)</f>
        <v>313</v>
      </c>
      <c r="H221" s="257">
        <f t="array" ref="H221">IF(B194=B221,H194)</f>
        <v>232</v>
      </c>
      <c r="I221" s="257">
        <f t="shared" si="10"/>
        <v>231</v>
      </c>
      <c r="J221" s="266">
        <f t="shared" si="11"/>
        <v>244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166</v>
      </c>
      <c r="E222" s="257">
        <f t="array" ref="E222">IF(B64=B222,H64)</f>
        <v>184</v>
      </c>
      <c r="F222" s="257">
        <f t="array" ref="F222">IF(B112=B222,H112)</f>
        <v>240</v>
      </c>
      <c r="G222" s="257">
        <f t="array" ref="G222">IF(B152=B222,H152)</f>
        <v>313</v>
      </c>
      <c r="H222" s="257">
        <f t="array" ref="H222">IF(B195=B222,H195)</f>
        <v>227</v>
      </c>
      <c r="I222" s="257">
        <f t="shared" si="10"/>
        <v>226</v>
      </c>
      <c r="J222" s="266">
        <f t="shared" si="11"/>
        <v>240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157</v>
      </c>
      <c r="E223" s="257">
        <f t="array" ref="E223">IF(B65=B223,H65)</f>
        <v>178</v>
      </c>
      <c r="F223" s="257">
        <f t="array" ref="F223">IF(B113=B223,H113)</f>
        <v>234</v>
      </c>
      <c r="G223" s="257">
        <f t="array" ref="G223">IF(B153=B223,H153)</f>
        <v>314</v>
      </c>
      <c r="H223" s="257">
        <f t="array" ref="H223">IF(B196=B223,H196)</f>
        <v>221</v>
      </c>
      <c r="I223" s="257">
        <f t="shared" si="10"/>
        <v>220.8</v>
      </c>
      <c r="J223" s="266">
        <f t="shared" si="11"/>
        <v>235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149</v>
      </c>
      <c r="E224" s="257">
        <f t="array" ref="E224">IF(B66=B224,H66)</f>
        <v>173</v>
      </c>
      <c r="F224" s="257">
        <f t="array" ref="F224">IF(B114=B224,H114)</f>
        <v>228</v>
      </c>
      <c r="G224" s="257">
        <f t="array" ref="G224">IF(B154=B224,H154)</f>
        <v>314</v>
      </c>
      <c r="H224" s="257">
        <f t="array" ref="H224">IF(B197=B224,H197)</f>
        <v>216</v>
      </c>
      <c r="I224" s="257">
        <f t="shared" si="10"/>
        <v>216</v>
      </c>
      <c r="J224" s="266">
        <f t="shared" si="11"/>
        <v>230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141</v>
      </c>
      <c r="E225" s="271">
        <f t="array" ref="E225">IF(B67=B225,H67)</f>
        <v>168</v>
      </c>
      <c r="F225" s="271">
        <f t="array" ref="F225">IF(B115=B225,H115)</f>
        <v>223</v>
      </c>
      <c r="G225" s="271">
        <f t="array" ref="G225">IF(B155=B225,H155)</f>
        <v>315</v>
      </c>
      <c r="H225" s="271">
        <f t="array" ref="H225">IF(B198=B225,H198)</f>
        <v>211</v>
      </c>
      <c r="I225" s="271">
        <f t="shared" si="10"/>
        <v>211.6</v>
      </c>
      <c r="J225" s="273">
        <f t="shared" si="11"/>
        <v>226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132</v>
      </c>
      <c r="E226" s="257">
        <f t="array" ref="E226">IF(B68=B226,H68)</f>
        <v>163</v>
      </c>
      <c r="F226" s="257">
        <f t="array" ref="F226">IF(B116=B226,H116)</f>
        <v>217</v>
      </c>
      <c r="G226" s="257">
        <f t="array" ref="G226">IF(B156=B226,H156)</f>
        <v>315</v>
      </c>
      <c r="H226" s="257">
        <f t="array" ref="H226">IF(B199=B226,H199)</f>
        <v>205</v>
      </c>
      <c r="I226" s="257">
        <f t="shared" si="10"/>
        <v>206.4</v>
      </c>
      <c r="J226" s="266">
        <f t="shared" si="11"/>
        <v>221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124</v>
      </c>
      <c r="E227" s="257">
        <f t="array" ref="E227">IF(B69=B227,H69)</f>
        <v>158</v>
      </c>
      <c r="F227" s="257">
        <f t="array" ref="F227">IF(B117=B227,H117)</f>
        <v>211</v>
      </c>
      <c r="G227" s="257">
        <f t="array" ref="G227">IF(B157=B227,H157)</f>
        <v>315</v>
      </c>
      <c r="H227" s="257">
        <f t="array" ref="H227">IF(B200=B227,H200)</f>
        <v>200</v>
      </c>
      <c r="I227" s="257">
        <f t="shared" si="10"/>
        <v>201.6</v>
      </c>
      <c r="J227" s="266">
        <f t="shared" si="11"/>
        <v>217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116</v>
      </c>
      <c r="E228" s="257">
        <f t="array" ref="E228">IF(B70=B228,H70)</f>
        <v>153</v>
      </c>
      <c r="F228" s="257">
        <f t="array" ref="F228">IF(B118=B228,H118)</f>
        <v>205</v>
      </c>
      <c r="G228" s="257">
        <f t="array" ref="G228">IF(B158=B228,H158)</f>
        <v>316</v>
      </c>
      <c r="H228" s="257">
        <f t="array" ref="H228">IF(B201=B228,H201)</f>
        <v>195</v>
      </c>
      <c r="I228" s="257">
        <f t="shared" si="10"/>
        <v>197</v>
      </c>
      <c r="J228" s="266">
        <f t="shared" si="11"/>
        <v>212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108</v>
      </c>
      <c r="E229" s="257">
        <f t="array" ref="E229">IF(B71=B229,H71)</f>
        <v>149</v>
      </c>
      <c r="F229" s="257">
        <f t="array" ref="F229">IF(B119=B229,H119)</f>
        <v>199</v>
      </c>
      <c r="G229" s="257">
        <f t="array" ref="G229">IF(B159=B229,H159)</f>
        <v>316</v>
      </c>
      <c r="H229" s="257">
        <f t="array" ref="H229">IF(B202=B229,H202)</f>
        <v>190</v>
      </c>
      <c r="I229" s="257">
        <f t="shared" si="10"/>
        <v>192.4</v>
      </c>
      <c r="J229" s="266">
        <f t="shared" si="11"/>
        <v>208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99</v>
      </c>
      <c r="E230" s="271">
        <f t="array" ref="E230">IF(B72=B230,H72)</f>
        <v>144</v>
      </c>
      <c r="F230" s="271">
        <f t="array" ref="F230">IF(B120=B230,H120)</f>
        <v>194</v>
      </c>
      <c r="G230" s="271">
        <f t="array" ref="G230">IF(B160=B230,H160)</f>
        <v>316</v>
      </c>
      <c r="H230" s="271">
        <f t="array" ref="H230">IF(B203=B230,H203)</f>
        <v>185</v>
      </c>
      <c r="I230" s="271">
        <f t="shared" si="10"/>
        <v>187.6</v>
      </c>
      <c r="J230" s="273">
        <f t="shared" si="11"/>
        <v>203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1090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1007</v>
      </c>
      <c r="C4" s="197">
        <v>2016</v>
      </c>
    </row>
    <row r="5" spans="1:15" ht="15" customHeight="1" thickBot="1">
      <c r="A5" s="198"/>
      <c r="B5" s="196" t="s">
        <v>1008</v>
      </c>
      <c r="C5" s="199"/>
      <c r="D5" s="196" t="s">
        <v>1775</v>
      </c>
      <c r="F5" s="200" t="s">
        <v>1009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1010</v>
      </c>
      <c r="C6" s="202"/>
      <c r="D6" s="202" t="s">
        <v>1011</v>
      </c>
      <c r="E6" s="202"/>
      <c r="F6" s="202" t="s">
        <v>1012</v>
      </c>
      <c r="G6" s="202"/>
      <c r="H6" s="202" t="s">
        <v>1013</v>
      </c>
      <c r="I6" s="202"/>
      <c r="J6" s="202" t="s">
        <v>1014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실적산정'!I18</f>
        <v>249.32323459159301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실적산정'!I19</f>
        <v>285.56862101743332</v>
      </c>
      <c r="E8" s="844"/>
      <c r="F8" s="206">
        <f t="shared" ref="F8:F12" si="1">D8-D7</f>
        <v>36.245386425840309</v>
      </c>
      <c r="G8" s="206"/>
      <c r="H8" s="207">
        <f t="shared" ref="H8:H12" si="2">ROUND(F8/D7*100,2)</f>
        <v>14.54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실적산정'!I20</f>
        <v>304.98939866866107</v>
      </c>
      <c r="E9" s="844"/>
      <c r="F9" s="206">
        <f t="shared" si="1"/>
        <v>19.420777651227752</v>
      </c>
      <c r="G9" s="206"/>
      <c r="H9" s="207">
        <f t="shared" si="2"/>
        <v>6.8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실적산정'!I21</f>
        <v>246.81231876812319</v>
      </c>
      <c r="E10" s="844"/>
      <c r="F10" s="206">
        <f t="shared" si="1"/>
        <v>-58.177079900537876</v>
      </c>
      <c r="G10" s="206"/>
      <c r="H10" s="207">
        <f t="shared" si="2"/>
        <v>-19.079999999999998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실적산정'!I22</f>
        <v>256.88973863382967</v>
      </c>
      <c r="E11" s="844"/>
      <c r="F11" s="206">
        <f t="shared" si="1"/>
        <v>10.077419865706474</v>
      </c>
      <c r="G11" s="206"/>
      <c r="H11" s="207">
        <f t="shared" si="2"/>
        <v>4.08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실적산정'!I23</f>
        <v>266.64485742003069</v>
      </c>
      <c r="E12" s="844"/>
      <c r="F12" s="206">
        <f t="shared" si="1"/>
        <v>9.7551187862010238</v>
      </c>
      <c r="G12" s="206"/>
      <c r="H12" s="207">
        <f t="shared" si="2"/>
        <v>3.8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1056</v>
      </c>
      <c r="C13" s="212"/>
      <c r="D13" s="213">
        <f>SUM(D7:D12)</f>
        <v>1610.228169099671</v>
      </c>
      <c r="E13" s="214"/>
      <c r="F13" s="215"/>
      <c r="G13" s="215"/>
      <c r="H13" s="918">
        <f>SUM(H7:H12)</f>
        <v>10.14</v>
      </c>
      <c r="I13" s="216"/>
      <c r="J13" s="217">
        <f>ROUND(AVERAGE(H7:H12),1)</f>
        <v>1.7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1091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1092</v>
      </c>
      <c r="D16" s="219" t="s">
        <v>1093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1094</v>
      </c>
      <c r="D17" s="219" t="s">
        <v>1095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1096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1097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1098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1099</v>
      </c>
      <c r="C21" s="202"/>
      <c r="D21" s="202" t="s">
        <v>1100</v>
      </c>
      <c r="E21" s="202"/>
      <c r="F21" s="202" t="s">
        <v>1101</v>
      </c>
      <c r="G21" s="202"/>
      <c r="H21" s="202" t="s">
        <v>1102</v>
      </c>
      <c r="I21" s="202"/>
      <c r="J21" s="202" t="s">
        <v>1103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267</v>
      </c>
      <c r="E22" s="221"/>
      <c r="F22" s="221">
        <v>0</v>
      </c>
      <c r="G22" s="221"/>
      <c r="H22" s="221">
        <f t="shared" ref="H22:H36" si="4">ROUND(D22*(1+F22),0)</f>
        <v>267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270</v>
      </c>
      <c r="E23" s="221"/>
      <c r="F23" s="221">
        <v>0</v>
      </c>
      <c r="G23" s="221"/>
      <c r="H23" s="221">
        <f t="shared" si="4"/>
        <v>270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274</v>
      </c>
      <c r="E24" s="221"/>
      <c r="F24" s="221">
        <v>0</v>
      </c>
      <c r="G24" s="221"/>
      <c r="H24" s="221">
        <f t="shared" si="4"/>
        <v>274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277</v>
      </c>
      <c r="E25" s="221"/>
      <c r="F25" s="221">
        <v>0</v>
      </c>
      <c r="G25" s="221"/>
      <c r="H25" s="221">
        <f t="shared" si="4"/>
        <v>277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281</v>
      </c>
      <c r="E26" s="269"/>
      <c r="F26" s="269">
        <v>0</v>
      </c>
      <c r="G26" s="269"/>
      <c r="H26" s="269">
        <f t="shared" si="4"/>
        <v>281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284</v>
      </c>
      <c r="E27" s="221"/>
      <c r="F27" s="221">
        <v>0</v>
      </c>
      <c r="G27" s="221"/>
      <c r="H27" s="221">
        <f t="shared" si="4"/>
        <v>284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288</v>
      </c>
      <c r="E28" s="221"/>
      <c r="F28" s="221">
        <v>0</v>
      </c>
      <c r="G28" s="221"/>
      <c r="H28" s="221">
        <f t="shared" si="4"/>
        <v>288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291</v>
      </c>
      <c r="E29" s="221"/>
      <c r="F29" s="221">
        <v>0</v>
      </c>
      <c r="G29" s="221"/>
      <c r="H29" s="221">
        <f t="shared" si="4"/>
        <v>291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295</v>
      </c>
      <c r="E30" s="221"/>
      <c r="F30" s="221">
        <v>0</v>
      </c>
      <c r="G30" s="221"/>
      <c r="H30" s="221">
        <f t="shared" si="4"/>
        <v>295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298</v>
      </c>
      <c r="E31" s="269"/>
      <c r="F31" s="269">
        <v>0</v>
      </c>
      <c r="G31" s="269"/>
      <c r="H31" s="269">
        <f t="shared" si="4"/>
        <v>298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302</v>
      </c>
      <c r="E32" s="221"/>
      <c r="F32" s="221">
        <v>0</v>
      </c>
      <c r="G32" s="221"/>
      <c r="H32" s="221">
        <f t="shared" si="4"/>
        <v>302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305</v>
      </c>
      <c r="E33" s="221"/>
      <c r="F33" s="221">
        <v>0</v>
      </c>
      <c r="G33" s="221"/>
      <c r="H33" s="221">
        <f t="shared" si="4"/>
        <v>305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309</v>
      </c>
      <c r="E34" s="221"/>
      <c r="F34" s="221">
        <v>0</v>
      </c>
      <c r="G34" s="221"/>
      <c r="H34" s="221">
        <f t="shared" si="4"/>
        <v>309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312</v>
      </c>
      <c r="E35" s="221"/>
      <c r="F35" s="221">
        <v>0</v>
      </c>
      <c r="G35" s="221"/>
      <c r="H35" s="221">
        <f t="shared" si="4"/>
        <v>312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316</v>
      </c>
      <c r="E36" s="269"/>
      <c r="F36" s="269">
        <v>0</v>
      </c>
      <c r="G36" s="269"/>
      <c r="H36" s="269">
        <f t="shared" si="4"/>
        <v>316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319</v>
      </c>
      <c r="E37" s="221"/>
      <c r="F37" s="221">
        <v>0</v>
      </c>
      <c r="G37" s="221"/>
      <c r="H37" s="221">
        <f>ROUND(D37*(1+F37),0)</f>
        <v>319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323</v>
      </c>
      <c r="E38" s="221"/>
      <c r="F38" s="221">
        <v>0</v>
      </c>
      <c r="G38" s="221"/>
      <c r="H38" s="221">
        <f>ROUND(D38*(1+F38),0)</f>
        <v>323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326</v>
      </c>
      <c r="E39" s="221"/>
      <c r="F39" s="221">
        <v>0</v>
      </c>
      <c r="G39" s="221"/>
      <c r="H39" s="221">
        <f>ROUND(D39*(1+F39),0)</f>
        <v>326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330</v>
      </c>
      <c r="E40" s="221"/>
      <c r="F40" s="221">
        <v>0</v>
      </c>
      <c r="G40" s="221"/>
      <c r="H40" s="221">
        <f>ROUND(D40*(1+F40),0)</f>
        <v>330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333</v>
      </c>
      <c r="E41" s="269"/>
      <c r="F41" s="269">
        <v>0</v>
      </c>
      <c r="G41" s="269"/>
      <c r="H41" s="269">
        <f>ROUND(D41*(1+F41),0)</f>
        <v>333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1104</v>
      </c>
      <c r="C42" s="223"/>
      <c r="D42" s="224" t="s">
        <v>1105</v>
      </c>
      <c r="E42" s="225">
        <f>D$12</f>
        <v>266.64485742003069</v>
      </c>
      <c r="F42" s="226"/>
      <c r="G42" s="224" t="s">
        <v>1106</v>
      </c>
      <c r="H42" s="224">
        <f>ROUND((D$12-D7)/(COUNT(D$7:D$12)-1),1)</f>
        <v>3.5</v>
      </c>
      <c r="I42" s="224"/>
      <c r="J42" s="224" t="s">
        <v>1107</v>
      </c>
      <c r="K42" s="227" t="s">
        <v>1108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1109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1092</v>
      </c>
      <c r="D47" s="219" t="s">
        <v>1110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1094</v>
      </c>
      <c r="D48" s="219" t="s">
        <v>1095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1096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1111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1112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1099</v>
      </c>
      <c r="C53" s="202"/>
      <c r="D53" s="202" t="s">
        <v>1100</v>
      </c>
      <c r="E53" s="202"/>
      <c r="F53" s="202" t="s">
        <v>1101</v>
      </c>
      <c r="G53" s="202"/>
      <c r="H53" s="202" t="s">
        <v>1102</v>
      </c>
      <c r="I53" s="202"/>
      <c r="J53" s="202" t="s">
        <v>1103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267</v>
      </c>
      <c r="E54" s="221"/>
      <c r="F54" s="221">
        <v>0</v>
      </c>
      <c r="G54" s="221"/>
      <c r="H54" s="221">
        <f t="shared" ref="H54:H68" si="6">ROUND(D54*(1+F54),0)</f>
        <v>267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270</v>
      </c>
      <c r="E55" s="221"/>
      <c r="F55" s="221">
        <v>0</v>
      </c>
      <c r="G55" s="221"/>
      <c r="H55" s="221">
        <f t="shared" si="6"/>
        <v>270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274</v>
      </c>
      <c r="E56" s="221"/>
      <c r="F56" s="221">
        <v>0</v>
      </c>
      <c r="G56" s="221"/>
      <c r="H56" s="221">
        <f t="shared" si="6"/>
        <v>274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278</v>
      </c>
      <c r="E57" s="221"/>
      <c r="F57" s="221">
        <v>0</v>
      </c>
      <c r="G57" s="221"/>
      <c r="H57" s="221">
        <f t="shared" si="6"/>
        <v>278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281</v>
      </c>
      <c r="E58" s="269"/>
      <c r="F58" s="269">
        <v>0</v>
      </c>
      <c r="G58" s="269"/>
      <c r="H58" s="269">
        <f t="shared" si="6"/>
        <v>281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285</v>
      </c>
      <c r="E59" s="221"/>
      <c r="F59" s="221">
        <v>0</v>
      </c>
      <c r="G59" s="221"/>
      <c r="H59" s="221">
        <f t="shared" si="6"/>
        <v>285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289</v>
      </c>
      <c r="E60" s="221"/>
      <c r="F60" s="221">
        <v>0</v>
      </c>
      <c r="G60" s="221"/>
      <c r="H60" s="221">
        <f t="shared" si="6"/>
        <v>289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293</v>
      </c>
      <c r="E61" s="221"/>
      <c r="F61" s="221">
        <v>0</v>
      </c>
      <c r="G61" s="221"/>
      <c r="H61" s="221">
        <f t="shared" si="6"/>
        <v>293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297</v>
      </c>
      <c r="E62" s="221"/>
      <c r="F62" s="221">
        <v>0</v>
      </c>
      <c r="G62" s="221"/>
      <c r="H62" s="221">
        <f t="shared" si="6"/>
        <v>297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301</v>
      </c>
      <c r="E63" s="269"/>
      <c r="F63" s="269">
        <v>0</v>
      </c>
      <c r="G63" s="269"/>
      <c r="H63" s="269">
        <f t="shared" si="6"/>
        <v>301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305</v>
      </c>
      <c r="E64" s="221"/>
      <c r="F64" s="221">
        <v>0</v>
      </c>
      <c r="G64" s="221"/>
      <c r="H64" s="221">
        <f t="shared" si="6"/>
        <v>305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309</v>
      </c>
      <c r="E65" s="221"/>
      <c r="F65" s="221">
        <v>0</v>
      </c>
      <c r="G65" s="221"/>
      <c r="H65" s="221">
        <f t="shared" si="6"/>
        <v>309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313</v>
      </c>
      <c r="E66" s="221"/>
      <c r="F66" s="221">
        <v>0</v>
      </c>
      <c r="G66" s="221"/>
      <c r="H66" s="221">
        <f t="shared" si="6"/>
        <v>313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318</v>
      </c>
      <c r="E67" s="221"/>
      <c r="F67" s="221">
        <v>0</v>
      </c>
      <c r="G67" s="221"/>
      <c r="H67" s="221">
        <f t="shared" si="6"/>
        <v>318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322</v>
      </c>
      <c r="E68" s="269"/>
      <c r="F68" s="269">
        <v>0</v>
      </c>
      <c r="G68" s="269"/>
      <c r="H68" s="269">
        <f t="shared" si="6"/>
        <v>322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326</v>
      </c>
      <c r="E69" s="221"/>
      <c r="F69" s="221">
        <v>0</v>
      </c>
      <c r="G69" s="221"/>
      <c r="H69" s="221">
        <f>ROUND(D69*(1+F69),0)</f>
        <v>326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331</v>
      </c>
      <c r="E70" s="221"/>
      <c r="F70" s="221">
        <v>0</v>
      </c>
      <c r="G70" s="221"/>
      <c r="H70" s="221">
        <f>ROUND(D70*(1+F70),0)</f>
        <v>331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335</v>
      </c>
      <c r="E71" s="221"/>
      <c r="F71" s="221">
        <v>0</v>
      </c>
      <c r="G71" s="221"/>
      <c r="H71" s="221">
        <f>ROUND(D71*(1+F71),0)</f>
        <v>335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340</v>
      </c>
      <c r="E72" s="221"/>
      <c r="F72" s="221">
        <v>0</v>
      </c>
      <c r="G72" s="221"/>
      <c r="H72" s="221">
        <f>ROUND(D72*(1+F72),0)</f>
        <v>340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344</v>
      </c>
      <c r="E73" s="269"/>
      <c r="F73" s="269">
        <v>0</v>
      </c>
      <c r="G73" s="269"/>
      <c r="H73" s="269">
        <f>ROUND(D73*(1+F73),0)</f>
        <v>344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1113</v>
      </c>
      <c r="C74" s="223"/>
      <c r="D74" s="224" t="s">
        <v>1105</v>
      </c>
      <c r="E74" s="225">
        <f>D$12</f>
        <v>266.64485742003069</v>
      </c>
      <c r="F74" s="226"/>
      <c r="G74" s="224" t="s">
        <v>1114</v>
      </c>
      <c r="H74" s="224">
        <f>ROUND((E$74/D$7)^(1/(COUNT(D$7:D$12)-1)),6)</f>
        <v>1.0135240000000001</v>
      </c>
      <c r="I74" s="224"/>
      <c r="J74" s="224" t="s">
        <v>1031</v>
      </c>
      <c r="K74" s="227" t="s">
        <v>1032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1115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1018</v>
      </c>
      <c r="D85" s="219" t="s">
        <v>1116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1064</v>
      </c>
      <c r="D86" s="219" t="s">
        <v>1117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1118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1119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1120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1010</v>
      </c>
      <c r="C90" s="202"/>
      <c r="D90" s="202" t="s">
        <v>1121</v>
      </c>
      <c r="E90" s="202" t="s">
        <v>1122</v>
      </c>
      <c r="F90" s="202" t="s">
        <v>1123</v>
      </c>
      <c r="G90" s="202"/>
      <c r="H90" s="202" t="s">
        <v>1124</v>
      </c>
      <c r="I90" s="202"/>
      <c r="J90" s="202" t="s">
        <v>1014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249.32323459159301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-623.30999999999995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285.56862101743332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-428.35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304.98939866866107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-152.49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246.81231876812319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123.41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256.88973863382967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385.33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266.64485742003069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666.61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1056</v>
      </c>
      <c r="C97" s="212"/>
      <c r="D97" s="232">
        <f>SUM(D91:D96)</f>
        <v>1610.228169099671</v>
      </c>
      <c r="E97" s="215"/>
      <c r="F97" s="233">
        <f>ROUND(SUM(F91:F96),0)</f>
        <v>18</v>
      </c>
      <c r="G97" s="212"/>
      <c r="H97" s="234">
        <f>SUM(H91:H96)</f>
        <v>-28.799999999999841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1125</v>
      </c>
      <c r="C98" s="208"/>
      <c r="D98" s="236" t="s">
        <v>1126</v>
      </c>
      <c r="E98" s="203"/>
      <c r="F98" s="203"/>
      <c r="G98" s="201">
        <f>((COUNT(B$91:B$96))*H$97-D$97*E$97)/((COUNT(B$91:B$96))*F$97-E$97*E$97)</f>
        <v>-1.5999999999999912</v>
      </c>
      <c r="H98" s="236" t="s">
        <v>1127</v>
      </c>
      <c r="I98" s="201"/>
      <c r="J98" s="201"/>
      <c r="K98" s="201">
        <f>ROUND((F97*D97-H97*E97)/(COUNT(B$91:B$96)*F97-E97*E97),0)</f>
        <v>268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1061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1010</v>
      </c>
      <c r="C102" s="202"/>
      <c r="D102" s="202" t="s">
        <v>1025</v>
      </c>
      <c r="E102" s="202"/>
      <c r="F102" s="202" t="s">
        <v>1026</v>
      </c>
      <c r="G102" s="202"/>
      <c r="H102" s="202" t="s">
        <v>1027</v>
      </c>
      <c r="I102" s="202"/>
      <c r="J102" s="202" t="s">
        <v>1014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264</v>
      </c>
      <c r="E103" s="221"/>
      <c r="F103" s="221">
        <v>0</v>
      </c>
      <c r="G103" s="221"/>
      <c r="H103" s="221">
        <f t="shared" ref="H103:H117" si="13">ROUND(D103*(1+F103),0)</f>
        <v>264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263</v>
      </c>
      <c r="E104" s="221"/>
      <c r="F104" s="221">
        <v>0</v>
      </c>
      <c r="G104" s="221"/>
      <c r="H104" s="221">
        <f t="shared" si="13"/>
        <v>263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261</v>
      </c>
      <c r="E105" s="221"/>
      <c r="F105" s="221">
        <v>0</v>
      </c>
      <c r="G105" s="221"/>
      <c r="H105" s="221">
        <f t="shared" si="13"/>
        <v>261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260</v>
      </c>
      <c r="E106" s="221"/>
      <c r="F106" s="221">
        <v>0</v>
      </c>
      <c r="G106" s="221"/>
      <c r="H106" s="221">
        <f t="shared" si="13"/>
        <v>260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258</v>
      </c>
      <c r="E107" s="269"/>
      <c r="F107" s="269">
        <v>0</v>
      </c>
      <c r="G107" s="269"/>
      <c r="H107" s="269">
        <f t="shared" si="13"/>
        <v>258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256</v>
      </c>
      <c r="E108" s="221"/>
      <c r="F108" s="221">
        <v>0</v>
      </c>
      <c r="G108" s="221"/>
      <c r="H108" s="221">
        <f t="shared" si="13"/>
        <v>256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255</v>
      </c>
      <c r="E109" s="221"/>
      <c r="F109" s="221">
        <v>0</v>
      </c>
      <c r="G109" s="221"/>
      <c r="H109" s="221">
        <f t="shared" si="13"/>
        <v>255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253</v>
      </c>
      <c r="E110" s="221"/>
      <c r="F110" s="221">
        <v>0</v>
      </c>
      <c r="G110" s="221"/>
      <c r="H110" s="221">
        <f t="shared" si="13"/>
        <v>253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252</v>
      </c>
      <c r="E111" s="221"/>
      <c r="F111" s="221">
        <v>0</v>
      </c>
      <c r="G111" s="221"/>
      <c r="H111" s="221">
        <f t="shared" si="13"/>
        <v>252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250</v>
      </c>
      <c r="E112" s="269"/>
      <c r="F112" s="269">
        <v>0</v>
      </c>
      <c r="G112" s="269"/>
      <c r="H112" s="269">
        <f t="shared" si="13"/>
        <v>250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248</v>
      </c>
      <c r="E113" s="221"/>
      <c r="F113" s="221">
        <v>0</v>
      </c>
      <c r="G113" s="221"/>
      <c r="H113" s="221">
        <f t="shared" si="13"/>
        <v>248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247</v>
      </c>
      <c r="E114" s="221"/>
      <c r="F114" s="221">
        <v>0</v>
      </c>
      <c r="G114" s="221"/>
      <c r="H114" s="221">
        <f t="shared" si="13"/>
        <v>247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245</v>
      </c>
      <c r="E115" s="221"/>
      <c r="F115" s="221">
        <v>0</v>
      </c>
      <c r="G115" s="221"/>
      <c r="H115" s="221">
        <f t="shared" si="13"/>
        <v>245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244</v>
      </c>
      <c r="E116" s="221"/>
      <c r="F116" s="221">
        <v>0</v>
      </c>
      <c r="G116" s="221"/>
      <c r="H116" s="221">
        <f t="shared" si="13"/>
        <v>244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242</v>
      </c>
      <c r="E117" s="269"/>
      <c r="F117" s="269">
        <v>0</v>
      </c>
      <c r="G117" s="269"/>
      <c r="H117" s="269">
        <f t="shared" si="13"/>
        <v>242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240</v>
      </c>
      <c r="E118" s="221"/>
      <c r="F118" s="221">
        <v>0</v>
      </c>
      <c r="G118" s="221"/>
      <c r="H118" s="221">
        <f>ROUND(D118*(1+F118),0)</f>
        <v>240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239</v>
      </c>
      <c r="E119" s="221"/>
      <c r="F119" s="221">
        <v>0</v>
      </c>
      <c r="G119" s="221"/>
      <c r="H119" s="221">
        <f>ROUND(D119*(1+F119),0)</f>
        <v>239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237</v>
      </c>
      <c r="E120" s="221"/>
      <c r="F120" s="221">
        <v>0</v>
      </c>
      <c r="G120" s="221"/>
      <c r="H120" s="221">
        <f>ROUND(D120*(1+F120),0)</f>
        <v>237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236</v>
      </c>
      <c r="E121" s="221"/>
      <c r="F121" s="221">
        <v>0</v>
      </c>
      <c r="G121" s="221"/>
      <c r="H121" s="221">
        <f>ROUND(D121*(1+F121),0)</f>
        <v>236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234</v>
      </c>
      <c r="E122" s="269"/>
      <c r="F122" s="269">
        <v>0</v>
      </c>
      <c r="G122" s="269"/>
      <c r="H122" s="269">
        <f>ROUND(D122*(1+F122),0)</f>
        <v>234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1128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1018</v>
      </c>
      <c r="D126" s="219" t="s">
        <v>1129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1064</v>
      </c>
      <c r="D127" s="219" t="s">
        <v>1065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1130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1131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1132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1010</v>
      </c>
      <c r="C131" s="202"/>
      <c r="D131" s="202" t="s">
        <v>1121</v>
      </c>
      <c r="E131" s="202" t="s">
        <v>1122</v>
      </c>
      <c r="F131" s="202" t="s">
        <v>1122</v>
      </c>
      <c r="G131" s="202" t="s">
        <v>1123</v>
      </c>
      <c r="H131" s="202" t="s">
        <v>1133</v>
      </c>
      <c r="I131" s="202"/>
      <c r="J131" s="202" t="s">
        <v>1134</v>
      </c>
      <c r="K131" s="202" t="s">
        <v>1135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249.32323459159301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285.56862101743332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36.245386425840309</v>
      </c>
      <c r="I133" s="231"/>
      <c r="J133" s="247">
        <f t="shared" ref="J133:J137" si="20">IF(H133="","",LOG(H133))</f>
        <v>1.5592527342914679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304.98939866866107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19.420777651227752</v>
      </c>
      <c r="I134" s="231"/>
      <c r="J134" s="247">
        <f t="shared" si="20"/>
        <v>1.2882666160393004</v>
      </c>
      <c r="K134" s="247">
        <f t="shared" si="17"/>
        <v>0.38780689384036232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246.81231876812319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58.177079900537876</v>
      </c>
      <c r="I135" s="231"/>
      <c r="J135" s="247">
        <f t="shared" si="20"/>
        <v>1.7647519187860898</v>
      </c>
      <c r="K135" s="247">
        <f t="shared" si="17"/>
        <v>0.84200064976015099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256.88973863382967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10.077419865706474</v>
      </c>
      <c r="I136" s="231"/>
      <c r="J136" s="247">
        <f t="shared" si="20"/>
        <v>1.0033493533872462</v>
      </c>
      <c r="K136" s="247">
        <f t="shared" si="17"/>
        <v>0.60407650299924209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266.64485742003069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9.7551187862010238</v>
      </c>
      <c r="I137" s="231"/>
      <c r="J137" s="247">
        <f t="shared" si="20"/>
        <v>0.98923256208292432</v>
      </c>
      <c r="K137" s="247">
        <f t="shared" si="17"/>
        <v>0.69144388820843261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146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6.6048531845870295</v>
      </c>
      <c r="K138" s="253">
        <f>IF(K137="","",SUM(K132:K137))</f>
        <v>2.5253279348081881</v>
      </c>
      <c r="L138" s="203"/>
      <c r="M138" s="203"/>
      <c r="N138" s="203"/>
      <c r="O138" s="203"/>
    </row>
    <row r="139" spans="1:15" ht="15" customHeight="1">
      <c r="A139" s="203"/>
      <c r="B139" s="208" t="s">
        <v>219</v>
      </c>
      <c r="C139" s="208"/>
      <c r="D139" s="201" t="s">
        <v>162</v>
      </c>
      <c r="E139" s="201">
        <f>IF(G138="",0,10^ROUND((G138*J138-F138*K138)/((COUNT(B$132:B$137)-1)*G138-F138*F138),5))</f>
        <v>41.962369148966772</v>
      </c>
      <c r="F139" s="238" t="s">
        <v>220</v>
      </c>
      <c r="G139" s="203"/>
      <c r="H139" s="208"/>
      <c r="I139" s="203"/>
      <c r="J139" s="254">
        <f>IF(G138="",0,ROUND(((COUNT(B$132:B$137)-1)*K138-J138*F138)/((COUNT(B$132:B$137)-1)*G138-F138*F138),5))</f>
        <v>-0.72599000000000002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221</v>
      </c>
      <c r="E140" s="219"/>
      <c r="F140" s="219"/>
      <c r="G140" s="256"/>
      <c r="H140" s="201" t="s">
        <v>222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200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141</v>
      </c>
      <c r="C143" s="202"/>
      <c r="D143" s="202" t="s">
        <v>156</v>
      </c>
      <c r="E143" s="202"/>
      <c r="F143" s="202" t="s">
        <v>157</v>
      </c>
      <c r="G143" s="202"/>
      <c r="H143" s="202" t="s">
        <v>158</v>
      </c>
      <c r="I143" s="202"/>
      <c r="J143" s="202" t="s">
        <v>144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263</v>
      </c>
      <c r="E144" s="257"/>
      <c r="F144" s="258">
        <v>0</v>
      </c>
      <c r="G144" s="258"/>
      <c r="H144" s="258">
        <f t="shared" ref="H144:H158" si="21">ROUND(D144*(1+F144),0)</f>
        <v>263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261</v>
      </c>
      <c r="E145" s="257"/>
      <c r="F145" s="258">
        <v>0</v>
      </c>
      <c r="G145" s="258"/>
      <c r="H145" s="258">
        <f t="shared" si="21"/>
        <v>261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260</v>
      </c>
      <c r="E146" s="257"/>
      <c r="F146" s="258">
        <v>0</v>
      </c>
      <c r="G146" s="258"/>
      <c r="H146" s="258">
        <f t="shared" si="21"/>
        <v>260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259</v>
      </c>
      <c r="E147" s="257"/>
      <c r="F147" s="258">
        <v>0</v>
      </c>
      <c r="G147" s="258"/>
      <c r="H147" s="258">
        <f t="shared" si="21"/>
        <v>259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258</v>
      </c>
      <c r="E148" s="271"/>
      <c r="F148" s="272">
        <v>0</v>
      </c>
      <c r="G148" s="272"/>
      <c r="H148" s="272">
        <f t="shared" si="21"/>
        <v>258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258</v>
      </c>
      <c r="E149" s="257"/>
      <c r="F149" s="258">
        <v>0</v>
      </c>
      <c r="G149" s="258"/>
      <c r="H149" s="258">
        <f t="shared" si="21"/>
        <v>258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257</v>
      </c>
      <c r="E150" s="257"/>
      <c r="F150" s="258">
        <v>0</v>
      </c>
      <c r="G150" s="258"/>
      <c r="H150" s="258">
        <f t="shared" si="21"/>
        <v>257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257</v>
      </c>
      <c r="E151" s="257"/>
      <c r="F151" s="258">
        <v>0</v>
      </c>
      <c r="G151" s="258"/>
      <c r="H151" s="258">
        <f t="shared" si="21"/>
        <v>257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256</v>
      </c>
      <c r="E152" s="257"/>
      <c r="F152" s="258">
        <v>0</v>
      </c>
      <c r="G152" s="258"/>
      <c r="H152" s="258">
        <f t="shared" si="21"/>
        <v>256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256</v>
      </c>
      <c r="E153" s="271"/>
      <c r="F153" s="272">
        <v>0</v>
      </c>
      <c r="G153" s="272"/>
      <c r="H153" s="272">
        <f t="shared" si="21"/>
        <v>256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256</v>
      </c>
      <c r="E154" s="257"/>
      <c r="F154" s="258">
        <v>0</v>
      </c>
      <c r="G154" s="258"/>
      <c r="H154" s="258">
        <f t="shared" si="21"/>
        <v>256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255</v>
      </c>
      <c r="E155" s="257"/>
      <c r="F155" s="258">
        <v>0</v>
      </c>
      <c r="G155" s="258"/>
      <c r="H155" s="258">
        <f t="shared" si="21"/>
        <v>255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255</v>
      </c>
      <c r="E156" s="257"/>
      <c r="F156" s="258">
        <v>0</v>
      </c>
      <c r="G156" s="258"/>
      <c r="H156" s="258">
        <f t="shared" si="21"/>
        <v>255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255</v>
      </c>
      <c r="E157" s="257"/>
      <c r="F157" s="258">
        <v>0</v>
      </c>
      <c r="G157" s="258"/>
      <c r="H157" s="258">
        <f t="shared" si="21"/>
        <v>255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255</v>
      </c>
      <c r="E158" s="271"/>
      <c r="F158" s="272">
        <v>0</v>
      </c>
      <c r="G158" s="272"/>
      <c r="H158" s="272">
        <f t="shared" si="21"/>
        <v>255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255</v>
      </c>
      <c r="E159" s="257"/>
      <c r="F159" s="258">
        <v>0</v>
      </c>
      <c r="G159" s="258"/>
      <c r="H159" s="258">
        <f>ROUND(D159*(1+F159),0)</f>
        <v>255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254</v>
      </c>
      <c r="E160" s="257"/>
      <c r="F160" s="258">
        <v>0</v>
      </c>
      <c r="G160" s="258"/>
      <c r="H160" s="258">
        <f>ROUND(D160*(1+F160),0)</f>
        <v>254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254</v>
      </c>
      <c r="E161" s="257"/>
      <c r="F161" s="258">
        <v>0</v>
      </c>
      <c r="G161" s="258"/>
      <c r="H161" s="258">
        <f>ROUND(D161*(1+F161),0)</f>
        <v>254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254</v>
      </c>
      <c r="E162" s="257"/>
      <c r="F162" s="258">
        <v>0</v>
      </c>
      <c r="G162" s="258"/>
      <c r="H162" s="258">
        <f>ROUND(D162*(1+F162),0)</f>
        <v>254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254</v>
      </c>
      <c r="E163" s="271"/>
      <c r="F163" s="272">
        <v>0</v>
      </c>
      <c r="G163" s="272"/>
      <c r="H163" s="272">
        <f>ROUND(D163*(1+F163),0)</f>
        <v>254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229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148</v>
      </c>
      <c r="D170" s="219" t="s">
        <v>231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185</v>
      </c>
      <c r="D171" s="219" t="s">
        <v>207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234</v>
      </c>
      <c r="E172" s="2250">
        <f>K7</f>
        <v>600</v>
      </c>
      <c r="F172" s="2250"/>
      <c r="G172" s="219" t="s">
        <v>1136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1137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1010</v>
      </c>
      <c r="C174" s="202"/>
      <c r="D174" s="202" t="s">
        <v>1121</v>
      </c>
      <c r="E174" s="202" t="s">
        <v>1122</v>
      </c>
      <c r="F174" s="202" t="s">
        <v>1123</v>
      </c>
      <c r="G174" s="202" t="s">
        <v>1138</v>
      </c>
      <c r="H174" s="202" t="s">
        <v>1139</v>
      </c>
      <c r="I174" s="202" t="s">
        <v>1140</v>
      </c>
      <c r="J174" s="202" t="s">
        <v>1134</v>
      </c>
      <c r="K174" s="202" t="s">
        <v>1141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249.32323459159301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350.67676540840699</v>
      </c>
      <c r="H175" s="259">
        <f t="shared" ref="H175:H180" si="28">LOG(D175)</f>
        <v>2.3967627525700639</v>
      </c>
      <c r="I175" s="245">
        <f t="shared" ref="I175:I180" si="29">LOG(G175)</f>
        <v>2.5449069920314993</v>
      </c>
      <c r="J175" s="246">
        <f t="shared" ref="J175:J180" si="30">H175-I175</f>
        <v>-0.1481442394614354</v>
      </c>
      <c r="K175" s="246">
        <f t="shared" ref="K175:K180" si="31">E175*J175</f>
        <v>0.3703605986535885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285.56862101743332</v>
      </c>
      <c r="E176" s="244">
        <f t="shared" si="25"/>
        <v>-1.5</v>
      </c>
      <c r="F176" s="206">
        <f t="shared" si="26"/>
        <v>2.25</v>
      </c>
      <c r="G176" s="844">
        <f t="shared" si="27"/>
        <v>314.43137898256668</v>
      </c>
      <c r="H176" s="259">
        <f t="shared" si="28"/>
        <v>2.4557104843797926</v>
      </c>
      <c r="I176" s="245">
        <f t="shared" si="29"/>
        <v>2.4975258803666009</v>
      </c>
      <c r="J176" s="246">
        <f t="shared" si="30"/>
        <v>-4.181539598680839E-2</v>
      </c>
      <c r="K176" s="246">
        <f t="shared" si="31"/>
        <v>6.2723093980212585E-2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304.98939866866107</v>
      </c>
      <c r="E177" s="244">
        <f t="shared" si="25"/>
        <v>-0.5</v>
      </c>
      <c r="F177" s="206">
        <f t="shared" si="26"/>
        <v>0.25</v>
      </c>
      <c r="G177" s="844">
        <f t="shared" si="27"/>
        <v>295.01060133133893</v>
      </c>
      <c r="H177" s="259">
        <f t="shared" si="28"/>
        <v>2.4842847436755764</v>
      </c>
      <c r="I177" s="245">
        <f t="shared" si="29"/>
        <v>2.4698376228153669</v>
      </c>
      <c r="J177" s="246">
        <f t="shared" si="30"/>
        <v>1.4447120860209495E-2</v>
      </c>
      <c r="K177" s="246">
        <f t="shared" si="31"/>
        <v>-7.2235604301047474E-3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246.81231876812319</v>
      </c>
      <c r="E178" s="244">
        <f t="shared" si="25"/>
        <v>0.5</v>
      </c>
      <c r="F178" s="206">
        <f t="shared" si="26"/>
        <v>0.25</v>
      </c>
      <c r="G178" s="844">
        <f t="shared" si="27"/>
        <v>353.18768123187681</v>
      </c>
      <c r="H178" s="259">
        <f t="shared" si="28"/>
        <v>2.3923668321825371</v>
      </c>
      <c r="I178" s="245">
        <f t="shared" si="29"/>
        <v>2.5480055474923966</v>
      </c>
      <c r="J178" s="246">
        <f t="shared" si="30"/>
        <v>-0.15563871530985951</v>
      </c>
      <c r="K178" s="246">
        <f t="shared" si="31"/>
        <v>-7.7819357654929755E-2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256.88973863382967</v>
      </c>
      <c r="E179" s="244">
        <f t="shared" si="25"/>
        <v>1.5</v>
      </c>
      <c r="F179" s="206">
        <f t="shared" si="26"/>
        <v>2.25</v>
      </c>
      <c r="G179" s="844">
        <f t="shared" si="27"/>
        <v>343.11026136617033</v>
      </c>
      <c r="H179" s="259">
        <f t="shared" si="28"/>
        <v>2.4097467568793896</v>
      </c>
      <c r="I179" s="245">
        <f t="shared" si="29"/>
        <v>2.5354337066544379</v>
      </c>
      <c r="J179" s="246">
        <f t="shared" si="30"/>
        <v>-0.12568694977504835</v>
      </c>
      <c r="K179" s="246">
        <f t="shared" si="31"/>
        <v>-0.18853042466257253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266.64485742003069</v>
      </c>
      <c r="E180" s="244">
        <f t="shared" si="25"/>
        <v>2.5</v>
      </c>
      <c r="F180" s="206">
        <f t="shared" si="26"/>
        <v>6.25</v>
      </c>
      <c r="G180" s="844">
        <f t="shared" si="27"/>
        <v>333.35514257996931</v>
      </c>
      <c r="H180" s="259">
        <f t="shared" si="28"/>
        <v>2.4259332121867554</v>
      </c>
      <c r="I180" s="245">
        <f t="shared" si="29"/>
        <v>2.5229071592572221</v>
      </c>
      <c r="J180" s="246">
        <f t="shared" si="30"/>
        <v>-9.6973947070466693E-2</v>
      </c>
      <c r="K180" s="246">
        <f t="shared" si="31"/>
        <v>-0.24243486767616673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1056</v>
      </c>
      <c r="C181" s="212"/>
      <c r="D181" s="260">
        <f>SUM(D175:D180)</f>
        <v>1610.228169099671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-0.55381212674340885</v>
      </c>
      <c r="K181" s="263">
        <f>SUM(K175:K180)</f>
        <v>-8.2924517789972674E-2</v>
      </c>
      <c r="L181" s="203"/>
      <c r="M181" s="203"/>
      <c r="N181" s="203"/>
      <c r="O181" s="203"/>
    </row>
    <row r="182" spans="1:15" ht="15" customHeight="1">
      <c r="A182" s="203"/>
      <c r="B182" s="208" t="s">
        <v>1142</v>
      </c>
      <c r="C182" s="208"/>
      <c r="D182" s="201" t="s">
        <v>1143</v>
      </c>
      <c r="E182" s="236" t="s">
        <v>1144</v>
      </c>
      <c r="F182" s="203"/>
      <c r="G182" s="219" t="str">
        <f>"X = x × LOG e = "&amp;E181&amp;" 이고,"</f>
        <v>X = x × LOG e = 0 이고,</v>
      </c>
      <c r="H182" s="219"/>
      <c r="I182" s="219" t="s">
        <v>1145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1146</v>
      </c>
      <c r="E183" s="219"/>
      <c r="F183" s="219"/>
      <c r="G183" s="219"/>
      <c r="H183" s="254">
        <f>ROUND(((E$181*K$181-F$181*J$181)/(COUNT(B$175:B$180)*F$181-E$181*E$181))/LOG(EXP(1)),5)</f>
        <v>0.21253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1147</v>
      </c>
      <c r="E184" s="219"/>
      <c r="F184" s="219"/>
      <c r="G184" s="264" t="s">
        <v>1148</v>
      </c>
      <c r="H184" s="219"/>
      <c r="I184" s="219"/>
      <c r="J184" s="219"/>
      <c r="K184" s="265">
        <f>ROUND((COUNT(B$175:B$180)*K181-E181*J181)/(LOG(EXP(1))*(COUNT(B$175:B$180)*F181-E181*E181)),6)</f>
        <v>-1.0607999999999999E-2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1061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1010</v>
      </c>
      <c r="C187" s="202"/>
      <c r="D187" s="202" t="s">
        <v>1025</v>
      </c>
      <c r="E187" s="202"/>
      <c r="F187" s="202" t="s">
        <v>1026</v>
      </c>
      <c r="G187" s="202"/>
      <c r="H187" s="202" t="s">
        <v>1027</v>
      </c>
      <c r="I187" s="202"/>
      <c r="J187" s="202" t="s">
        <v>1014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262</v>
      </c>
      <c r="E188" s="221"/>
      <c r="F188" s="221">
        <v>0</v>
      </c>
      <c r="G188" s="221"/>
      <c r="H188" s="221">
        <f t="shared" ref="H188:H202" si="33">ROUND(D188*(1+F188),0)</f>
        <v>262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260</v>
      </c>
      <c r="E189" s="221"/>
      <c r="F189" s="221">
        <v>0</v>
      </c>
      <c r="G189" s="221"/>
      <c r="H189" s="221">
        <f t="shared" si="33"/>
        <v>260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259</v>
      </c>
      <c r="E190" s="221"/>
      <c r="F190" s="221">
        <v>0</v>
      </c>
      <c r="G190" s="221"/>
      <c r="H190" s="221">
        <f t="shared" si="33"/>
        <v>259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257</v>
      </c>
      <c r="E191" s="221"/>
      <c r="F191" s="221">
        <v>0</v>
      </c>
      <c r="G191" s="221"/>
      <c r="H191" s="221">
        <f t="shared" si="33"/>
        <v>257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255</v>
      </c>
      <c r="E192" s="269"/>
      <c r="F192" s="269">
        <v>0</v>
      </c>
      <c r="G192" s="269"/>
      <c r="H192" s="269">
        <f t="shared" si="33"/>
        <v>255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254</v>
      </c>
      <c r="E193" s="221"/>
      <c r="F193" s="221">
        <v>0</v>
      </c>
      <c r="G193" s="221"/>
      <c r="H193" s="221">
        <f t="shared" si="33"/>
        <v>254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252</v>
      </c>
      <c r="E194" s="221"/>
      <c r="F194" s="221">
        <v>0</v>
      </c>
      <c r="G194" s="221"/>
      <c r="H194" s="221">
        <f t="shared" si="33"/>
        <v>252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251</v>
      </c>
      <c r="E195" s="221"/>
      <c r="F195" s="221">
        <v>0</v>
      </c>
      <c r="G195" s="221"/>
      <c r="H195" s="221">
        <f t="shared" si="33"/>
        <v>251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249</v>
      </c>
      <c r="E196" s="221"/>
      <c r="F196" s="221">
        <v>0</v>
      </c>
      <c r="G196" s="221"/>
      <c r="H196" s="221">
        <f t="shared" si="33"/>
        <v>249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248</v>
      </c>
      <c r="E197" s="269"/>
      <c r="F197" s="269">
        <v>0</v>
      </c>
      <c r="G197" s="269"/>
      <c r="H197" s="269">
        <f t="shared" si="33"/>
        <v>248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246</v>
      </c>
      <c r="E198" s="221"/>
      <c r="F198" s="221">
        <v>0</v>
      </c>
      <c r="G198" s="221"/>
      <c r="H198" s="221">
        <f t="shared" si="33"/>
        <v>246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245</v>
      </c>
      <c r="E199" s="221"/>
      <c r="F199" s="221">
        <v>0</v>
      </c>
      <c r="G199" s="221"/>
      <c r="H199" s="221">
        <f t="shared" si="33"/>
        <v>245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243</v>
      </c>
      <c r="E200" s="221"/>
      <c r="F200" s="221">
        <v>0</v>
      </c>
      <c r="G200" s="221"/>
      <c r="H200" s="221">
        <f t="shared" si="33"/>
        <v>243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242</v>
      </c>
      <c r="E201" s="221"/>
      <c r="F201" s="221">
        <v>0</v>
      </c>
      <c r="G201" s="221"/>
      <c r="H201" s="221">
        <f t="shared" si="33"/>
        <v>242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240</v>
      </c>
      <c r="E202" s="269"/>
      <c r="F202" s="269">
        <v>0</v>
      </c>
      <c r="G202" s="269"/>
      <c r="H202" s="269">
        <f t="shared" si="33"/>
        <v>240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238</v>
      </c>
      <c r="E203" s="221"/>
      <c r="F203" s="221">
        <v>0</v>
      </c>
      <c r="G203" s="221"/>
      <c r="H203" s="221">
        <f>ROUND(D203*(1+F203),0)</f>
        <v>238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237</v>
      </c>
      <c r="E204" s="221"/>
      <c r="F204" s="221">
        <v>0</v>
      </c>
      <c r="G204" s="221"/>
      <c r="H204" s="221">
        <f>ROUND(D204*(1+F204),0)</f>
        <v>237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235</v>
      </c>
      <c r="E205" s="221"/>
      <c r="F205" s="221">
        <v>0</v>
      </c>
      <c r="G205" s="221"/>
      <c r="H205" s="221">
        <f>ROUND(D205*(1+F205),0)</f>
        <v>235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234</v>
      </c>
      <c r="E206" s="221"/>
      <c r="F206" s="221">
        <v>0</v>
      </c>
      <c r="G206" s="221"/>
      <c r="H206" s="221">
        <f>ROUND(D206*(1+F206),0)</f>
        <v>234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232</v>
      </c>
      <c r="E207" s="269"/>
      <c r="F207" s="269">
        <v>0</v>
      </c>
      <c r="G207" s="269"/>
      <c r="H207" s="269">
        <f>ROUND(D207*(1+F207),0)</f>
        <v>232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1149</v>
      </c>
      <c r="G213" s="208"/>
      <c r="H213" s="203"/>
      <c r="I213" s="203"/>
      <c r="J213" s="203"/>
      <c r="K213" s="228" t="s">
        <v>1150</v>
      </c>
      <c r="L213" s="203"/>
      <c r="M213" s="203"/>
      <c r="N213" s="203"/>
      <c r="O213" s="203"/>
    </row>
    <row r="214" spans="1:15" ht="15" customHeight="1">
      <c r="A214" s="203"/>
      <c r="B214" s="202" t="s">
        <v>1010</v>
      </c>
      <c r="C214" s="202"/>
      <c r="D214" s="202" t="s">
        <v>1151</v>
      </c>
      <c r="E214" s="202" t="s">
        <v>1152</v>
      </c>
      <c r="F214" s="202" t="s">
        <v>1153</v>
      </c>
      <c r="G214" s="202" t="s">
        <v>992</v>
      </c>
      <c r="H214" s="202" t="s">
        <v>1154</v>
      </c>
      <c r="I214" s="202" t="s">
        <v>1155</v>
      </c>
      <c r="J214" s="202" t="s">
        <v>1156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267</v>
      </c>
      <c r="E215" s="257">
        <f t="array" ref="E215">IF(B54=B215,H54)</f>
        <v>267</v>
      </c>
      <c r="F215" s="257">
        <f t="array" ref="F215">IF(B103=B215,H103)</f>
        <v>264</v>
      </c>
      <c r="G215" s="257">
        <f t="array" ref="G215">IF(B144=B215,H144)</f>
        <v>263</v>
      </c>
      <c r="H215" s="257">
        <f t="array" ref="H215">IF(B188=B215,H188)</f>
        <v>262</v>
      </c>
      <c r="I215" s="257">
        <f t="shared" ref="I215:I229" si="34">IF(G215=0,AVERAGE(D215,E215,F215,H215),AVERAGE(D215:H215))</f>
        <v>264.60000000000002</v>
      </c>
      <c r="J215" s="266">
        <f t="shared" ref="J215:J229" si="35">ROUND(AVERAGE(D215,F215:G215),0)</f>
        <v>265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270</v>
      </c>
      <c r="E216" s="257">
        <f t="array" ref="E216">IF(B55=B216,H55)</f>
        <v>270</v>
      </c>
      <c r="F216" s="257">
        <f t="array" ref="F216">IF(B104=B216,H104)</f>
        <v>263</v>
      </c>
      <c r="G216" s="257">
        <f t="array" ref="G216">IF(B145=B216,H145)</f>
        <v>261</v>
      </c>
      <c r="H216" s="257">
        <f t="array" ref="H216">IF(B189=B216,H189)</f>
        <v>260</v>
      </c>
      <c r="I216" s="257">
        <f t="shared" si="34"/>
        <v>264.8</v>
      </c>
      <c r="J216" s="266">
        <f t="shared" si="35"/>
        <v>265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274</v>
      </c>
      <c r="E217" s="257">
        <f t="array" ref="E217">IF(B56=B217,H56)</f>
        <v>274</v>
      </c>
      <c r="F217" s="257">
        <f t="array" ref="F217">IF(B105=B217,H105)</f>
        <v>261</v>
      </c>
      <c r="G217" s="257">
        <f t="array" ref="G217">IF(B146=B217,H146)</f>
        <v>260</v>
      </c>
      <c r="H217" s="257">
        <f t="array" ref="H217">IF(B190=B217,H190)</f>
        <v>259</v>
      </c>
      <c r="I217" s="257">
        <f t="shared" si="34"/>
        <v>265.60000000000002</v>
      </c>
      <c r="J217" s="266">
        <f t="shared" si="35"/>
        <v>265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277</v>
      </c>
      <c r="E218" s="257">
        <f t="array" ref="E218">IF(B57=B218,H57)</f>
        <v>278</v>
      </c>
      <c r="F218" s="257">
        <f t="array" ref="F218">IF(B106=B218,H106)</f>
        <v>260</v>
      </c>
      <c r="G218" s="257">
        <f t="array" ref="G218">IF(B147=B218,H147)</f>
        <v>259</v>
      </c>
      <c r="H218" s="257">
        <f t="array" ref="H218">IF(B191=B218,H191)</f>
        <v>257</v>
      </c>
      <c r="I218" s="257">
        <f t="shared" si="34"/>
        <v>266.2</v>
      </c>
      <c r="J218" s="266">
        <f t="shared" si="35"/>
        <v>265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281</v>
      </c>
      <c r="E219" s="271">
        <f t="array" ref="E219">IF(B58=B219,H58)</f>
        <v>281</v>
      </c>
      <c r="F219" s="271">
        <f t="array" ref="F219">IF(B107=B219,H107)</f>
        <v>258</v>
      </c>
      <c r="G219" s="271">
        <f t="array" ref="G219">IF(B148=B219,H148)</f>
        <v>258</v>
      </c>
      <c r="H219" s="271">
        <f t="array" ref="H219">IF(B192=B219,H192)</f>
        <v>255</v>
      </c>
      <c r="I219" s="271">
        <f t="shared" si="34"/>
        <v>266.60000000000002</v>
      </c>
      <c r="J219" s="273">
        <f t="shared" si="35"/>
        <v>266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284</v>
      </c>
      <c r="E220" s="257">
        <f t="array" ref="E220">IF(B59=B220,H59)</f>
        <v>285</v>
      </c>
      <c r="F220" s="257">
        <f t="array" ref="F220">IF(B108=B220,H108)</f>
        <v>256</v>
      </c>
      <c r="G220" s="257">
        <f t="array" ref="G220">IF(B149=B220,H149)</f>
        <v>258</v>
      </c>
      <c r="H220" s="257">
        <f t="array" ref="H220">IF(B193=B220,H193)</f>
        <v>254</v>
      </c>
      <c r="I220" s="257">
        <f t="shared" si="34"/>
        <v>267.39999999999998</v>
      </c>
      <c r="J220" s="266">
        <f t="shared" si="35"/>
        <v>266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288</v>
      </c>
      <c r="E221" s="257">
        <f t="array" ref="E221">IF(B60=B221,H60)</f>
        <v>289</v>
      </c>
      <c r="F221" s="257">
        <f t="array" ref="F221">IF(B109=B221,H109)</f>
        <v>255</v>
      </c>
      <c r="G221" s="257">
        <f t="array" ref="G221">IF(B150=B221,H150)</f>
        <v>257</v>
      </c>
      <c r="H221" s="257">
        <f t="array" ref="H221">IF(B194=B221,H194)</f>
        <v>252</v>
      </c>
      <c r="I221" s="257">
        <f t="shared" si="34"/>
        <v>268.2</v>
      </c>
      <c r="J221" s="266">
        <f t="shared" si="35"/>
        <v>267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291</v>
      </c>
      <c r="E222" s="257">
        <f t="array" ref="E222">IF(B61=B222,H61)</f>
        <v>293</v>
      </c>
      <c r="F222" s="257">
        <f t="array" ref="F222">IF(B110=B222,H110)</f>
        <v>253</v>
      </c>
      <c r="G222" s="257">
        <f t="array" ref="G222">IF(B151=B222,H151)</f>
        <v>257</v>
      </c>
      <c r="H222" s="257">
        <f t="array" ref="H222">IF(B195=B222,H195)</f>
        <v>251</v>
      </c>
      <c r="I222" s="257">
        <f t="shared" si="34"/>
        <v>269</v>
      </c>
      <c r="J222" s="266">
        <f t="shared" si="35"/>
        <v>267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295</v>
      </c>
      <c r="E223" s="257">
        <f t="array" ref="E223">IF(B62=B223,H62)</f>
        <v>297</v>
      </c>
      <c r="F223" s="257">
        <f t="array" ref="F223">IF(B111=B223,H111)</f>
        <v>252</v>
      </c>
      <c r="G223" s="257">
        <f t="array" ref="G223">IF(B152=B223,H152)</f>
        <v>256</v>
      </c>
      <c r="H223" s="257">
        <f t="array" ref="H223">IF(B196=B223,H196)</f>
        <v>249</v>
      </c>
      <c r="I223" s="257">
        <f t="shared" si="34"/>
        <v>269.8</v>
      </c>
      <c r="J223" s="266">
        <f t="shared" si="35"/>
        <v>268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298</v>
      </c>
      <c r="E224" s="271">
        <f t="array" ref="E224">IF(B63=B224,H63)</f>
        <v>301</v>
      </c>
      <c r="F224" s="271">
        <f t="array" ref="F224">IF(B112=B224,H112)</f>
        <v>250</v>
      </c>
      <c r="G224" s="271">
        <f t="array" ref="G224">IF(B153=B224,H153)</f>
        <v>256</v>
      </c>
      <c r="H224" s="271">
        <f t="array" ref="H224">IF(B197=B224,H197)</f>
        <v>248</v>
      </c>
      <c r="I224" s="271">
        <f t="shared" si="34"/>
        <v>270.60000000000002</v>
      </c>
      <c r="J224" s="273">
        <f t="shared" si="35"/>
        <v>268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302</v>
      </c>
      <c r="E225" s="257">
        <f t="array" ref="E225">IF(B64=B225,H64)</f>
        <v>305</v>
      </c>
      <c r="F225" s="257">
        <f t="array" ref="F225">IF(B113=B225,H113)</f>
        <v>248</v>
      </c>
      <c r="G225" s="257">
        <f t="array" ref="G225">IF(B154=B225,H154)</f>
        <v>256</v>
      </c>
      <c r="H225" s="257">
        <f t="array" ref="H225">IF(B198=B225,H198)</f>
        <v>246</v>
      </c>
      <c r="I225" s="257">
        <f t="shared" si="34"/>
        <v>271.39999999999998</v>
      </c>
      <c r="J225" s="266">
        <f t="shared" si="35"/>
        <v>269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305</v>
      </c>
      <c r="E226" s="257">
        <f t="array" ref="E226">IF(B65=B226,H65)</f>
        <v>309</v>
      </c>
      <c r="F226" s="257">
        <f t="array" ref="F226">IF(B114=B226,H114)</f>
        <v>247</v>
      </c>
      <c r="G226" s="257">
        <f t="array" ref="G226">IF(B155=B226,H155)</f>
        <v>255</v>
      </c>
      <c r="H226" s="257">
        <f t="array" ref="H226">IF(B199=B226,H199)</f>
        <v>245</v>
      </c>
      <c r="I226" s="257">
        <f t="shared" si="34"/>
        <v>272.2</v>
      </c>
      <c r="J226" s="266">
        <f t="shared" si="35"/>
        <v>269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309</v>
      </c>
      <c r="E227" s="257">
        <f t="array" ref="E227">IF(B66=B227,H66)</f>
        <v>313</v>
      </c>
      <c r="F227" s="257">
        <f t="array" ref="F227">IF(B115=B227,H115)</f>
        <v>245</v>
      </c>
      <c r="G227" s="257">
        <f t="array" ref="G227">IF(B156=B227,H156)</f>
        <v>255</v>
      </c>
      <c r="H227" s="257">
        <f t="array" ref="H227">IF(B200=B227,H200)</f>
        <v>243</v>
      </c>
      <c r="I227" s="257">
        <f t="shared" si="34"/>
        <v>273</v>
      </c>
      <c r="J227" s="266">
        <f t="shared" si="35"/>
        <v>270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312</v>
      </c>
      <c r="E228" s="257">
        <f t="array" ref="E228">IF(B67=B228,H67)</f>
        <v>318</v>
      </c>
      <c r="F228" s="257">
        <f t="array" ref="F228">IF(B116=B228,H116)</f>
        <v>244</v>
      </c>
      <c r="G228" s="257">
        <f t="array" ref="G228">IF(B157=B228,H157)</f>
        <v>255</v>
      </c>
      <c r="H228" s="257">
        <f t="array" ref="H228">IF(B201=B228,H201)</f>
        <v>242</v>
      </c>
      <c r="I228" s="257">
        <f t="shared" si="34"/>
        <v>274.2</v>
      </c>
      <c r="J228" s="266">
        <f t="shared" si="35"/>
        <v>270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316</v>
      </c>
      <c r="E229" s="271">
        <f t="array" ref="E229">IF(B68=B229,H68)</f>
        <v>322</v>
      </c>
      <c r="F229" s="271">
        <f t="array" ref="F229">IF(B117=B229,H117)</f>
        <v>242</v>
      </c>
      <c r="G229" s="271">
        <f t="array" ref="G229">IF(B158=B229,H158)</f>
        <v>255</v>
      </c>
      <c r="H229" s="271">
        <f t="array" ref="H229">IF(B202=B229,H202)</f>
        <v>240</v>
      </c>
      <c r="I229" s="271">
        <f t="shared" si="34"/>
        <v>275</v>
      </c>
      <c r="J229" s="273">
        <f t="shared" si="35"/>
        <v>271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319</v>
      </c>
      <c r="E230" s="257">
        <f t="array" ref="E230">IF(B69=B230,H69)</f>
        <v>326</v>
      </c>
      <c r="F230" s="257">
        <f t="array" ref="F230">IF(B118=B230,H118)</f>
        <v>240</v>
      </c>
      <c r="G230" s="257">
        <f t="array" ref="G230">IF(B159=B230,H159)</f>
        <v>255</v>
      </c>
      <c r="H230" s="257">
        <f t="array" ref="H230">IF(B203=B230,H203)</f>
        <v>238</v>
      </c>
      <c r="I230" s="257">
        <f>IF(G230=0,AVERAGE(D230,E230,F230,H230),AVERAGE(D230:H230))</f>
        <v>275.60000000000002</v>
      </c>
      <c r="J230" s="266">
        <f>ROUND(AVERAGE(D230,F230:G230),0)</f>
        <v>271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323</v>
      </c>
      <c r="E231" s="257">
        <f t="array" ref="E231">IF(B70=B231,H70)</f>
        <v>331</v>
      </c>
      <c r="F231" s="257">
        <f t="array" ref="F231">IF(B119=B231,H119)</f>
        <v>239</v>
      </c>
      <c r="G231" s="257">
        <f t="array" ref="G231">IF(B160=B231,H160)</f>
        <v>254</v>
      </c>
      <c r="H231" s="257">
        <f t="array" ref="H231">IF(B204=B231,H204)</f>
        <v>237</v>
      </c>
      <c r="I231" s="257">
        <f>IF(G231=0,AVERAGE(D231,E231,F231,H231),AVERAGE(D231:H231))</f>
        <v>276.8</v>
      </c>
      <c r="J231" s="266">
        <f>ROUND(AVERAGE(D231,F231:G231),0)</f>
        <v>272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326</v>
      </c>
      <c r="E232" s="257">
        <f t="array" ref="E232">IF(B71=B232,H71)</f>
        <v>335</v>
      </c>
      <c r="F232" s="257">
        <f t="array" ref="F232">IF(B120=B232,H120)</f>
        <v>237</v>
      </c>
      <c r="G232" s="257">
        <f t="array" ref="G232">IF(B161=B232,H161)</f>
        <v>254</v>
      </c>
      <c r="H232" s="257">
        <f t="array" ref="H232">IF(B205=B232,H205)</f>
        <v>235</v>
      </c>
      <c r="I232" s="257">
        <f>IF(G232=0,AVERAGE(D232,E232,F232,H232),AVERAGE(D232:H232))</f>
        <v>277.39999999999998</v>
      </c>
      <c r="J232" s="266">
        <f>ROUND(AVERAGE(D232,F232:G232),0)</f>
        <v>272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330</v>
      </c>
      <c r="E233" s="257">
        <f t="array" ref="E233">IF(B72=B233,H72)</f>
        <v>340</v>
      </c>
      <c r="F233" s="257">
        <f t="array" ref="F233">IF(B121=B233,H121)</f>
        <v>236</v>
      </c>
      <c r="G233" s="257">
        <f t="array" ref="G233">IF(B162=B233,H162)</f>
        <v>254</v>
      </c>
      <c r="H233" s="257">
        <f t="array" ref="H233">IF(B206=B233,H206)</f>
        <v>234</v>
      </c>
      <c r="I233" s="257">
        <f>IF(G233=0,AVERAGE(D233,E233,F233,H233),AVERAGE(D233:H233))</f>
        <v>278.8</v>
      </c>
      <c r="J233" s="266">
        <f>ROUND(AVERAGE(D233,F233:G233),0)</f>
        <v>273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333</v>
      </c>
      <c r="E234" s="271">
        <f t="array" ref="E234">IF(B73=B234,H73)</f>
        <v>344</v>
      </c>
      <c r="F234" s="271">
        <f t="array" ref="F234">IF(B122=B234,H122)</f>
        <v>234</v>
      </c>
      <c r="G234" s="271">
        <f t="array" ref="G234">IF(B163=B234,H163)</f>
        <v>254</v>
      </c>
      <c r="H234" s="271">
        <f t="array" ref="H234">IF(B207=B234,H207)</f>
        <v>232</v>
      </c>
      <c r="I234" s="271">
        <f>IF(G234=0,AVERAGE(D234,E234,F234,H234),AVERAGE(D234:H234))</f>
        <v>279.39999999999998</v>
      </c>
      <c r="J234" s="273">
        <f>ROUND(AVERAGE(D234,F234:G234),0)</f>
        <v>274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1090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1007</v>
      </c>
      <c r="C4" s="197">
        <v>2016</v>
      </c>
    </row>
    <row r="5" spans="1:15" ht="15" customHeight="1" thickBot="1">
      <c r="A5" s="198"/>
      <c r="B5" s="196" t="s">
        <v>1008</v>
      </c>
      <c r="C5" s="199"/>
      <c r="D5" s="196" t="s">
        <v>1775</v>
      </c>
      <c r="F5" s="200" t="s">
        <v>1009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1010</v>
      </c>
      <c r="C6" s="202"/>
      <c r="D6" s="202" t="s">
        <v>1011</v>
      </c>
      <c r="E6" s="202"/>
      <c r="F6" s="202" t="s">
        <v>1012</v>
      </c>
      <c r="G6" s="202"/>
      <c r="H6" s="202" t="s">
        <v>1013</v>
      </c>
      <c r="I6" s="202"/>
      <c r="J6" s="202" t="s">
        <v>1014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+'금왕읍(10년) (물)'!D8</f>
        <v>285.56862101743332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+'금왕읍(10년) (물)'!D9</f>
        <v>304.98939866866107</v>
      </c>
      <c r="E8" s="844"/>
      <c r="F8" s="206">
        <f>D8-D7</f>
        <v>19.420777651227752</v>
      </c>
      <c r="G8" s="206"/>
      <c r="H8" s="207">
        <f>ROUND(F8/D7*100,2)</f>
        <v>6.8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+'금왕읍(10년) (물)'!D10</f>
        <v>246.81231876812319</v>
      </c>
      <c r="E9" s="844"/>
      <c r="F9" s="206">
        <f>D9-D8</f>
        <v>-58.177079900537876</v>
      </c>
      <c r="G9" s="206"/>
      <c r="H9" s="207">
        <f>ROUND(F9/D8*100,2)</f>
        <v>-19.079999999999998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+'금왕읍(10년) (물)'!D11</f>
        <v>256.88973863382967</v>
      </c>
      <c r="E10" s="844"/>
      <c r="F10" s="206">
        <f>D10-D9</f>
        <v>10.077419865706474</v>
      </c>
      <c r="G10" s="206"/>
      <c r="H10" s="207">
        <f>ROUND(F10/D9*100,2)</f>
        <v>4.08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+'금왕읍(10년) (물)'!D12</f>
        <v>266.64485742003069</v>
      </c>
      <c r="E11" s="844"/>
      <c r="F11" s="206">
        <f>D11-D10</f>
        <v>9.7551187862010238</v>
      </c>
      <c r="G11" s="206"/>
      <c r="H11" s="207">
        <f>ROUND(F11/D10*100,2)</f>
        <v>3.8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1056</v>
      </c>
      <c r="C12" s="212"/>
      <c r="D12" s="213">
        <f>SUM(D7:D11)</f>
        <v>1360.904934508078</v>
      </c>
      <c r="E12" s="214"/>
      <c r="F12" s="215"/>
      <c r="G12" s="215"/>
      <c r="H12" s="216">
        <f>SUM(H7:H11)</f>
        <v>-4.3999999999999977</v>
      </c>
      <c r="I12" s="216"/>
      <c r="J12" s="217">
        <f>ROUND(AVERAGE(H7:H11),1)</f>
        <v>-0.9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144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267</v>
      </c>
      <c r="E21" s="221"/>
      <c r="F21" s="221">
        <v>0</v>
      </c>
      <c r="G21" s="221"/>
      <c r="H21" s="221">
        <f t="shared" ref="H21:H40" si="1">ROUND(D21*(1+F21),0)</f>
        <v>267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262</v>
      </c>
      <c r="E22" s="221"/>
      <c r="F22" s="221">
        <v>0</v>
      </c>
      <c r="G22" s="221"/>
      <c r="H22" s="221">
        <f t="shared" si="1"/>
        <v>262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257</v>
      </c>
      <c r="E23" s="221"/>
      <c r="F23" s="221">
        <v>0</v>
      </c>
      <c r="G23" s="221"/>
      <c r="H23" s="221">
        <f t="shared" si="1"/>
        <v>257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253</v>
      </c>
      <c r="E24" s="221"/>
      <c r="F24" s="221">
        <v>0</v>
      </c>
      <c r="G24" s="221"/>
      <c r="H24" s="221">
        <f t="shared" si="1"/>
        <v>253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248</v>
      </c>
      <c r="E25" s="269"/>
      <c r="F25" s="269">
        <v>0</v>
      </c>
      <c r="G25" s="269"/>
      <c r="H25" s="269">
        <f t="shared" si="1"/>
        <v>248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243</v>
      </c>
      <c r="E26" s="221"/>
      <c r="F26" s="221">
        <v>0</v>
      </c>
      <c r="G26" s="221"/>
      <c r="H26" s="221">
        <f t="shared" si="1"/>
        <v>243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238</v>
      </c>
      <c r="E27" s="221"/>
      <c r="F27" s="221">
        <v>0</v>
      </c>
      <c r="G27" s="221"/>
      <c r="H27" s="221">
        <f t="shared" si="1"/>
        <v>238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234</v>
      </c>
      <c r="E28" s="221"/>
      <c r="F28" s="221">
        <v>0</v>
      </c>
      <c r="G28" s="221"/>
      <c r="H28" s="221">
        <f t="shared" si="1"/>
        <v>234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229</v>
      </c>
      <c r="E29" s="221"/>
      <c r="F29" s="221">
        <v>0</v>
      </c>
      <c r="G29" s="221"/>
      <c r="H29" s="221">
        <f t="shared" si="1"/>
        <v>229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224</v>
      </c>
      <c r="E30" s="269"/>
      <c r="F30" s="269">
        <v>0</v>
      </c>
      <c r="G30" s="269"/>
      <c r="H30" s="269">
        <f t="shared" si="1"/>
        <v>224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220</v>
      </c>
      <c r="E31" s="221"/>
      <c r="F31" s="221">
        <v>0</v>
      </c>
      <c r="G31" s="221"/>
      <c r="H31" s="221">
        <f t="shared" si="1"/>
        <v>220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215</v>
      </c>
      <c r="E32" s="221"/>
      <c r="F32" s="221">
        <v>0</v>
      </c>
      <c r="G32" s="221"/>
      <c r="H32" s="221">
        <f t="shared" si="1"/>
        <v>215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210</v>
      </c>
      <c r="E33" s="221"/>
      <c r="F33" s="221">
        <v>0</v>
      </c>
      <c r="G33" s="221"/>
      <c r="H33" s="221">
        <f t="shared" si="1"/>
        <v>210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206</v>
      </c>
      <c r="E34" s="221"/>
      <c r="F34" s="221">
        <v>0</v>
      </c>
      <c r="G34" s="221"/>
      <c r="H34" s="221">
        <f t="shared" si="1"/>
        <v>206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201</v>
      </c>
      <c r="E35" s="269"/>
      <c r="F35" s="269">
        <v>0</v>
      </c>
      <c r="G35" s="269"/>
      <c r="H35" s="269">
        <f t="shared" si="1"/>
        <v>201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196</v>
      </c>
      <c r="E36" s="221"/>
      <c r="F36" s="221">
        <v>0</v>
      </c>
      <c r="G36" s="221"/>
      <c r="H36" s="221">
        <f t="shared" si="1"/>
        <v>196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191</v>
      </c>
      <c r="E37" s="221"/>
      <c r="F37" s="221">
        <v>0</v>
      </c>
      <c r="G37" s="221"/>
      <c r="H37" s="221">
        <f t="shared" si="1"/>
        <v>191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187</v>
      </c>
      <c r="E38" s="221"/>
      <c r="F38" s="221">
        <v>0</v>
      </c>
      <c r="G38" s="221"/>
      <c r="H38" s="221">
        <f t="shared" si="1"/>
        <v>187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182</v>
      </c>
      <c r="E39" s="221"/>
      <c r="F39" s="221">
        <v>0</v>
      </c>
      <c r="G39" s="221"/>
      <c r="H39" s="221">
        <f t="shared" si="1"/>
        <v>182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177</v>
      </c>
      <c r="E40" s="269"/>
      <c r="F40" s="269">
        <v>0</v>
      </c>
      <c r="G40" s="269"/>
      <c r="H40" s="269">
        <f t="shared" si="1"/>
        <v>177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266.64485742003069</v>
      </c>
      <c r="F41" s="226"/>
      <c r="G41" s="224" t="s">
        <v>162</v>
      </c>
      <c r="H41" s="224">
        <f>ROUND((D$11-D$7)/(COUNT(D$7:D$11)-1),1)</f>
        <v>-4.7</v>
      </c>
      <c r="I41" s="224"/>
      <c r="J41" s="224" t="s">
        <v>163</v>
      </c>
      <c r="K41" s="227" t="s">
        <v>164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165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148</v>
      </c>
      <c r="D46" s="219" t="s">
        <v>167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150</v>
      </c>
      <c r="D47" s="219" t="s">
        <v>151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152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171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172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141</v>
      </c>
      <c r="C52" s="202"/>
      <c r="D52" s="202" t="s">
        <v>156</v>
      </c>
      <c r="E52" s="202"/>
      <c r="F52" s="202" t="s">
        <v>157</v>
      </c>
      <c r="G52" s="202"/>
      <c r="H52" s="202" t="s">
        <v>158</v>
      </c>
      <c r="I52" s="202"/>
      <c r="J52" s="202" t="s">
        <v>144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267</v>
      </c>
      <c r="E53" s="221"/>
      <c r="F53" s="221">
        <v>0</v>
      </c>
      <c r="G53" s="221"/>
      <c r="H53" s="221">
        <f t="shared" ref="H53:H72" si="3">ROUND(D53*(1+F53),0)</f>
        <v>267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262</v>
      </c>
      <c r="E54" s="221"/>
      <c r="F54" s="221">
        <v>0</v>
      </c>
      <c r="G54" s="221"/>
      <c r="H54" s="221">
        <f t="shared" si="3"/>
        <v>262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258</v>
      </c>
      <c r="E55" s="221"/>
      <c r="F55" s="221">
        <v>0</v>
      </c>
      <c r="G55" s="221"/>
      <c r="H55" s="221">
        <f t="shared" si="3"/>
        <v>258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253</v>
      </c>
      <c r="E56" s="221"/>
      <c r="F56" s="221">
        <v>0</v>
      </c>
      <c r="G56" s="221"/>
      <c r="H56" s="221">
        <f t="shared" si="3"/>
        <v>253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249</v>
      </c>
      <c r="E57" s="269"/>
      <c r="F57" s="269">
        <v>0</v>
      </c>
      <c r="G57" s="269"/>
      <c r="H57" s="269">
        <f t="shared" si="3"/>
        <v>249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245</v>
      </c>
      <c r="E58" s="221"/>
      <c r="F58" s="221">
        <v>0</v>
      </c>
      <c r="G58" s="221"/>
      <c r="H58" s="221">
        <f t="shared" si="3"/>
        <v>245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241</v>
      </c>
      <c r="E59" s="221"/>
      <c r="F59" s="221">
        <v>0</v>
      </c>
      <c r="G59" s="221"/>
      <c r="H59" s="221">
        <f t="shared" si="3"/>
        <v>241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236</v>
      </c>
      <c r="E60" s="221"/>
      <c r="F60" s="221">
        <v>0</v>
      </c>
      <c r="G60" s="221"/>
      <c r="H60" s="221">
        <f t="shared" si="3"/>
        <v>236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232</v>
      </c>
      <c r="E61" s="221"/>
      <c r="F61" s="221">
        <v>0</v>
      </c>
      <c r="G61" s="221"/>
      <c r="H61" s="221">
        <f t="shared" si="3"/>
        <v>232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229</v>
      </c>
      <c r="E62" s="269"/>
      <c r="F62" s="269">
        <v>0</v>
      </c>
      <c r="G62" s="269"/>
      <c r="H62" s="269">
        <f t="shared" si="3"/>
        <v>229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225</v>
      </c>
      <c r="E63" s="221"/>
      <c r="F63" s="221">
        <v>0</v>
      </c>
      <c r="G63" s="221"/>
      <c r="H63" s="221">
        <f t="shared" si="3"/>
        <v>225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221</v>
      </c>
      <c r="E64" s="221"/>
      <c r="F64" s="221">
        <v>0</v>
      </c>
      <c r="G64" s="221"/>
      <c r="H64" s="221">
        <f t="shared" si="3"/>
        <v>221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217</v>
      </c>
      <c r="E65" s="221"/>
      <c r="F65" s="221">
        <v>0</v>
      </c>
      <c r="G65" s="221"/>
      <c r="H65" s="221">
        <f t="shared" si="3"/>
        <v>217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213</v>
      </c>
      <c r="E66" s="221"/>
      <c r="F66" s="221">
        <v>0</v>
      </c>
      <c r="G66" s="221"/>
      <c r="H66" s="221">
        <f t="shared" si="3"/>
        <v>213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210</v>
      </c>
      <c r="E67" s="269"/>
      <c r="F67" s="269">
        <v>0</v>
      </c>
      <c r="G67" s="269"/>
      <c r="H67" s="269">
        <f t="shared" si="3"/>
        <v>210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206</v>
      </c>
      <c r="E68" s="221"/>
      <c r="F68" s="221">
        <v>0</v>
      </c>
      <c r="G68" s="221"/>
      <c r="H68" s="221">
        <f t="shared" si="3"/>
        <v>206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203</v>
      </c>
      <c r="E69" s="221"/>
      <c r="F69" s="221">
        <v>0</v>
      </c>
      <c r="G69" s="221"/>
      <c r="H69" s="221">
        <f t="shared" si="3"/>
        <v>203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199</v>
      </c>
      <c r="E70" s="221"/>
      <c r="F70" s="221">
        <v>0</v>
      </c>
      <c r="G70" s="221"/>
      <c r="H70" s="221">
        <f t="shared" si="3"/>
        <v>199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196</v>
      </c>
      <c r="E71" s="221"/>
      <c r="F71" s="221">
        <v>0</v>
      </c>
      <c r="G71" s="221"/>
      <c r="H71" s="221">
        <f t="shared" si="3"/>
        <v>196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193</v>
      </c>
      <c r="E72" s="269"/>
      <c r="F72" s="269">
        <v>0</v>
      </c>
      <c r="G72" s="269"/>
      <c r="H72" s="269">
        <f t="shared" si="3"/>
        <v>193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177</v>
      </c>
      <c r="C73" s="223"/>
      <c r="D73" s="224" t="s">
        <v>161</v>
      </c>
      <c r="E73" s="225">
        <f>D$11</f>
        <v>266.64485742003069</v>
      </c>
      <c r="F73" s="226"/>
      <c r="G73" s="224" t="s">
        <v>179</v>
      </c>
      <c r="H73" s="224">
        <f>ROUND((E$73/D$7)^(1/(COUNT(D$7:D$11)-1)),6)</f>
        <v>0.98300500000000002</v>
      </c>
      <c r="I73" s="224"/>
      <c r="J73" s="224" t="s">
        <v>163</v>
      </c>
      <c r="K73" s="227" t="s">
        <v>164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182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148</v>
      </c>
      <c r="D84" s="219" t="s">
        <v>184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185</v>
      </c>
      <c r="D85" s="219" t="s">
        <v>186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187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188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189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141</v>
      </c>
      <c r="C89" s="202"/>
      <c r="D89" s="202" t="s">
        <v>191</v>
      </c>
      <c r="E89" s="202" t="s">
        <v>192</v>
      </c>
      <c r="F89" s="202" t="s">
        <v>193</v>
      </c>
      <c r="G89" s="202"/>
      <c r="H89" s="202" t="s">
        <v>194</v>
      </c>
      <c r="I89" s="202"/>
      <c r="J89" s="202" t="s">
        <v>144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285.56862101743332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-571.14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304.98939866866107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-304.99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246.81231876812319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256.88973863382967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256.89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266.64485742003069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533.29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1056</v>
      </c>
      <c r="C95" s="212"/>
      <c r="D95" s="232">
        <f>SUM(D90:D94)</f>
        <v>1360.904934508078</v>
      </c>
      <c r="E95" s="215"/>
      <c r="F95" s="233">
        <f>ROUND(SUM(F90:F94),0)</f>
        <v>10</v>
      </c>
      <c r="G95" s="212"/>
      <c r="H95" s="211">
        <f>SUM(H90:H94)</f>
        <v>-85.950000000000045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1125</v>
      </c>
      <c r="C96" s="208"/>
      <c r="D96" s="236" t="s">
        <v>1126</v>
      </c>
      <c r="E96" s="203"/>
      <c r="F96" s="203"/>
      <c r="G96" s="201">
        <f>((COUNT(B$90:B$94))*H$95-D$95*E$95)/((COUNT(B$90:B$94))*F$95-E$95*E$95)</f>
        <v>-8.5950000000000042</v>
      </c>
      <c r="H96" s="236" t="s">
        <v>1127</v>
      </c>
      <c r="I96" s="201"/>
      <c r="J96" s="201"/>
      <c r="K96" s="201">
        <f>ROUND((F95*D95-H95*E95)/(COUNT(B$90:B$94)*F95-E95*E95),0)</f>
        <v>272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1061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1010</v>
      </c>
      <c r="C100" s="202"/>
      <c r="D100" s="202" t="s">
        <v>1025</v>
      </c>
      <c r="E100" s="202"/>
      <c r="F100" s="202" t="s">
        <v>1026</v>
      </c>
      <c r="G100" s="202"/>
      <c r="H100" s="202" t="s">
        <v>1027</v>
      </c>
      <c r="I100" s="202"/>
      <c r="J100" s="202" t="s">
        <v>1014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255</v>
      </c>
      <c r="E101" s="221"/>
      <c r="F101" s="221">
        <v>0</v>
      </c>
      <c r="G101" s="221"/>
      <c r="H101" s="221">
        <f t="shared" ref="H101:H120" si="5">ROUND(D101*(1+F101),0)</f>
        <v>255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247</v>
      </c>
      <c r="E102" s="221"/>
      <c r="F102" s="221">
        <v>0</v>
      </c>
      <c r="G102" s="221"/>
      <c r="H102" s="221">
        <f t="shared" si="5"/>
        <v>247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238</v>
      </c>
      <c r="E103" s="221"/>
      <c r="F103" s="221">
        <v>0</v>
      </c>
      <c r="G103" s="221"/>
      <c r="H103" s="221">
        <f t="shared" si="5"/>
        <v>238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230</v>
      </c>
      <c r="E104" s="221"/>
      <c r="F104" s="221">
        <v>0</v>
      </c>
      <c r="G104" s="221"/>
      <c r="H104" s="221">
        <f t="shared" si="5"/>
        <v>230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221</v>
      </c>
      <c r="E105" s="269"/>
      <c r="F105" s="269">
        <v>0</v>
      </c>
      <c r="G105" s="269"/>
      <c r="H105" s="269">
        <f t="shared" si="5"/>
        <v>221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212</v>
      </c>
      <c r="E106" s="221"/>
      <c r="F106" s="221">
        <v>0</v>
      </c>
      <c r="G106" s="221"/>
      <c r="H106" s="221">
        <f t="shared" si="5"/>
        <v>212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204</v>
      </c>
      <c r="E107" s="221"/>
      <c r="F107" s="221">
        <v>0</v>
      </c>
      <c r="G107" s="221"/>
      <c r="H107" s="221">
        <f t="shared" si="5"/>
        <v>204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195</v>
      </c>
      <c r="E108" s="221"/>
      <c r="F108" s="221">
        <v>0</v>
      </c>
      <c r="G108" s="221"/>
      <c r="H108" s="221">
        <f t="shared" si="5"/>
        <v>195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187</v>
      </c>
      <c r="E109" s="221"/>
      <c r="F109" s="221">
        <v>0</v>
      </c>
      <c r="G109" s="221"/>
      <c r="H109" s="221">
        <f t="shared" si="5"/>
        <v>187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178</v>
      </c>
      <c r="E110" s="269"/>
      <c r="F110" s="269">
        <v>0</v>
      </c>
      <c r="G110" s="269"/>
      <c r="H110" s="269">
        <f t="shared" si="5"/>
        <v>178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169</v>
      </c>
      <c r="E111" s="221"/>
      <c r="F111" s="221">
        <v>0</v>
      </c>
      <c r="G111" s="221"/>
      <c r="H111" s="221">
        <f t="shared" si="5"/>
        <v>169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161</v>
      </c>
      <c r="E112" s="221"/>
      <c r="F112" s="221">
        <v>0</v>
      </c>
      <c r="G112" s="221"/>
      <c r="H112" s="221">
        <f t="shared" si="5"/>
        <v>161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152</v>
      </c>
      <c r="E113" s="221"/>
      <c r="F113" s="221">
        <v>0</v>
      </c>
      <c r="G113" s="221"/>
      <c r="H113" s="221">
        <f t="shared" si="5"/>
        <v>152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144</v>
      </c>
      <c r="E114" s="221"/>
      <c r="F114" s="221">
        <v>0</v>
      </c>
      <c r="G114" s="221"/>
      <c r="H114" s="221">
        <f t="shared" si="5"/>
        <v>144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135</v>
      </c>
      <c r="E115" s="269"/>
      <c r="F115" s="269">
        <v>0</v>
      </c>
      <c r="G115" s="269"/>
      <c r="H115" s="269">
        <f t="shared" si="5"/>
        <v>135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126</v>
      </c>
      <c r="E116" s="221"/>
      <c r="F116" s="221">
        <v>0</v>
      </c>
      <c r="G116" s="221"/>
      <c r="H116" s="221">
        <f t="shared" si="5"/>
        <v>126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118</v>
      </c>
      <c r="E117" s="221"/>
      <c r="F117" s="221">
        <v>0</v>
      </c>
      <c r="G117" s="221"/>
      <c r="H117" s="221">
        <f t="shared" si="5"/>
        <v>118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109</v>
      </c>
      <c r="E118" s="221"/>
      <c r="F118" s="221">
        <v>0</v>
      </c>
      <c r="G118" s="221"/>
      <c r="H118" s="221">
        <f t="shared" si="5"/>
        <v>109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101</v>
      </c>
      <c r="E119" s="221"/>
      <c r="F119" s="221">
        <v>0</v>
      </c>
      <c r="G119" s="221"/>
      <c r="H119" s="221">
        <f t="shared" si="5"/>
        <v>101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92</v>
      </c>
      <c r="E120" s="269"/>
      <c r="F120" s="269">
        <v>0</v>
      </c>
      <c r="G120" s="269"/>
      <c r="H120" s="269">
        <f t="shared" si="5"/>
        <v>92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1128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1018</v>
      </c>
      <c r="D124" s="219" t="s">
        <v>1129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1064</v>
      </c>
      <c r="D125" s="219" t="s">
        <v>1065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1130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1131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1132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1010</v>
      </c>
      <c r="C129" s="202"/>
      <c r="D129" s="202" t="s">
        <v>1121</v>
      </c>
      <c r="E129" s="202" t="s">
        <v>1122</v>
      </c>
      <c r="F129" s="202" t="s">
        <v>1122</v>
      </c>
      <c r="G129" s="202" t="s">
        <v>1123</v>
      </c>
      <c r="H129" s="202" t="s">
        <v>1133</v>
      </c>
      <c r="I129" s="202"/>
      <c r="J129" s="202" t="s">
        <v>1134</v>
      </c>
      <c r="K129" s="202" t="s">
        <v>1135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285.56862101743332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304.98939866866107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19.420777651227752</v>
      </c>
      <c r="I131" s="231"/>
      <c r="J131" s="247">
        <f>IF(H131="","",LOG(H131))</f>
        <v>1.2882666160393004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246.81231876812319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38.756302249310124</v>
      </c>
      <c r="I132" s="231"/>
      <c r="J132" s="247">
        <f>IF(H132="","",LOG(H132))</f>
        <v>1.5883423341855403</v>
      </c>
      <c r="K132" s="247">
        <f>IF(J132="","",J132*F132)</f>
        <v>0.47813868597279097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256.88973863382967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28.67888238360365</v>
      </c>
      <c r="I133" s="231"/>
      <c r="J133" s="247">
        <f>IF(H133="","",LOG(H133))</f>
        <v>1.4575622228642693</v>
      </c>
      <c r="K133" s="247">
        <f>IF(J133="","",J133*F133)</f>
        <v>0.69543391660498044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266.64485742003069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18.923763597402626</v>
      </c>
      <c r="I134" s="231"/>
      <c r="J134" s="247">
        <f>IF(H134="","",LOG(H134))</f>
        <v>1.2770075140444188</v>
      </c>
      <c r="K134" s="247">
        <f>IF(J134="","",J134*F134)</f>
        <v>0.76883513283132565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146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5.6111786871335285</v>
      </c>
      <c r="K135" s="253">
        <f>IF(K134="","",SUM(K130:K134))</f>
        <v>1.9424077354090969</v>
      </c>
      <c r="L135" s="203"/>
      <c r="M135" s="203"/>
      <c r="N135" s="203"/>
      <c r="O135" s="203"/>
    </row>
    <row r="136" spans="1:15" ht="15" customHeight="1">
      <c r="A136" s="203"/>
      <c r="B136" s="208" t="s">
        <v>219</v>
      </c>
      <c r="C136" s="208"/>
      <c r="D136" s="201" t="s">
        <v>162</v>
      </c>
      <c r="E136" s="201">
        <f>IF(G135="",0,5^ROUND((G135*J135-F135*K135)/((COUNT(B$130:B$134)-1)*G135-F135*F135),5))</f>
        <v>9.4001330102951997</v>
      </c>
      <c r="F136" s="238" t="s">
        <v>220</v>
      </c>
      <c r="G136" s="203"/>
      <c r="H136" s="208"/>
      <c r="I136" s="203"/>
      <c r="J136" s="254">
        <f>IF(G135="",0,ROUND(((COUNT(B$130:B$134)-1)*K135-J135*F135)/((COUNT(B$130:B$134)-1)*G135-F135*F135),5))</f>
        <v>3.0589999999999999E-2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221</v>
      </c>
      <c r="E137" s="219"/>
      <c r="F137" s="219"/>
      <c r="G137" s="256"/>
      <c r="H137" s="201" t="s">
        <v>222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200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141</v>
      </c>
      <c r="C140" s="202"/>
      <c r="D140" s="202" t="s">
        <v>156</v>
      </c>
      <c r="E140" s="202"/>
      <c r="F140" s="202" t="s">
        <v>157</v>
      </c>
      <c r="G140" s="202"/>
      <c r="H140" s="202" t="s">
        <v>158</v>
      </c>
      <c r="I140" s="202"/>
      <c r="J140" s="202" t="s">
        <v>144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296</v>
      </c>
      <c r="E141" s="257"/>
      <c r="F141" s="258">
        <v>0</v>
      </c>
      <c r="G141" s="258"/>
      <c r="H141" s="258">
        <f t="shared" ref="H141:H160" si="7">ROUND(D141*(1+F141),0)</f>
        <v>296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296</v>
      </c>
      <c r="E142" s="257"/>
      <c r="F142" s="258">
        <v>0</v>
      </c>
      <c r="G142" s="258"/>
      <c r="H142" s="258">
        <f t="shared" si="7"/>
        <v>296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296</v>
      </c>
      <c r="E143" s="257"/>
      <c r="F143" s="258">
        <v>0</v>
      </c>
      <c r="G143" s="258"/>
      <c r="H143" s="258">
        <f t="shared" si="7"/>
        <v>296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296</v>
      </c>
      <c r="E144" s="257"/>
      <c r="F144" s="258">
        <v>0</v>
      </c>
      <c r="G144" s="258"/>
      <c r="H144" s="258">
        <f t="shared" si="7"/>
        <v>296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296</v>
      </c>
      <c r="E145" s="271"/>
      <c r="F145" s="272">
        <v>0</v>
      </c>
      <c r="G145" s="272"/>
      <c r="H145" s="272">
        <f t="shared" si="7"/>
        <v>296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296</v>
      </c>
      <c r="E146" s="257"/>
      <c r="F146" s="258">
        <v>0</v>
      </c>
      <c r="G146" s="258"/>
      <c r="H146" s="258">
        <f t="shared" si="7"/>
        <v>296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296</v>
      </c>
      <c r="E147" s="257"/>
      <c r="F147" s="258">
        <v>0</v>
      </c>
      <c r="G147" s="258"/>
      <c r="H147" s="258">
        <f t="shared" si="7"/>
        <v>296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296</v>
      </c>
      <c r="E148" s="257"/>
      <c r="F148" s="258">
        <v>0</v>
      </c>
      <c r="G148" s="258"/>
      <c r="H148" s="258">
        <f t="shared" si="7"/>
        <v>296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296</v>
      </c>
      <c r="E149" s="257"/>
      <c r="F149" s="258">
        <v>0</v>
      </c>
      <c r="G149" s="258"/>
      <c r="H149" s="258">
        <f t="shared" si="7"/>
        <v>296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296</v>
      </c>
      <c r="E150" s="271"/>
      <c r="F150" s="272">
        <v>0</v>
      </c>
      <c r="G150" s="272"/>
      <c r="H150" s="272">
        <f t="shared" si="7"/>
        <v>296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296</v>
      </c>
      <c r="E151" s="257"/>
      <c r="F151" s="258">
        <v>0</v>
      </c>
      <c r="G151" s="258"/>
      <c r="H151" s="258">
        <f t="shared" si="7"/>
        <v>296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296</v>
      </c>
      <c r="E152" s="257"/>
      <c r="F152" s="258">
        <v>0</v>
      </c>
      <c r="G152" s="258"/>
      <c r="H152" s="258">
        <f t="shared" si="7"/>
        <v>296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296</v>
      </c>
      <c r="E153" s="257"/>
      <c r="F153" s="258">
        <v>0</v>
      </c>
      <c r="G153" s="258"/>
      <c r="H153" s="258">
        <f t="shared" si="7"/>
        <v>296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296</v>
      </c>
      <c r="E154" s="257"/>
      <c r="F154" s="258">
        <v>0</v>
      </c>
      <c r="G154" s="258"/>
      <c r="H154" s="258">
        <f t="shared" si="7"/>
        <v>296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296</v>
      </c>
      <c r="E155" s="271"/>
      <c r="F155" s="272">
        <v>0</v>
      </c>
      <c r="G155" s="272"/>
      <c r="H155" s="272">
        <f t="shared" si="7"/>
        <v>296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296</v>
      </c>
      <c r="E156" s="257"/>
      <c r="F156" s="258">
        <v>0</v>
      </c>
      <c r="G156" s="258"/>
      <c r="H156" s="258">
        <f t="shared" si="7"/>
        <v>296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296</v>
      </c>
      <c r="E157" s="257"/>
      <c r="F157" s="258">
        <v>0</v>
      </c>
      <c r="G157" s="258"/>
      <c r="H157" s="258">
        <f t="shared" si="7"/>
        <v>296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296</v>
      </c>
      <c r="E158" s="257"/>
      <c r="F158" s="258">
        <v>0</v>
      </c>
      <c r="G158" s="258"/>
      <c r="H158" s="258">
        <f t="shared" si="7"/>
        <v>296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296</v>
      </c>
      <c r="E159" s="257"/>
      <c r="F159" s="258">
        <v>0</v>
      </c>
      <c r="G159" s="258"/>
      <c r="H159" s="258">
        <f t="shared" si="7"/>
        <v>296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296</v>
      </c>
      <c r="E160" s="271"/>
      <c r="F160" s="272">
        <v>0</v>
      </c>
      <c r="G160" s="272"/>
      <c r="H160" s="272">
        <f t="shared" si="7"/>
        <v>296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229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148</v>
      </c>
      <c r="D167" s="219" t="s">
        <v>231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185</v>
      </c>
      <c r="D168" s="219" t="s">
        <v>207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234</v>
      </c>
      <c r="E169" s="2250">
        <f>K7</f>
        <v>600</v>
      </c>
      <c r="F169" s="2250"/>
      <c r="G169" s="219" t="s">
        <v>1136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1137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1010</v>
      </c>
      <c r="C171" s="202"/>
      <c r="D171" s="202" t="s">
        <v>1121</v>
      </c>
      <c r="E171" s="202" t="s">
        <v>1122</v>
      </c>
      <c r="F171" s="202" t="s">
        <v>1123</v>
      </c>
      <c r="G171" s="202" t="s">
        <v>1138</v>
      </c>
      <c r="H171" s="202" t="s">
        <v>1139</v>
      </c>
      <c r="I171" s="202" t="s">
        <v>1140</v>
      </c>
      <c r="J171" s="202" t="s">
        <v>1134</v>
      </c>
      <c r="K171" s="202" t="s">
        <v>1141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285.56862101743332</v>
      </c>
      <c r="E172" s="244">
        <f>((COUNT(B$172:B$176)-1)/2)+(B172-$C$4)</f>
        <v>-2</v>
      </c>
      <c r="F172" s="206">
        <f>E172^2</f>
        <v>4</v>
      </c>
      <c r="G172" s="844">
        <f>E$169-D172</f>
        <v>314.43137898256668</v>
      </c>
      <c r="H172" s="259">
        <f>LOG(D172)</f>
        <v>2.4557104843797926</v>
      </c>
      <c r="I172" s="245">
        <f>LOG(G172)</f>
        <v>2.4975258803666009</v>
      </c>
      <c r="J172" s="246">
        <f>H172-I172</f>
        <v>-4.181539598680839E-2</v>
      </c>
      <c r="K172" s="246">
        <f>E172*J172</f>
        <v>8.363079197361678E-2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304.98939866866107</v>
      </c>
      <c r="E173" s="244">
        <f>((COUNT(B$172:B$176)-1)/2)+(B173-$C$4)</f>
        <v>-1</v>
      </c>
      <c r="F173" s="206">
        <f>E173^2</f>
        <v>1</v>
      </c>
      <c r="G173" s="844">
        <f>E$169-D173</f>
        <v>295.01060133133893</v>
      </c>
      <c r="H173" s="259">
        <f>LOG(D173)</f>
        <v>2.4842847436755764</v>
      </c>
      <c r="I173" s="245">
        <f>LOG(G173)</f>
        <v>2.4698376228153669</v>
      </c>
      <c r="J173" s="246">
        <f>H173-I173</f>
        <v>1.4447120860209495E-2</v>
      </c>
      <c r="K173" s="246">
        <f>E173*J173</f>
        <v>-1.4447120860209495E-2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246.81231876812319</v>
      </c>
      <c r="E174" s="244">
        <f>((COUNT(B$172:B$176)-1)/2)+(B174-$C$4)</f>
        <v>0</v>
      </c>
      <c r="F174" s="206">
        <f>E174^2</f>
        <v>0</v>
      </c>
      <c r="G174" s="844">
        <f>E$169-D174</f>
        <v>353.18768123187681</v>
      </c>
      <c r="H174" s="259">
        <f>LOG(D174)</f>
        <v>2.3923668321825371</v>
      </c>
      <c r="I174" s="245">
        <f>LOG(G174)</f>
        <v>2.5480055474923966</v>
      </c>
      <c r="J174" s="246">
        <f>H174-I174</f>
        <v>-0.15563871530985951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256.88973863382967</v>
      </c>
      <c r="E175" s="244">
        <f>((COUNT(B$172:B$176)-1)/2)+(B175-$C$4)</f>
        <v>1</v>
      </c>
      <c r="F175" s="206">
        <f>E175^2</f>
        <v>1</v>
      </c>
      <c r="G175" s="844">
        <f>E$169-D175</f>
        <v>343.11026136617033</v>
      </c>
      <c r="H175" s="259">
        <f>LOG(D175)</f>
        <v>2.4097467568793896</v>
      </c>
      <c r="I175" s="245">
        <f>LOG(G175)</f>
        <v>2.5354337066544379</v>
      </c>
      <c r="J175" s="246">
        <f>H175-I175</f>
        <v>-0.12568694977504835</v>
      </c>
      <c r="K175" s="246">
        <f>E175*J175</f>
        <v>-0.12568694977504835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266.64485742003069</v>
      </c>
      <c r="E176" s="244">
        <f>((COUNT(B$172:B$176)-1)/2)+(B176-$C$4)</f>
        <v>2</v>
      </c>
      <c r="F176" s="206">
        <f>E176^2</f>
        <v>4</v>
      </c>
      <c r="G176" s="844">
        <f>E$169-D176</f>
        <v>333.35514257996931</v>
      </c>
      <c r="H176" s="259">
        <f>LOG(D176)</f>
        <v>2.4259332121867554</v>
      </c>
      <c r="I176" s="245">
        <f>LOG(G176)</f>
        <v>2.5229071592572221</v>
      </c>
      <c r="J176" s="246">
        <f>H176-I176</f>
        <v>-9.6973947070466693E-2</v>
      </c>
      <c r="K176" s="246">
        <f>E176*J176</f>
        <v>-0.19394789414093339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146</v>
      </c>
      <c r="C177" s="212"/>
      <c r="D177" s="260">
        <f>SUM(D172:D176)</f>
        <v>1360.904934508078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-0.40566788728197345</v>
      </c>
      <c r="K177" s="263">
        <f>SUM(K172:K176)</f>
        <v>-0.25045117280257445</v>
      </c>
      <c r="L177" s="203"/>
      <c r="M177" s="203"/>
      <c r="N177" s="203"/>
      <c r="O177" s="203"/>
    </row>
    <row r="178" spans="1:15" ht="15" customHeight="1">
      <c r="A178" s="203"/>
      <c r="B178" s="208" t="s">
        <v>246</v>
      </c>
      <c r="C178" s="208"/>
      <c r="D178" s="201" t="s">
        <v>247</v>
      </c>
      <c r="E178" s="236" t="s">
        <v>248</v>
      </c>
      <c r="F178" s="203"/>
      <c r="G178" s="219" t="str">
        <f>"X = x × LOG e = "&amp;E177&amp;" 이고,"</f>
        <v>X = x × LOG e = 0 이고,</v>
      </c>
      <c r="H178" s="219"/>
      <c r="I178" s="219" t="s">
        <v>249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250</v>
      </c>
      <c r="E179" s="219"/>
      <c r="F179" s="219"/>
      <c r="G179" s="219"/>
      <c r="H179" s="254">
        <f>ROUND(((E$177*K$177-F$177*J$177)/(COUNT(B$172:B$176)*F$177-E$177*E$177))/LOG(EXP(1)),5)</f>
        <v>0.18682000000000001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251</v>
      </c>
      <c r="E180" s="219"/>
      <c r="F180" s="219"/>
      <c r="G180" s="264" t="s">
        <v>252</v>
      </c>
      <c r="H180" s="219"/>
      <c r="I180" s="219"/>
      <c r="J180" s="219"/>
      <c r="K180" s="265">
        <f>ROUND((COUNT(B$172:B$176)*K177-E177*J177)/(LOG(EXP(1))*(COUNT(B$172:B$176)*F177-E177*E177)),6)</f>
        <v>-5.7668999999999998E-2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200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141</v>
      </c>
      <c r="C183" s="202"/>
      <c r="D183" s="202" t="s">
        <v>156</v>
      </c>
      <c r="E183" s="202"/>
      <c r="F183" s="202" t="s">
        <v>157</v>
      </c>
      <c r="G183" s="202"/>
      <c r="H183" s="202" t="s">
        <v>158</v>
      </c>
      <c r="I183" s="202"/>
      <c r="J183" s="202" t="s">
        <v>144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235</v>
      </c>
      <c r="E184" s="221"/>
      <c r="F184" s="221">
        <v>0</v>
      </c>
      <c r="G184" s="221"/>
      <c r="H184" s="221">
        <f t="shared" ref="H184:H203" si="9">ROUND(D184*(1+F184),0)</f>
        <v>235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226</v>
      </c>
      <c r="E185" s="221"/>
      <c r="F185" s="221">
        <v>0</v>
      </c>
      <c r="G185" s="221"/>
      <c r="H185" s="221">
        <f t="shared" si="9"/>
        <v>226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218</v>
      </c>
      <c r="E186" s="221"/>
      <c r="F186" s="221">
        <v>0</v>
      </c>
      <c r="G186" s="221"/>
      <c r="H186" s="221">
        <f t="shared" si="9"/>
        <v>218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210</v>
      </c>
      <c r="E187" s="221"/>
      <c r="F187" s="221">
        <v>0</v>
      </c>
      <c r="G187" s="221"/>
      <c r="H187" s="221">
        <f t="shared" si="9"/>
        <v>210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203</v>
      </c>
      <c r="E188" s="269"/>
      <c r="F188" s="269">
        <v>0</v>
      </c>
      <c r="G188" s="269"/>
      <c r="H188" s="269">
        <f t="shared" si="9"/>
        <v>203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195</v>
      </c>
      <c r="E189" s="221"/>
      <c r="F189" s="221">
        <v>0</v>
      </c>
      <c r="G189" s="221"/>
      <c r="H189" s="221">
        <f t="shared" si="9"/>
        <v>195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187</v>
      </c>
      <c r="E190" s="221"/>
      <c r="F190" s="221">
        <v>0</v>
      </c>
      <c r="G190" s="221"/>
      <c r="H190" s="221">
        <f t="shared" si="9"/>
        <v>187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180</v>
      </c>
      <c r="E191" s="221"/>
      <c r="F191" s="221">
        <v>0</v>
      </c>
      <c r="G191" s="221"/>
      <c r="H191" s="221">
        <f t="shared" si="9"/>
        <v>180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173</v>
      </c>
      <c r="E192" s="221"/>
      <c r="F192" s="221">
        <v>0</v>
      </c>
      <c r="G192" s="221"/>
      <c r="H192" s="221">
        <f t="shared" si="9"/>
        <v>173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166</v>
      </c>
      <c r="E193" s="269"/>
      <c r="F193" s="269">
        <v>0</v>
      </c>
      <c r="G193" s="269"/>
      <c r="H193" s="269">
        <f t="shared" si="9"/>
        <v>166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159</v>
      </c>
      <c r="E194" s="221"/>
      <c r="F194" s="221">
        <v>0</v>
      </c>
      <c r="G194" s="221"/>
      <c r="H194" s="221">
        <f t="shared" si="9"/>
        <v>159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153</v>
      </c>
      <c r="E195" s="221"/>
      <c r="F195" s="221">
        <v>0</v>
      </c>
      <c r="G195" s="221"/>
      <c r="H195" s="221">
        <f t="shared" si="9"/>
        <v>153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146</v>
      </c>
      <c r="E196" s="221"/>
      <c r="F196" s="221">
        <v>0</v>
      </c>
      <c r="G196" s="221"/>
      <c r="H196" s="221">
        <f t="shared" si="9"/>
        <v>146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140</v>
      </c>
      <c r="E197" s="221"/>
      <c r="F197" s="221">
        <v>0</v>
      </c>
      <c r="G197" s="221"/>
      <c r="H197" s="221">
        <f t="shared" si="9"/>
        <v>140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134</v>
      </c>
      <c r="E198" s="269"/>
      <c r="F198" s="269">
        <v>0</v>
      </c>
      <c r="G198" s="269"/>
      <c r="H198" s="269">
        <f t="shared" si="9"/>
        <v>134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128</v>
      </c>
      <c r="E199" s="221"/>
      <c r="F199" s="221">
        <v>0</v>
      </c>
      <c r="G199" s="221"/>
      <c r="H199" s="221">
        <f t="shared" si="9"/>
        <v>128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122</v>
      </c>
      <c r="E200" s="221"/>
      <c r="F200" s="221">
        <v>0</v>
      </c>
      <c r="G200" s="221"/>
      <c r="H200" s="221">
        <f t="shared" si="9"/>
        <v>122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117</v>
      </c>
      <c r="E201" s="221"/>
      <c r="F201" s="221">
        <v>0</v>
      </c>
      <c r="G201" s="221"/>
      <c r="H201" s="221">
        <f t="shared" si="9"/>
        <v>117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111</v>
      </c>
      <c r="E202" s="221"/>
      <c r="F202" s="221">
        <v>0</v>
      </c>
      <c r="G202" s="221"/>
      <c r="H202" s="221">
        <f t="shared" si="9"/>
        <v>111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106</v>
      </c>
      <c r="E203" s="269"/>
      <c r="F203" s="269">
        <v>0</v>
      </c>
      <c r="G203" s="269"/>
      <c r="H203" s="269">
        <f t="shared" si="9"/>
        <v>106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259</v>
      </c>
      <c r="G209" s="208"/>
      <c r="H209" s="203"/>
      <c r="I209" s="203"/>
      <c r="J209" s="203"/>
      <c r="K209" s="228" t="s">
        <v>260</v>
      </c>
      <c r="L209" s="203"/>
      <c r="M209" s="203"/>
      <c r="N209" s="203"/>
      <c r="O209" s="203"/>
    </row>
    <row r="210" spans="1:15" ht="15" customHeight="1">
      <c r="A210" s="203"/>
      <c r="B210" s="202" t="s">
        <v>141</v>
      </c>
      <c r="C210" s="202"/>
      <c r="D210" s="202" t="s">
        <v>261</v>
      </c>
      <c r="E210" s="202" t="s">
        <v>262</v>
      </c>
      <c r="F210" s="202" t="s">
        <v>263</v>
      </c>
      <c r="G210" s="202" t="s">
        <v>279</v>
      </c>
      <c r="H210" s="202" t="s">
        <v>264</v>
      </c>
      <c r="I210" s="202" t="s">
        <v>54</v>
      </c>
      <c r="J210" s="202" t="s">
        <v>266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267</v>
      </c>
      <c r="E211" s="257">
        <f t="array" ref="E211">IF(B53=B211,H53)</f>
        <v>267</v>
      </c>
      <c r="F211" s="257">
        <f t="array" ref="F211">IF(B101=B211,H101)</f>
        <v>255</v>
      </c>
      <c r="G211" s="257">
        <f t="array" ref="G211">IF(B141=B211,H141)</f>
        <v>296</v>
      </c>
      <c r="H211" s="257">
        <f t="array" ref="H211">IF(B184=B211,H184)</f>
        <v>235</v>
      </c>
      <c r="I211" s="257">
        <f t="shared" ref="I211:I230" si="10">IF(G211=0,AVERAGE(D211,E211,F211,H211),AVERAGE(D211:H211))</f>
        <v>264</v>
      </c>
      <c r="J211" s="266">
        <f t="shared" ref="J211:J230" si="11">ROUND(AVERAGE(D211,F211:G211),0)</f>
        <v>273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262</v>
      </c>
      <c r="E212" s="257">
        <f t="array" ref="E212">IF(B54=B212,H54)</f>
        <v>262</v>
      </c>
      <c r="F212" s="257">
        <f t="array" ref="F212">IF(B102=B212,H102)</f>
        <v>247</v>
      </c>
      <c r="G212" s="257">
        <f t="array" ref="G212">IF(B142=B212,H142)</f>
        <v>296</v>
      </c>
      <c r="H212" s="257">
        <f t="array" ref="H212">IF(B185=B212,H185)</f>
        <v>226</v>
      </c>
      <c r="I212" s="257">
        <f t="shared" si="10"/>
        <v>258.60000000000002</v>
      </c>
      <c r="J212" s="266">
        <f t="shared" si="11"/>
        <v>268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257</v>
      </c>
      <c r="E213" s="257">
        <f t="array" ref="E213">IF(B55=B213,H55)</f>
        <v>258</v>
      </c>
      <c r="F213" s="257">
        <f t="array" ref="F213">IF(B103=B213,H103)</f>
        <v>238</v>
      </c>
      <c r="G213" s="257">
        <f t="array" ref="G213">IF(B143=B213,H143)</f>
        <v>296</v>
      </c>
      <c r="H213" s="257">
        <f t="array" ref="H213">IF(B186=B213,H186)</f>
        <v>218</v>
      </c>
      <c r="I213" s="257">
        <f t="shared" si="10"/>
        <v>253.4</v>
      </c>
      <c r="J213" s="266">
        <f t="shared" si="11"/>
        <v>264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253</v>
      </c>
      <c r="E214" s="257">
        <f t="array" ref="E214">IF(B56=B214,H56)</f>
        <v>253</v>
      </c>
      <c r="F214" s="257">
        <f t="array" ref="F214">IF(B104=B214,H104)</f>
        <v>230</v>
      </c>
      <c r="G214" s="257">
        <f t="array" ref="G214">IF(B144=B214,H144)</f>
        <v>296</v>
      </c>
      <c r="H214" s="257">
        <f t="array" ref="H214">IF(B187=B214,H187)</f>
        <v>210</v>
      </c>
      <c r="I214" s="257">
        <f t="shared" si="10"/>
        <v>248.4</v>
      </c>
      <c r="J214" s="266">
        <f t="shared" si="11"/>
        <v>260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248</v>
      </c>
      <c r="E215" s="271">
        <f t="array" ref="E215">IF(B57=B215,H57)</f>
        <v>249</v>
      </c>
      <c r="F215" s="271">
        <f t="array" ref="F215">IF(B105=B215,H105)</f>
        <v>221</v>
      </c>
      <c r="G215" s="271">
        <f t="array" ref="G215">IF(B145=B215,H145)</f>
        <v>296</v>
      </c>
      <c r="H215" s="271">
        <f t="array" ref="H215">IF(B188=B215,H188)</f>
        <v>203</v>
      </c>
      <c r="I215" s="271">
        <f t="shared" si="10"/>
        <v>243.4</v>
      </c>
      <c r="J215" s="273">
        <f t="shared" si="11"/>
        <v>255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243</v>
      </c>
      <c r="E216" s="257">
        <f t="array" ref="E216">IF(B58=B216,H58)</f>
        <v>245</v>
      </c>
      <c r="F216" s="257">
        <f t="array" ref="F216">IF(B106=B216,H106)</f>
        <v>212</v>
      </c>
      <c r="G216" s="257">
        <f t="array" ref="G216">IF(B146=B216,H146)</f>
        <v>296</v>
      </c>
      <c r="H216" s="257">
        <f t="array" ref="H216">IF(B189=B216,H189)</f>
        <v>195</v>
      </c>
      <c r="I216" s="257">
        <f t="shared" si="10"/>
        <v>238.2</v>
      </c>
      <c r="J216" s="266">
        <f t="shared" si="11"/>
        <v>250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238</v>
      </c>
      <c r="E217" s="257">
        <f t="array" ref="E217">IF(B59=B217,H59)</f>
        <v>241</v>
      </c>
      <c r="F217" s="257">
        <f t="array" ref="F217">IF(B107=B217,H107)</f>
        <v>204</v>
      </c>
      <c r="G217" s="257">
        <f t="array" ref="G217">IF(B147=B217,H147)</f>
        <v>296</v>
      </c>
      <c r="H217" s="257">
        <f t="array" ref="H217">IF(B190=B217,H190)</f>
        <v>187</v>
      </c>
      <c r="I217" s="257">
        <f t="shared" si="10"/>
        <v>233.2</v>
      </c>
      <c r="J217" s="266">
        <f t="shared" si="11"/>
        <v>246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234</v>
      </c>
      <c r="E218" s="257">
        <f t="array" ref="E218">IF(B60=B218,H60)</f>
        <v>236</v>
      </c>
      <c r="F218" s="257">
        <f t="array" ref="F218">IF(B108=B218,H108)</f>
        <v>195</v>
      </c>
      <c r="G218" s="257">
        <f t="array" ref="G218">IF(B148=B218,H148)</f>
        <v>296</v>
      </c>
      <c r="H218" s="257">
        <f t="array" ref="H218">IF(B191=B218,H191)</f>
        <v>180</v>
      </c>
      <c r="I218" s="257">
        <f t="shared" si="10"/>
        <v>228.2</v>
      </c>
      <c r="J218" s="266">
        <f t="shared" si="11"/>
        <v>242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229</v>
      </c>
      <c r="E219" s="257">
        <f t="array" ref="E219">IF(B61=B219,H61)</f>
        <v>232</v>
      </c>
      <c r="F219" s="257">
        <f t="array" ref="F219">IF(B109=B219,H109)</f>
        <v>187</v>
      </c>
      <c r="G219" s="257">
        <f t="array" ref="G219">IF(B149=B219,H149)</f>
        <v>296</v>
      </c>
      <c r="H219" s="257">
        <f t="array" ref="H219">IF(B192=B219,H192)</f>
        <v>173</v>
      </c>
      <c r="I219" s="257">
        <f t="shared" si="10"/>
        <v>223.4</v>
      </c>
      <c r="J219" s="266">
        <f t="shared" si="11"/>
        <v>237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224</v>
      </c>
      <c r="E220" s="271">
        <f t="array" ref="E220">IF(B62=B220,H62)</f>
        <v>229</v>
      </c>
      <c r="F220" s="271">
        <f t="array" ref="F220">IF(B110=B220,H110)</f>
        <v>178</v>
      </c>
      <c r="G220" s="271">
        <f t="array" ref="G220">IF(B150=B220,H150)</f>
        <v>296</v>
      </c>
      <c r="H220" s="271">
        <f t="array" ref="H220">IF(B193=B220,H193)</f>
        <v>166</v>
      </c>
      <c r="I220" s="271">
        <f t="shared" si="10"/>
        <v>218.6</v>
      </c>
      <c r="J220" s="273">
        <f t="shared" si="11"/>
        <v>233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220</v>
      </c>
      <c r="E221" s="257">
        <f t="array" ref="E221">IF(B63=B221,H63)</f>
        <v>225</v>
      </c>
      <c r="F221" s="257">
        <f t="array" ref="F221">IF(B111=B221,H111)</f>
        <v>169</v>
      </c>
      <c r="G221" s="257">
        <f t="array" ref="G221">IF(B151=B221,H151)</f>
        <v>296</v>
      </c>
      <c r="H221" s="257">
        <f t="array" ref="H221">IF(B194=B221,H194)</f>
        <v>159</v>
      </c>
      <c r="I221" s="257">
        <f t="shared" si="10"/>
        <v>213.8</v>
      </c>
      <c r="J221" s="266">
        <f t="shared" si="11"/>
        <v>228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215</v>
      </c>
      <c r="E222" s="257">
        <f t="array" ref="E222">IF(B64=B222,H64)</f>
        <v>221</v>
      </c>
      <c r="F222" s="257">
        <f t="array" ref="F222">IF(B112=B222,H112)</f>
        <v>161</v>
      </c>
      <c r="G222" s="257">
        <f t="array" ref="G222">IF(B152=B222,H152)</f>
        <v>296</v>
      </c>
      <c r="H222" s="257">
        <f t="array" ref="H222">IF(B195=B222,H195)</f>
        <v>153</v>
      </c>
      <c r="I222" s="257">
        <f t="shared" si="10"/>
        <v>209.2</v>
      </c>
      <c r="J222" s="266">
        <f t="shared" si="11"/>
        <v>224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210</v>
      </c>
      <c r="E223" s="257">
        <f t="array" ref="E223">IF(B65=B223,H65)</f>
        <v>217</v>
      </c>
      <c r="F223" s="257">
        <f t="array" ref="F223">IF(B113=B223,H113)</f>
        <v>152</v>
      </c>
      <c r="G223" s="257">
        <f t="array" ref="G223">IF(B153=B223,H153)</f>
        <v>296</v>
      </c>
      <c r="H223" s="257">
        <f t="array" ref="H223">IF(B196=B223,H196)</f>
        <v>146</v>
      </c>
      <c r="I223" s="257">
        <f t="shared" si="10"/>
        <v>204.2</v>
      </c>
      <c r="J223" s="266">
        <f t="shared" si="11"/>
        <v>219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206</v>
      </c>
      <c r="E224" s="257">
        <f t="array" ref="E224">IF(B66=B224,H66)</f>
        <v>213</v>
      </c>
      <c r="F224" s="257">
        <f t="array" ref="F224">IF(B114=B224,H114)</f>
        <v>144</v>
      </c>
      <c r="G224" s="257">
        <f t="array" ref="G224">IF(B154=B224,H154)</f>
        <v>296</v>
      </c>
      <c r="H224" s="257">
        <f t="array" ref="H224">IF(B197=B224,H197)</f>
        <v>140</v>
      </c>
      <c r="I224" s="257">
        <f t="shared" si="10"/>
        <v>199.8</v>
      </c>
      <c r="J224" s="266">
        <f t="shared" si="11"/>
        <v>215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201</v>
      </c>
      <c r="E225" s="271">
        <f t="array" ref="E225">IF(B67=B225,H67)</f>
        <v>210</v>
      </c>
      <c r="F225" s="271">
        <f t="array" ref="F225">IF(B115=B225,H115)</f>
        <v>135</v>
      </c>
      <c r="G225" s="271">
        <f t="array" ref="G225">IF(B155=B225,H155)</f>
        <v>296</v>
      </c>
      <c r="H225" s="271">
        <f t="array" ref="H225">IF(B198=B225,H198)</f>
        <v>134</v>
      </c>
      <c r="I225" s="271">
        <f t="shared" si="10"/>
        <v>195.2</v>
      </c>
      <c r="J225" s="273">
        <f t="shared" si="11"/>
        <v>211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196</v>
      </c>
      <c r="E226" s="257">
        <f t="array" ref="E226">IF(B68=B226,H68)</f>
        <v>206</v>
      </c>
      <c r="F226" s="257">
        <f t="array" ref="F226">IF(B116=B226,H116)</f>
        <v>126</v>
      </c>
      <c r="G226" s="257">
        <f t="array" ref="G226">IF(B156=B226,H156)</f>
        <v>296</v>
      </c>
      <c r="H226" s="257">
        <f t="array" ref="H226">IF(B199=B226,H199)</f>
        <v>128</v>
      </c>
      <c r="I226" s="257">
        <f t="shared" si="10"/>
        <v>190.4</v>
      </c>
      <c r="J226" s="266">
        <f t="shared" si="11"/>
        <v>206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191</v>
      </c>
      <c r="E227" s="257">
        <f t="array" ref="E227">IF(B69=B227,H69)</f>
        <v>203</v>
      </c>
      <c r="F227" s="257">
        <f t="array" ref="F227">IF(B117=B227,H117)</f>
        <v>118</v>
      </c>
      <c r="G227" s="257">
        <f t="array" ref="G227">IF(B157=B227,H157)</f>
        <v>296</v>
      </c>
      <c r="H227" s="257">
        <f t="array" ref="H227">IF(B200=B227,H200)</f>
        <v>122</v>
      </c>
      <c r="I227" s="257">
        <f t="shared" si="10"/>
        <v>186</v>
      </c>
      <c r="J227" s="266">
        <f t="shared" si="11"/>
        <v>202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187</v>
      </c>
      <c r="E228" s="257">
        <f t="array" ref="E228">IF(B70=B228,H70)</f>
        <v>199</v>
      </c>
      <c r="F228" s="257">
        <f t="array" ref="F228">IF(B118=B228,H118)</f>
        <v>109</v>
      </c>
      <c r="G228" s="257">
        <f t="array" ref="G228">IF(B158=B228,H158)</f>
        <v>296</v>
      </c>
      <c r="H228" s="257">
        <f t="array" ref="H228">IF(B201=B228,H201)</f>
        <v>117</v>
      </c>
      <c r="I228" s="257">
        <f t="shared" si="10"/>
        <v>181.6</v>
      </c>
      <c r="J228" s="266">
        <f t="shared" si="11"/>
        <v>197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182</v>
      </c>
      <c r="E229" s="257">
        <f t="array" ref="E229">IF(B71=B229,H71)</f>
        <v>196</v>
      </c>
      <c r="F229" s="257">
        <f t="array" ref="F229">IF(B119=B229,H119)</f>
        <v>101</v>
      </c>
      <c r="G229" s="257">
        <f t="array" ref="G229">IF(B159=B229,H159)</f>
        <v>296</v>
      </c>
      <c r="H229" s="257">
        <f t="array" ref="H229">IF(B202=B229,H202)</f>
        <v>111</v>
      </c>
      <c r="I229" s="257">
        <f t="shared" si="10"/>
        <v>177.2</v>
      </c>
      <c r="J229" s="266">
        <f t="shared" si="11"/>
        <v>193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177</v>
      </c>
      <c r="E230" s="271">
        <f t="array" ref="E230">IF(B72=B230,H72)</f>
        <v>193</v>
      </c>
      <c r="F230" s="271">
        <f t="array" ref="F230">IF(B120=B230,H120)</f>
        <v>92</v>
      </c>
      <c r="G230" s="271">
        <f t="array" ref="G230">IF(B160=B230,H160)</f>
        <v>296</v>
      </c>
      <c r="H230" s="271">
        <f t="array" ref="H230">IF(B203=B230,H203)</f>
        <v>106</v>
      </c>
      <c r="I230" s="271">
        <f t="shared" si="10"/>
        <v>172.8</v>
      </c>
      <c r="J230" s="273">
        <f t="shared" si="11"/>
        <v>188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1157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1777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 t="e">
        <f>'6. 물사용량 실적산정'!I25</f>
        <v>#DIV/0!</v>
      </c>
      <c r="E7" s="844"/>
      <c r="F7" s="206">
        <v>0</v>
      </c>
      <c r="G7" s="206"/>
      <c r="H7" s="207">
        <v>0</v>
      </c>
      <c r="I7" s="208"/>
      <c r="J7" s="209" t="s">
        <v>1158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 t="e">
        <f>'6. 물사용량 실적산정'!I26</f>
        <v>#DIV/0!</v>
      </c>
      <c r="E8" s="844"/>
      <c r="F8" s="206" t="e">
        <f t="shared" ref="F8:F12" si="1">D8-D7</f>
        <v>#DIV/0!</v>
      </c>
      <c r="G8" s="206"/>
      <c r="H8" s="207" t="e">
        <f t="shared" ref="H8:H12" si="2">ROUND(F8/D7*100,2)</f>
        <v>#DIV/0!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 t="e">
        <f>'6. 물사용량 실적산정'!I27</f>
        <v>#DIV/0!</v>
      </c>
      <c r="E9" s="844"/>
      <c r="F9" s="206" t="e">
        <f t="shared" si="1"/>
        <v>#DIV/0!</v>
      </c>
      <c r="G9" s="206"/>
      <c r="H9" s="207" t="e">
        <f t="shared" si="2"/>
        <v>#DIV/0!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 t="e">
        <f>'6. 물사용량 실적산정'!I28</f>
        <v>#DIV/0!</v>
      </c>
      <c r="E10" s="844"/>
      <c r="F10" s="206" t="e">
        <f t="shared" si="1"/>
        <v>#DIV/0!</v>
      </c>
      <c r="G10" s="206"/>
      <c r="H10" s="207" t="e">
        <f t="shared" si="2"/>
        <v>#DIV/0!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 t="e">
        <f>'6. 물사용량 실적산정'!I29</f>
        <v>#DIV/0!</v>
      </c>
      <c r="E11" s="844"/>
      <c r="F11" s="206" t="e">
        <f t="shared" si="1"/>
        <v>#DIV/0!</v>
      </c>
      <c r="G11" s="206"/>
      <c r="H11" s="207" t="e">
        <f t="shared" si="2"/>
        <v>#DIV/0!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 t="e">
        <f>'6. 물사용량 실적산정'!I30</f>
        <v>#DIV/0!</v>
      </c>
      <c r="E12" s="844"/>
      <c r="F12" s="206" t="e">
        <f t="shared" si="1"/>
        <v>#DIV/0!</v>
      </c>
      <c r="G12" s="206"/>
      <c r="H12" s="207" t="e">
        <f t="shared" si="2"/>
        <v>#DIV/0!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1159</v>
      </c>
      <c r="C13" s="212"/>
      <c r="D13" s="213" t="e">
        <f>SUM(D7:D12)</f>
        <v>#DIV/0!</v>
      </c>
      <c r="E13" s="214"/>
      <c r="F13" s="215"/>
      <c r="G13" s="215"/>
      <c r="H13" s="918" t="e">
        <f>SUM(H7:H12)</f>
        <v>#DIV/0!</v>
      </c>
      <c r="I13" s="216"/>
      <c r="J13" s="217" t="e">
        <f>ROUND(AVERAGE(H7:H12),1)</f>
        <v>#DIV/0!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147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148</v>
      </c>
      <c r="D16" s="219" t="s">
        <v>149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150</v>
      </c>
      <c r="D17" s="219" t="s">
        <v>151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152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153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154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141</v>
      </c>
      <c r="C21" s="202"/>
      <c r="D21" s="202" t="s">
        <v>156</v>
      </c>
      <c r="E21" s="202"/>
      <c r="F21" s="202" t="s">
        <v>157</v>
      </c>
      <c r="G21" s="202"/>
      <c r="H21" s="202" t="s">
        <v>158</v>
      </c>
      <c r="I21" s="202"/>
      <c r="J21" s="202" t="s">
        <v>144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 t="e">
        <f t="shared" ref="D22:D41" si="3">ROUND(E$42+H$42*(B22-$C$4),0)</f>
        <v>#DIV/0!</v>
      </c>
      <c r="E22" s="221"/>
      <c r="F22" s="221">
        <v>0</v>
      </c>
      <c r="G22" s="221"/>
      <c r="H22" s="221" t="e">
        <f t="shared" ref="H22:H36" si="4">ROUND(D22*(1+F22),0)</f>
        <v>#DIV/0!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 t="e">
        <f t="shared" si="3"/>
        <v>#DIV/0!</v>
      </c>
      <c r="E23" s="221"/>
      <c r="F23" s="221">
        <v>0</v>
      </c>
      <c r="G23" s="221"/>
      <c r="H23" s="221" t="e">
        <f t="shared" si="4"/>
        <v>#DIV/0!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 t="e">
        <f t="shared" si="3"/>
        <v>#DIV/0!</v>
      </c>
      <c r="E24" s="221"/>
      <c r="F24" s="221">
        <v>0</v>
      </c>
      <c r="G24" s="221"/>
      <c r="H24" s="221" t="e">
        <f t="shared" si="4"/>
        <v>#DIV/0!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 t="e">
        <f t="shared" si="3"/>
        <v>#DIV/0!</v>
      </c>
      <c r="E25" s="221"/>
      <c r="F25" s="221">
        <v>0</v>
      </c>
      <c r="G25" s="221"/>
      <c r="H25" s="221" t="e">
        <f t="shared" si="4"/>
        <v>#DIV/0!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 t="e">
        <f t="shared" si="3"/>
        <v>#DIV/0!</v>
      </c>
      <c r="E26" s="269"/>
      <c r="F26" s="269">
        <v>0</v>
      </c>
      <c r="G26" s="269"/>
      <c r="H26" s="269" t="e">
        <f t="shared" si="4"/>
        <v>#DIV/0!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 t="e">
        <f t="shared" si="3"/>
        <v>#DIV/0!</v>
      </c>
      <c r="E27" s="221"/>
      <c r="F27" s="221">
        <v>0</v>
      </c>
      <c r="G27" s="221"/>
      <c r="H27" s="221" t="e">
        <f t="shared" si="4"/>
        <v>#DIV/0!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 t="e">
        <f t="shared" si="3"/>
        <v>#DIV/0!</v>
      </c>
      <c r="E28" s="221"/>
      <c r="F28" s="221">
        <v>0</v>
      </c>
      <c r="G28" s="221"/>
      <c r="H28" s="221" t="e">
        <f t="shared" si="4"/>
        <v>#DIV/0!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 t="e">
        <f t="shared" si="3"/>
        <v>#DIV/0!</v>
      </c>
      <c r="E29" s="221"/>
      <c r="F29" s="221">
        <v>0</v>
      </c>
      <c r="G29" s="221"/>
      <c r="H29" s="221" t="e">
        <f t="shared" si="4"/>
        <v>#DIV/0!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 t="e">
        <f t="shared" si="3"/>
        <v>#DIV/0!</v>
      </c>
      <c r="E30" s="221"/>
      <c r="F30" s="221">
        <v>0</v>
      </c>
      <c r="G30" s="221"/>
      <c r="H30" s="221" t="e">
        <f t="shared" si="4"/>
        <v>#DIV/0!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 t="e">
        <f t="shared" si="3"/>
        <v>#DIV/0!</v>
      </c>
      <c r="E31" s="269"/>
      <c r="F31" s="269">
        <v>0</v>
      </c>
      <c r="G31" s="269"/>
      <c r="H31" s="269" t="e">
        <f t="shared" si="4"/>
        <v>#DIV/0!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 t="e">
        <f t="shared" si="3"/>
        <v>#DIV/0!</v>
      </c>
      <c r="E32" s="221"/>
      <c r="F32" s="221">
        <v>0</v>
      </c>
      <c r="G32" s="221"/>
      <c r="H32" s="221" t="e">
        <f t="shared" si="4"/>
        <v>#DIV/0!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 t="e">
        <f t="shared" si="3"/>
        <v>#DIV/0!</v>
      </c>
      <c r="E33" s="221"/>
      <c r="F33" s="221">
        <v>0</v>
      </c>
      <c r="G33" s="221"/>
      <c r="H33" s="221" t="e">
        <f t="shared" si="4"/>
        <v>#DIV/0!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 t="e">
        <f t="shared" si="3"/>
        <v>#DIV/0!</v>
      </c>
      <c r="E34" s="221"/>
      <c r="F34" s="221">
        <v>0</v>
      </c>
      <c r="G34" s="221"/>
      <c r="H34" s="221" t="e">
        <f t="shared" si="4"/>
        <v>#DIV/0!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 t="e">
        <f t="shared" si="3"/>
        <v>#DIV/0!</v>
      </c>
      <c r="E35" s="221"/>
      <c r="F35" s="221">
        <v>0</v>
      </c>
      <c r="G35" s="221"/>
      <c r="H35" s="221" t="e">
        <f t="shared" si="4"/>
        <v>#DIV/0!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 t="e">
        <f t="shared" si="3"/>
        <v>#DIV/0!</v>
      </c>
      <c r="E36" s="269"/>
      <c r="F36" s="269">
        <v>0</v>
      </c>
      <c r="G36" s="269"/>
      <c r="H36" s="269" t="e">
        <f t="shared" si="4"/>
        <v>#DIV/0!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 t="e">
        <f t="shared" si="3"/>
        <v>#DIV/0!</v>
      </c>
      <c r="E37" s="221"/>
      <c r="F37" s="221">
        <v>0</v>
      </c>
      <c r="G37" s="221"/>
      <c r="H37" s="221" t="e">
        <f>ROUND(D37*(1+F37),0)</f>
        <v>#DIV/0!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 t="e">
        <f t="shared" si="3"/>
        <v>#DIV/0!</v>
      </c>
      <c r="E38" s="221"/>
      <c r="F38" s="221">
        <v>0</v>
      </c>
      <c r="G38" s="221"/>
      <c r="H38" s="221" t="e">
        <f>ROUND(D38*(1+F38),0)</f>
        <v>#DIV/0!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 t="e">
        <f t="shared" si="3"/>
        <v>#DIV/0!</v>
      </c>
      <c r="E39" s="221"/>
      <c r="F39" s="221">
        <v>0</v>
      </c>
      <c r="G39" s="221"/>
      <c r="H39" s="221" t="e">
        <f>ROUND(D39*(1+F39),0)</f>
        <v>#DIV/0!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 t="e">
        <f t="shared" si="3"/>
        <v>#DIV/0!</v>
      </c>
      <c r="E40" s="221"/>
      <c r="F40" s="221">
        <v>0</v>
      </c>
      <c r="G40" s="221"/>
      <c r="H40" s="221" t="e">
        <f>ROUND(D40*(1+F40),0)</f>
        <v>#DIV/0!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 t="e">
        <f t="shared" si="3"/>
        <v>#DIV/0!</v>
      </c>
      <c r="E41" s="269"/>
      <c r="F41" s="269">
        <v>0</v>
      </c>
      <c r="G41" s="269"/>
      <c r="H41" s="269" t="e">
        <f>ROUND(D41*(1+F41),0)</f>
        <v>#DIV/0!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1160</v>
      </c>
      <c r="C42" s="223"/>
      <c r="D42" s="224" t="s">
        <v>1161</v>
      </c>
      <c r="E42" s="225" t="e">
        <f>D$12</f>
        <v>#DIV/0!</v>
      </c>
      <c r="F42" s="226"/>
      <c r="G42" s="224" t="s">
        <v>162</v>
      </c>
      <c r="H42" s="224" t="e">
        <f>ROUND((D$12-D7)/(COUNT(D$7:D$12)-1),1)</f>
        <v>#DIV/0!</v>
      </c>
      <c r="I42" s="224"/>
      <c r="J42" s="224" t="s">
        <v>163</v>
      </c>
      <c r="K42" s="227" t="s">
        <v>164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165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148</v>
      </c>
      <c r="D47" s="219" t="s">
        <v>167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150</v>
      </c>
      <c r="D48" s="219" t="s">
        <v>151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152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171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172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141</v>
      </c>
      <c r="C53" s="202"/>
      <c r="D53" s="202" t="s">
        <v>156</v>
      </c>
      <c r="E53" s="202"/>
      <c r="F53" s="202" t="s">
        <v>157</v>
      </c>
      <c r="G53" s="202"/>
      <c r="H53" s="202" t="s">
        <v>158</v>
      </c>
      <c r="I53" s="202"/>
      <c r="J53" s="202" t="s">
        <v>144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 t="e">
        <f t="shared" ref="D54:D73" si="5">ROUND(E$74*H$74^(B54-$C$4),0)</f>
        <v>#DIV/0!</v>
      </c>
      <c r="E54" s="221"/>
      <c r="F54" s="221">
        <v>0</v>
      </c>
      <c r="G54" s="221"/>
      <c r="H54" s="221" t="e">
        <f t="shared" ref="H54:H68" si="6">ROUND(D54*(1+F54),0)</f>
        <v>#DIV/0!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 t="e">
        <f t="shared" si="5"/>
        <v>#DIV/0!</v>
      </c>
      <c r="E55" s="221"/>
      <c r="F55" s="221">
        <v>0</v>
      </c>
      <c r="G55" s="221"/>
      <c r="H55" s="221" t="e">
        <f t="shared" si="6"/>
        <v>#DIV/0!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 t="e">
        <f t="shared" si="5"/>
        <v>#DIV/0!</v>
      </c>
      <c r="E56" s="221"/>
      <c r="F56" s="221">
        <v>0</v>
      </c>
      <c r="G56" s="221"/>
      <c r="H56" s="221" t="e">
        <f t="shared" si="6"/>
        <v>#DIV/0!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 t="e">
        <f t="shared" si="5"/>
        <v>#DIV/0!</v>
      </c>
      <c r="E57" s="221"/>
      <c r="F57" s="221">
        <v>0</v>
      </c>
      <c r="G57" s="221"/>
      <c r="H57" s="221" t="e">
        <f t="shared" si="6"/>
        <v>#DIV/0!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 t="e">
        <f t="shared" si="5"/>
        <v>#DIV/0!</v>
      </c>
      <c r="E58" s="269"/>
      <c r="F58" s="269">
        <v>0</v>
      </c>
      <c r="G58" s="269"/>
      <c r="H58" s="269" t="e">
        <f t="shared" si="6"/>
        <v>#DIV/0!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 t="e">
        <f t="shared" si="5"/>
        <v>#DIV/0!</v>
      </c>
      <c r="E59" s="221"/>
      <c r="F59" s="221">
        <v>0</v>
      </c>
      <c r="G59" s="221"/>
      <c r="H59" s="221" t="e">
        <f t="shared" si="6"/>
        <v>#DIV/0!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 t="e">
        <f t="shared" si="5"/>
        <v>#DIV/0!</v>
      </c>
      <c r="E60" s="221"/>
      <c r="F60" s="221">
        <v>0</v>
      </c>
      <c r="G60" s="221"/>
      <c r="H60" s="221" t="e">
        <f t="shared" si="6"/>
        <v>#DIV/0!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 t="e">
        <f t="shared" si="5"/>
        <v>#DIV/0!</v>
      </c>
      <c r="E61" s="221"/>
      <c r="F61" s="221">
        <v>0</v>
      </c>
      <c r="G61" s="221"/>
      <c r="H61" s="221" t="e">
        <f t="shared" si="6"/>
        <v>#DIV/0!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 t="e">
        <f t="shared" si="5"/>
        <v>#DIV/0!</v>
      </c>
      <c r="E62" s="221"/>
      <c r="F62" s="221">
        <v>0</v>
      </c>
      <c r="G62" s="221"/>
      <c r="H62" s="221" t="e">
        <f t="shared" si="6"/>
        <v>#DIV/0!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 t="e">
        <f t="shared" si="5"/>
        <v>#DIV/0!</v>
      </c>
      <c r="E63" s="269"/>
      <c r="F63" s="269">
        <v>0</v>
      </c>
      <c r="G63" s="269"/>
      <c r="H63" s="269" t="e">
        <f t="shared" si="6"/>
        <v>#DIV/0!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 t="e">
        <f t="shared" si="5"/>
        <v>#DIV/0!</v>
      </c>
      <c r="E64" s="221"/>
      <c r="F64" s="221">
        <v>0</v>
      </c>
      <c r="G64" s="221"/>
      <c r="H64" s="221" t="e">
        <f t="shared" si="6"/>
        <v>#DIV/0!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 t="e">
        <f t="shared" si="5"/>
        <v>#DIV/0!</v>
      </c>
      <c r="E65" s="221"/>
      <c r="F65" s="221">
        <v>0</v>
      </c>
      <c r="G65" s="221"/>
      <c r="H65" s="221" t="e">
        <f t="shared" si="6"/>
        <v>#DIV/0!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 t="e">
        <f t="shared" si="5"/>
        <v>#DIV/0!</v>
      </c>
      <c r="E66" s="221"/>
      <c r="F66" s="221">
        <v>0</v>
      </c>
      <c r="G66" s="221"/>
      <c r="H66" s="221" t="e">
        <f t="shared" si="6"/>
        <v>#DIV/0!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 t="e">
        <f t="shared" si="5"/>
        <v>#DIV/0!</v>
      </c>
      <c r="E67" s="221"/>
      <c r="F67" s="221">
        <v>0</v>
      </c>
      <c r="G67" s="221"/>
      <c r="H67" s="221" t="e">
        <f t="shared" si="6"/>
        <v>#DIV/0!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 t="e">
        <f t="shared" si="5"/>
        <v>#DIV/0!</v>
      </c>
      <c r="E68" s="269"/>
      <c r="F68" s="269">
        <v>0</v>
      </c>
      <c r="G68" s="269"/>
      <c r="H68" s="269" t="e">
        <f t="shared" si="6"/>
        <v>#DIV/0!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 t="e">
        <f t="shared" si="5"/>
        <v>#DIV/0!</v>
      </c>
      <c r="E69" s="221"/>
      <c r="F69" s="221">
        <v>0</v>
      </c>
      <c r="G69" s="221"/>
      <c r="H69" s="221" t="e">
        <f>ROUND(D69*(1+F69),0)</f>
        <v>#DIV/0!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 t="e">
        <f t="shared" si="5"/>
        <v>#DIV/0!</v>
      </c>
      <c r="E70" s="221"/>
      <c r="F70" s="221">
        <v>0</v>
      </c>
      <c r="G70" s="221"/>
      <c r="H70" s="221" t="e">
        <f>ROUND(D70*(1+F70),0)</f>
        <v>#DIV/0!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 t="e">
        <f t="shared" si="5"/>
        <v>#DIV/0!</v>
      </c>
      <c r="E71" s="221"/>
      <c r="F71" s="221">
        <v>0</v>
      </c>
      <c r="G71" s="221"/>
      <c r="H71" s="221" t="e">
        <f>ROUND(D71*(1+F71),0)</f>
        <v>#DIV/0!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 t="e">
        <f t="shared" si="5"/>
        <v>#DIV/0!</v>
      </c>
      <c r="E72" s="221"/>
      <c r="F72" s="221">
        <v>0</v>
      </c>
      <c r="G72" s="221"/>
      <c r="H72" s="221" t="e">
        <f>ROUND(D72*(1+F72),0)</f>
        <v>#DIV/0!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 t="e">
        <f t="shared" si="5"/>
        <v>#DIV/0!</v>
      </c>
      <c r="E73" s="269"/>
      <c r="F73" s="269">
        <v>0</v>
      </c>
      <c r="G73" s="269"/>
      <c r="H73" s="269" t="e">
        <f>ROUND(D73*(1+F73),0)</f>
        <v>#DIV/0!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177</v>
      </c>
      <c r="C74" s="223"/>
      <c r="D74" s="224" t="s">
        <v>161</v>
      </c>
      <c r="E74" s="225" t="e">
        <f>D$12</f>
        <v>#DIV/0!</v>
      </c>
      <c r="F74" s="226"/>
      <c r="G74" s="224" t="s">
        <v>1162</v>
      </c>
      <c r="H74" s="224" t="e">
        <f>ROUND((E$74/D$7)^(1/(COUNT(D$7:D$12)-1)),6)</f>
        <v>#DIV/0!</v>
      </c>
      <c r="I74" s="224"/>
      <c r="J74" s="224" t="s">
        <v>1163</v>
      </c>
      <c r="K74" s="227" t="s">
        <v>1164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1165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1166</v>
      </c>
      <c r="D85" s="219" t="s">
        <v>1167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1168</v>
      </c>
      <c r="D86" s="219" t="s">
        <v>1169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1170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1171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1172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1173</v>
      </c>
      <c r="C90" s="202"/>
      <c r="D90" s="202" t="s">
        <v>1174</v>
      </c>
      <c r="E90" s="202" t="s">
        <v>1175</v>
      </c>
      <c r="F90" s="202" t="s">
        <v>1176</v>
      </c>
      <c r="G90" s="202"/>
      <c r="H90" s="202" t="s">
        <v>1177</v>
      </c>
      <c r="I90" s="202"/>
      <c r="J90" s="202" t="s">
        <v>1178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 t="e">
        <f t="shared" ref="D91:D96" si="8">VLOOKUP(B91,B$7:E$12,3,FALSE)</f>
        <v>#DIV/0!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 t="e">
        <f t="shared" ref="H91:H96" si="11">ROUND(D91*E91,2)</f>
        <v>#DIV/0!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 t="e">
        <f t="shared" si="8"/>
        <v>#DIV/0!</v>
      </c>
      <c r="E92" s="229">
        <f t="shared" si="9"/>
        <v>-1.5</v>
      </c>
      <c r="F92" s="208">
        <f t="shared" si="10"/>
        <v>2.25</v>
      </c>
      <c r="G92" s="206"/>
      <c r="H92" s="230" t="e">
        <f t="shared" si="11"/>
        <v>#DIV/0!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 t="e">
        <f t="shared" si="8"/>
        <v>#DIV/0!</v>
      </c>
      <c r="E93" s="229">
        <f t="shared" si="9"/>
        <v>-0.5</v>
      </c>
      <c r="F93" s="208">
        <f t="shared" si="10"/>
        <v>0.25</v>
      </c>
      <c r="G93" s="206"/>
      <c r="H93" s="230" t="e">
        <f t="shared" si="11"/>
        <v>#DIV/0!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 t="e">
        <f t="shared" si="8"/>
        <v>#DIV/0!</v>
      </c>
      <c r="E94" s="229">
        <f t="shared" si="9"/>
        <v>0.5</v>
      </c>
      <c r="F94" s="208">
        <f t="shared" si="10"/>
        <v>0.25</v>
      </c>
      <c r="G94" s="206"/>
      <c r="H94" s="230" t="e">
        <f t="shared" si="11"/>
        <v>#DIV/0!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 t="e">
        <f t="shared" si="8"/>
        <v>#DIV/0!</v>
      </c>
      <c r="E95" s="229">
        <f t="shared" si="9"/>
        <v>1.5</v>
      </c>
      <c r="F95" s="208">
        <f t="shared" si="10"/>
        <v>2.25</v>
      </c>
      <c r="G95" s="206"/>
      <c r="H95" s="230" t="e">
        <f t="shared" si="11"/>
        <v>#DIV/0!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 t="e">
        <f t="shared" si="8"/>
        <v>#DIV/0!</v>
      </c>
      <c r="E96" s="229">
        <f t="shared" si="9"/>
        <v>2.5</v>
      </c>
      <c r="F96" s="208">
        <f t="shared" si="10"/>
        <v>6.25</v>
      </c>
      <c r="G96" s="206"/>
      <c r="H96" s="230" t="e">
        <f t="shared" si="11"/>
        <v>#DIV/0!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1159</v>
      </c>
      <c r="C97" s="212"/>
      <c r="D97" s="232" t="e">
        <f>SUM(D91:D96)</f>
        <v>#DIV/0!</v>
      </c>
      <c r="E97" s="215"/>
      <c r="F97" s="233">
        <f>ROUND(SUM(F91:F96),0)</f>
        <v>18</v>
      </c>
      <c r="G97" s="212"/>
      <c r="H97" s="234" t="e">
        <f>SUM(H91:H96)</f>
        <v>#DIV/0!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1179</v>
      </c>
      <c r="C98" s="208"/>
      <c r="D98" s="236" t="s">
        <v>1180</v>
      </c>
      <c r="E98" s="203"/>
      <c r="F98" s="203"/>
      <c r="G98" s="201" t="e">
        <f>((COUNT(B$91:B$96))*H$97-D$97*E$97)/((COUNT(B$91:B$96))*F$97-E$97*E$97)</f>
        <v>#DIV/0!</v>
      </c>
      <c r="H98" s="236" t="s">
        <v>1181</v>
      </c>
      <c r="I98" s="201"/>
      <c r="J98" s="201"/>
      <c r="K98" s="201" t="e">
        <f>ROUND((F97*D97-H97*E97)/(COUNT(B$91:B$96)*F97-E97*E97),0)</f>
        <v>#DIV/0!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1182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1173</v>
      </c>
      <c r="C102" s="202"/>
      <c r="D102" s="202" t="s">
        <v>1183</v>
      </c>
      <c r="E102" s="202"/>
      <c r="F102" s="202" t="s">
        <v>1184</v>
      </c>
      <c r="G102" s="202"/>
      <c r="H102" s="202" t="s">
        <v>1185</v>
      </c>
      <c r="I102" s="202"/>
      <c r="J102" s="202" t="s">
        <v>1178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 t="e">
        <f t="shared" ref="D103:D117" si="12">ROUNDUP(G$98*(B103-B$96+E$96)+K$98,0)</f>
        <v>#DIV/0!</v>
      </c>
      <c r="E103" s="221"/>
      <c r="F103" s="221">
        <v>0</v>
      </c>
      <c r="G103" s="221"/>
      <c r="H103" s="221" t="e">
        <f t="shared" ref="H103:H117" si="13">ROUND(D103*(1+F103),0)</f>
        <v>#DIV/0!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 t="e">
        <f t="shared" si="12"/>
        <v>#DIV/0!</v>
      </c>
      <c r="E104" s="221"/>
      <c r="F104" s="221">
        <v>0</v>
      </c>
      <c r="G104" s="221"/>
      <c r="H104" s="221" t="e">
        <f t="shared" si="13"/>
        <v>#DIV/0!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 t="e">
        <f t="shared" si="12"/>
        <v>#DIV/0!</v>
      </c>
      <c r="E105" s="221"/>
      <c r="F105" s="221">
        <v>0</v>
      </c>
      <c r="G105" s="221"/>
      <c r="H105" s="221" t="e">
        <f t="shared" si="13"/>
        <v>#DIV/0!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 t="e">
        <f t="shared" si="12"/>
        <v>#DIV/0!</v>
      </c>
      <c r="E106" s="221"/>
      <c r="F106" s="221">
        <v>0</v>
      </c>
      <c r="G106" s="221"/>
      <c r="H106" s="221" t="e">
        <f t="shared" si="13"/>
        <v>#DIV/0!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 t="e">
        <f t="shared" si="12"/>
        <v>#DIV/0!</v>
      </c>
      <c r="E107" s="269"/>
      <c r="F107" s="269">
        <v>0</v>
      </c>
      <c r="G107" s="269"/>
      <c r="H107" s="269" t="e">
        <f t="shared" si="13"/>
        <v>#DIV/0!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 t="e">
        <f t="shared" si="12"/>
        <v>#DIV/0!</v>
      </c>
      <c r="E108" s="221"/>
      <c r="F108" s="221">
        <v>0</v>
      </c>
      <c r="G108" s="221"/>
      <c r="H108" s="221" t="e">
        <f t="shared" si="13"/>
        <v>#DIV/0!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 t="e">
        <f t="shared" si="12"/>
        <v>#DIV/0!</v>
      </c>
      <c r="E109" s="221"/>
      <c r="F109" s="221">
        <v>0</v>
      </c>
      <c r="G109" s="221"/>
      <c r="H109" s="221" t="e">
        <f t="shared" si="13"/>
        <v>#DIV/0!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 t="e">
        <f t="shared" si="12"/>
        <v>#DIV/0!</v>
      </c>
      <c r="E110" s="221"/>
      <c r="F110" s="221">
        <v>0</v>
      </c>
      <c r="G110" s="221"/>
      <c r="H110" s="221" t="e">
        <f t="shared" si="13"/>
        <v>#DIV/0!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 t="e">
        <f t="shared" si="12"/>
        <v>#DIV/0!</v>
      </c>
      <c r="E111" s="221"/>
      <c r="F111" s="221">
        <v>0</v>
      </c>
      <c r="G111" s="221"/>
      <c r="H111" s="221" t="e">
        <f t="shared" si="13"/>
        <v>#DIV/0!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 t="e">
        <f t="shared" si="12"/>
        <v>#DIV/0!</v>
      </c>
      <c r="E112" s="269"/>
      <c r="F112" s="269">
        <v>0</v>
      </c>
      <c r="G112" s="269"/>
      <c r="H112" s="269" t="e">
        <f t="shared" si="13"/>
        <v>#DIV/0!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 t="e">
        <f t="shared" si="12"/>
        <v>#DIV/0!</v>
      </c>
      <c r="E113" s="221"/>
      <c r="F113" s="221">
        <v>0</v>
      </c>
      <c r="G113" s="221"/>
      <c r="H113" s="221" t="e">
        <f t="shared" si="13"/>
        <v>#DIV/0!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 t="e">
        <f t="shared" si="12"/>
        <v>#DIV/0!</v>
      </c>
      <c r="E114" s="221"/>
      <c r="F114" s="221">
        <v>0</v>
      </c>
      <c r="G114" s="221"/>
      <c r="H114" s="221" t="e">
        <f t="shared" si="13"/>
        <v>#DIV/0!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 t="e">
        <f t="shared" si="12"/>
        <v>#DIV/0!</v>
      </c>
      <c r="E115" s="221"/>
      <c r="F115" s="221">
        <v>0</v>
      </c>
      <c r="G115" s="221"/>
      <c r="H115" s="221" t="e">
        <f t="shared" si="13"/>
        <v>#DIV/0!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 t="e">
        <f t="shared" si="12"/>
        <v>#DIV/0!</v>
      </c>
      <c r="E116" s="221"/>
      <c r="F116" s="221">
        <v>0</v>
      </c>
      <c r="G116" s="221"/>
      <c r="H116" s="221" t="e">
        <f t="shared" si="13"/>
        <v>#DIV/0!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 t="e">
        <f t="shared" si="12"/>
        <v>#DIV/0!</v>
      </c>
      <c r="E117" s="269"/>
      <c r="F117" s="269">
        <v>0</v>
      </c>
      <c r="G117" s="269"/>
      <c r="H117" s="269" t="e">
        <f t="shared" si="13"/>
        <v>#DIV/0!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 t="e">
        <f>ROUNDUP(G$98*(B118-B$96+E$96)+K$98,0)</f>
        <v>#DIV/0!</v>
      </c>
      <c r="E118" s="221"/>
      <c r="F118" s="221">
        <v>0</v>
      </c>
      <c r="G118" s="221"/>
      <c r="H118" s="221" t="e">
        <f>ROUND(D118*(1+F118),0)</f>
        <v>#DIV/0!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 t="e">
        <f>ROUNDUP(G$98*(B119-B$96+E$96)+K$98,0)</f>
        <v>#DIV/0!</v>
      </c>
      <c r="E119" s="221"/>
      <c r="F119" s="221">
        <v>0</v>
      </c>
      <c r="G119" s="221"/>
      <c r="H119" s="221" t="e">
        <f>ROUND(D119*(1+F119),0)</f>
        <v>#DIV/0!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 t="e">
        <f>ROUNDUP(G$98*(B120-B$96+E$96)+K$98,0)</f>
        <v>#DIV/0!</v>
      </c>
      <c r="E120" s="221"/>
      <c r="F120" s="221">
        <v>0</v>
      </c>
      <c r="G120" s="221"/>
      <c r="H120" s="221" t="e">
        <f>ROUND(D120*(1+F120),0)</f>
        <v>#DIV/0!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 t="e">
        <f>ROUNDUP(G$98*(B121-B$96+E$96)+K$98,0)</f>
        <v>#DIV/0!</v>
      </c>
      <c r="E121" s="221"/>
      <c r="F121" s="221">
        <v>0</v>
      </c>
      <c r="G121" s="221"/>
      <c r="H121" s="221" t="e">
        <f>ROUND(D121*(1+F121),0)</f>
        <v>#DIV/0!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 t="e">
        <f>ROUNDUP(G$98*(B122-B$96+E$96)+K$98,0)</f>
        <v>#DIV/0!</v>
      </c>
      <c r="E122" s="269"/>
      <c r="F122" s="269">
        <v>0</v>
      </c>
      <c r="G122" s="269"/>
      <c r="H122" s="269" t="e">
        <f>ROUND(D122*(1+F122),0)</f>
        <v>#DIV/0!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1186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1166</v>
      </c>
      <c r="D126" s="219" t="s">
        <v>1187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1168</v>
      </c>
      <c r="D127" s="219" t="s">
        <v>1188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1189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1190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1191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1173</v>
      </c>
      <c r="C131" s="202"/>
      <c r="D131" s="202" t="s">
        <v>1174</v>
      </c>
      <c r="E131" s="202" t="s">
        <v>1175</v>
      </c>
      <c r="F131" s="202" t="s">
        <v>1175</v>
      </c>
      <c r="G131" s="202" t="s">
        <v>1176</v>
      </c>
      <c r="H131" s="202" t="s">
        <v>1192</v>
      </c>
      <c r="I131" s="202"/>
      <c r="J131" s="202" t="s">
        <v>1193</v>
      </c>
      <c r="K131" s="202" t="s">
        <v>1194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 t="e">
        <f t="shared" ref="D132:D137" si="15">VLOOKUP(B132,B$7:E$12,3,FALSE)</f>
        <v>#DIV/0!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 t="e">
        <f>IF(G132="","",ABS(D132-D132))</f>
        <v>#DIV/0!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 t="e">
        <f t="shared" si="15"/>
        <v>#DIV/0!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 t="e">
        <f>IF(G133="","",ABS(D133-D132))</f>
        <v>#DIV/0!</v>
      </c>
      <c r="I133" s="231"/>
      <c r="J133" s="247" t="e">
        <f t="shared" ref="J133:J137" si="20">IF(H133="","",LOG(H133))</f>
        <v>#DIV/0!</v>
      </c>
      <c r="K133" s="247" t="e">
        <f t="shared" si="17"/>
        <v>#DIV/0!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 t="e">
        <f t="shared" si="15"/>
        <v>#DIV/0!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 t="e">
        <f>IF(G134="","",ABS(D134-D133))</f>
        <v>#DIV/0!</v>
      </c>
      <c r="I134" s="231"/>
      <c r="J134" s="247" t="e">
        <f t="shared" si="20"/>
        <v>#DIV/0!</v>
      </c>
      <c r="K134" s="247" t="e">
        <f t="shared" si="17"/>
        <v>#DIV/0!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 t="e">
        <f t="shared" si="15"/>
        <v>#DIV/0!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 t="e">
        <f>IF(G135="","",ABS(D135-D134))</f>
        <v>#DIV/0!</v>
      </c>
      <c r="I135" s="231"/>
      <c r="J135" s="247" t="e">
        <f t="shared" si="20"/>
        <v>#DIV/0!</v>
      </c>
      <c r="K135" s="247" t="e">
        <f t="shared" si="17"/>
        <v>#DIV/0!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 t="e">
        <f t="shared" si="15"/>
        <v>#DIV/0!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 t="e">
        <f>IF(G136="","",ABS(D136-D135))</f>
        <v>#DIV/0!</v>
      </c>
      <c r="I136" s="231"/>
      <c r="J136" s="247" t="e">
        <f t="shared" si="20"/>
        <v>#DIV/0!</v>
      </c>
      <c r="K136" s="247" t="e">
        <f t="shared" si="17"/>
        <v>#DIV/0!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 t="e">
        <f t="shared" si="15"/>
        <v>#DIV/0!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 t="e">
        <f>IF(G137="","",ABS(D137-D136))</f>
        <v>#DIV/0!</v>
      </c>
      <c r="I137" s="231"/>
      <c r="J137" s="247" t="e">
        <f t="shared" si="20"/>
        <v>#DIV/0!</v>
      </c>
      <c r="K137" s="247" t="e">
        <f t="shared" si="17"/>
        <v>#DIV/0!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1159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 t="e">
        <f>IF(J137="","",SUM(J132:J137))</f>
        <v>#DIV/0!</v>
      </c>
      <c r="K138" s="253" t="e">
        <f>IF(K137="","",SUM(K132:K137))</f>
        <v>#DIV/0!</v>
      </c>
      <c r="L138" s="203"/>
      <c r="M138" s="203"/>
      <c r="N138" s="203"/>
      <c r="O138" s="203"/>
    </row>
    <row r="139" spans="1:15" ht="15" customHeight="1">
      <c r="A139" s="203"/>
      <c r="B139" s="208" t="s">
        <v>1195</v>
      </c>
      <c r="C139" s="208"/>
      <c r="D139" s="201" t="s">
        <v>1196</v>
      </c>
      <c r="E139" s="201" t="e">
        <f>IF(G138="",0,10^ROUND((G138*J138-F138*K138)/((COUNT(B$132:B$137)-1)*G138-F138*F138),5))</f>
        <v>#DIV/0!</v>
      </c>
      <c r="F139" s="238" t="s">
        <v>1197</v>
      </c>
      <c r="G139" s="203"/>
      <c r="H139" s="208"/>
      <c r="I139" s="203"/>
      <c r="J139" s="254" t="e">
        <f>IF(G138="",0,ROUND(((COUNT(B$132:B$137)-1)*K138-J138*F138)/((COUNT(B$132:B$137)-1)*G138-F138*F138),5))</f>
        <v>#DIV/0!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1198</v>
      </c>
      <c r="E140" s="219"/>
      <c r="F140" s="219"/>
      <c r="G140" s="256"/>
      <c r="H140" s="201" t="s">
        <v>1199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1182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1173</v>
      </c>
      <c r="C143" s="202"/>
      <c r="D143" s="202" t="s">
        <v>1183</v>
      </c>
      <c r="E143" s="202"/>
      <c r="F143" s="202" t="s">
        <v>1184</v>
      </c>
      <c r="G143" s="202"/>
      <c r="H143" s="202" t="s">
        <v>1185</v>
      </c>
      <c r="I143" s="202"/>
      <c r="J143" s="202" t="s">
        <v>1178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 t="e">
        <f>IF(J$139=0,0,ROUNDUP(D$132+E$139*(B144-B$132)^J$139,0))</f>
        <v>#DIV/0!</v>
      </c>
      <c r="E144" s="257"/>
      <c r="F144" s="258">
        <v>0</v>
      </c>
      <c r="G144" s="258"/>
      <c r="H144" s="258" t="e">
        <f t="shared" ref="H144:H158" si="21">ROUND(D144*(1+F144),0)</f>
        <v>#DIV/0!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 t="e">
        <f>IF(J$139=0,0,ROUNDUP(D$132+E$139*(B145-B$132)^J$139,0))</f>
        <v>#DIV/0!</v>
      </c>
      <c r="E145" s="257"/>
      <c r="F145" s="258">
        <v>0</v>
      </c>
      <c r="G145" s="258"/>
      <c r="H145" s="258" t="e">
        <f t="shared" si="21"/>
        <v>#DIV/0!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 t="e">
        <f>IF(J$139=0,0,ROUNDUP(D$132+E$139*(B146-B$132)^J$139,0))</f>
        <v>#DIV/0!</v>
      </c>
      <c r="E146" s="257"/>
      <c r="F146" s="258">
        <v>0</v>
      </c>
      <c r="G146" s="258"/>
      <c r="H146" s="258" t="e">
        <f t="shared" si="21"/>
        <v>#DIV/0!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 t="e">
        <f t="shared" ref="D147:D163" si="22">IF(J$139=0,0,ROUNDUP(D$132+E$139*(B147-B$132)^J$139,0))</f>
        <v>#DIV/0!</v>
      </c>
      <c r="E147" s="257"/>
      <c r="F147" s="258">
        <v>0</v>
      </c>
      <c r="G147" s="258"/>
      <c r="H147" s="258" t="e">
        <f t="shared" si="21"/>
        <v>#DIV/0!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 t="e">
        <f t="shared" si="22"/>
        <v>#DIV/0!</v>
      </c>
      <c r="E148" s="271"/>
      <c r="F148" s="272">
        <v>0</v>
      </c>
      <c r="G148" s="272"/>
      <c r="H148" s="272" t="e">
        <f t="shared" si="21"/>
        <v>#DIV/0!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 t="e">
        <f t="shared" si="22"/>
        <v>#DIV/0!</v>
      </c>
      <c r="E149" s="257"/>
      <c r="F149" s="258">
        <v>0</v>
      </c>
      <c r="G149" s="258"/>
      <c r="H149" s="258" t="e">
        <f t="shared" si="21"/>
        <v>#DIV/0!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 t="e">
        <f t="shared" si="22"/>
        <v>#DIV/0!</v>
      </c>
      <c r="E150" s="257"/>
      <c r="F150" s="258">
        <v>0</v>
      </c>
      <c r="G150" s="258"/>
      <c r="H150" s="258" t="e">
        <f t="shared" si="21"/>
        <v>#DIV/0!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 t="e">
        <f t="shared" si="22"/>
        <v>#DIV/0!</v>
      </c>
      <c r="E151" s="257"/>
      <c r="F151" s="258">
        <v>0</v>
      </c>
      <c r="G151" s="258"/>
      <c r="H151" s="258" t="e">
        <f t="shared" si="21"/>
        <v>#DIV/0!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 t="e">
        <f t="shared" si="22"/>
        <v>#DIV/0!</v>
      </c>
      <c r="E152" s="257"/>
      <c r="F152" s="258">
        <v>0</v>
      </c>
      <c r="G152" s="258"/>
      <c r="H152" s="258" t="e">
        <f t="shared" si="21"/>
        <v>#DIV/0!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 t="e">
        <f t="shared" si="22"/>
        <v>#DIV/0!</v>
      </c>
      <c r="E153" s="271"/>
      <c r="F153" s="272">
        <v>0</v>
      </c>
      <c r="G153" s="272"/>
      <c r="H153" s="272" t="e">
        <f t="shared" si="21"/>
        <v>#DIV/0!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 t="e">
        <f t="shared" si="22"/>
        <v>#DIV/0!</v>
      </c>
      <c r="E154" s="257"/>
      <c r="F154" s="258">
        <v>0</v>
      </c>
      <c r="G154" s="258"/>
      <c r="H154" s="258" t="e">
        <f t="shared" si="21"/>
        <v>#DIV/0!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 t="e">
        <f t="shared" si="22"/>
        <v>#DIV/0!</v>
      </c>
      <c r="E155" s="257"/>
      <c r="F155" s="258">
        <v>0</v>
      </c>
      <c r="G155" s="258"/>
      <c r="H155" s="258" t="e">
        <f t="shared" si="21"/>
        <v>#DIV/0!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 t="e">
        <f t="shared" si="22"/>
        <v>#DIV/0!</v>
      </c>
      <c r="E156" s="257"/>
      <c r="F156" s="258">
        <v>0</v>
      </c>
      <c r="G156" s="258"/>
      <c r="H156" s="258" t="e">
        <f t="shared" si="21"/>
        <v>#DIV/0!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 t="e">
        <f t="shared" si="22"/>
        <v>#DIV/0!</v>
      </c>
      <c r="E157" s="257"/>
      <c r="F157" s="258">
        <v>0</v>
      </c>
      <c r="G157" s="258"/>
      <c r="H157" s="258" t="e">
        <f t="shared" si="21"/>
        <v>#DIV/0!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 t="e">
        <f t="shared" si="22"/>
        <v>#DIV/0!</v>
      </c>
      <c r="E158" s="271"/>
      <c r="F158" s="272">
        <v>0</v>
      </c>
      <c r="G158" s="272"/>
      <c r="H158" s="272" t="e">
        <f t="shared" si="21"/>
        <v>#DIV/0!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 t="e">
        <f t="shared" si="22"/>
        <v>#DIV/0!</v>
      </c>
      <c r="E159" s="257"/>
      <c r="F159" s="258">
        <v>0</v>
      </c>
      <c r="G159" s="258"/>
      <c r="H159" s="258" t="e">
        <f>ROUND(D159*(1+F159),0)</f>
        <v>#DIV/0!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 t="e">
        <f t="shared" si="22"/>
        <v>#DIV/0!</v>
      </c>
      <c r="E160" s="257"/>
      <c r="F160" s="258">
        <v>0</v>
      </c>
      <c r="G160" s="258"/>
      <c r="H160" s="258" t="e">
        <f>ROUND(D160*(1+F160),0)</f>
        <v>#DIV/0!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 t="e">
        <f t="shared" si="22"/>
        <v>#DIV/0!</v>
      </c>
      <c r="E161" s="257"/>
      <c r="F161" s="258">
        <v>0</v>
      </c>
      <c r="G161" s="258"/>
      <c r="H161" s="258" t="e">
        <f>ROUND(D161*(1+F161),0)</f>
        <v>#DIV/0!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 t="e">
        <f t="shared" si="22"/>
        <v>#DIV/0!</v>
      </c>
      <c r="E162" s="257"/>
      <c r="F162" s="258">
        <v>0</v>
      </c>
      <c r="G162" s="258"/>
      <c r="H162" s="258" t="e">
        <f>ROUND(D162*(1+F162),0)</f>
        <v>#DIV/0!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 t="e">
        <f t="shared" si="22"/>
        <v>#DIV/0!</v>
      </c>
      <c r="E163" s="271"/>
      <c r="F163" s="272">
        <v>0</v>
      </c>
      <c r="G163" s="272"/>
      <c r="H163" s="272" t="e">
        <f>ROUND(D163*(1+F163),0)</f>
        <v>#DIV/0!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1200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1166</v>
      </c>
      <c r="D170" s="219" t="s">
        <v>1201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1168</v>
      </c>
      <c r="D171" s="219" t="s">
        <v>1188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1202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 t="e">
        <f t="shared" ref="D175:D180" si="24">VLOOKUP(B175,B$7:E$12,3,FALSE)</f>
        <v>#DIV/0!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 t="e">
        <f t="shared" ref="G175:G180" si="27">E$172-D175</f>
        <v>#DIV/0!</v>
      </c>
      <c r="H175" s="259" t="e">
        <f t="shared" ref="H175:H180" si="28">LOG(D175)</f>
        <v>#DIV/0!</v>
      </c>
      <c r="I175" s="245" t="e">
        <f t="shared" ref="I175:I180" si="29">LOG(G175)</f>
        <v>#DIV/0!</v>
      </c>
      <c r="J175" s="246" t="e">
        <f t="shared" ref="J175:J180" si="30">H175-I175</f>
        <v>#DIV/0!</v>
      </c>
      <c r="K175" s="246" t="e">
        <f t="shared" ref="K175:K180" si="31">E175*J175</f>
        <v>#DIV/0!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 t="e">
        <f t="shared" si="24"/>
        <v>#DIV/0!</v>
      </c>
      <c r="E176" s="244">
        <f t="shared" si="25"/>
        <v>-1.5</v>
      </c>
      <c r="F176" s="206">
        <f t="shared" si="26"/>
        <v>2.25</v>
      </c>
      <c r="G176" s="844" t="e">
        <f t="shared" si="27"/>
        <v>#DIV/0!</v>
      </c>
      <c r="H176" s="259" t="e">
        <f t="shared" si="28"/>
        <v>#DIV/0!</v>
      </c>
      <c r="I176" s="245" t="e">
        <f t="shared" si="29"/>
        <v>#DIV/0!</v>
      </c>
      <c r="J176" s="246" t="e">
        <f t="shared" si="30"/>
        <v>#DIV/0!</v>
      </c>
      <c r="K176" s="246" t="e">
        <f t="shared" si="31"/>
        <v>#DIV/0!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 t="e">
        <f t="shared" si="24"/>
        <v>#DIV/0!</v>
      </c>
      <c r="E177" s="244">
        <f t="shared" si="25"/>
        <v>-0.5</v>
      </c>
      <c r="F177" s="206">
        <f t="shared" si="26"/>
        <v>0.25</v>
      </c>
      <c r="G177" s="844" t="e">
        <f t="shared" si="27"/>
        <v>#DIV/0!</v>
      </c>
      <c r="H177" s="259" t="e">
        <f t="shared" si="28"/>
        <v>#DIV/0!</v>
      </c>
      <c r="I177" s="245" t="e">
        <f t="shared" si="29"/>
        <v>#DIV/0!</v>
      </c>
      <c r="J177" s="246" t="e">
        <f t="shared" si="30"/>
        <v>#DIV/0!</v>
      </c>
      <c r="K177" s="246" t="e">
        <f t="shared" si="31"/>
        <v>#DIV/0!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 t="e">
        <f t="shared" si="24"/>
        <v>#DIV/0!</v>
      </c>
      <c r="E178" s="244">
        <f t="shared" si="25"/>
        <v>0.5</v>
      </c>
      <c r="F178" s="206">
        <f t="shared" si="26"/>
        <v>0.25</v>
      </c>
      <c r="G178" s="844" t="e">
        <f t="shared" si="27"/>
        <v>#DIV/0!</v>
      </c>
      <c r="H178" s="259" t="e">
        <f t="shared" si="28"/>
        <v>#DIV/0!</v>
      </c>
      <c r="I178" s="245" t="e">
        <f t="shared" si="29"/>
        <v>#DIV/0!</v>
      </c>
      <c r="J178" s="246" t="e">
        <f t="shared" si="30"/>
        <v>#DIV/0!</v>
      </c>
      <c r="K178" s="246" t="e">
        <f t="shared" si="31"/>
        <v>#DIV/0!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 t="e">
        <f t="shared" si="24"/>
        <v>#DIV/0!</v>
      </c>
      <c r="E179" s="244">
        <f t="shared" si="25"/>
        <v>1.5</v>
      </c>
      <c r="F179" s="206">
        <f t="shared" si="26"/>
        <v>2.25</v>
      </c>
      <c r="G179" s="844" t="e">
        <f t="shared" si="27"/>
        <v>#DIV/0!</v>
      </c>
      <c r="H179" s="259" t="e">
        <f t="shared" si="28"/>
        <v>#DIV/0!</v>
      </c>
      <c r="I179" s="245" t="e">
        <f t="shared" si="29"/>
        <v>#DIV/0!</v>
      </c>
      <c r="J179" s="246" t="e">
        <f t="shared" si="30"/>
        <v>#DIV/0!</v>
      </c>
      <c r="K179" s="246" t="e">
        <f t="shared" si="31"/>
        <v>#DIV/0!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 t="e">
        <f t="shared" si="24"/>
        <v>#DIV/0!</v>
      </c>
      <c r="E180" s="244">
        <f t="shared" si="25"/>
        <v>2.5</v>
      </c>
      <c r="F180" s="206">
        <f t="shared" si="26"/>
        <v>6.25</v>
      </c>
      <c r="G180" s="844" t="e">
        <f t="shared" si="27"/>
        <v>#DIV/0!</v>
      </c>
      <c r="H180" s="259" t="e">
        <f t="shared" si="28"/>
        <v>#DIV/0!</v>
      </c>
      <c r="I180" s="245" t="e">
        <f t="shared" si="29"/>
        <v>#DIV/0!</v>
      </c>
      <c r="J180" s="246" t="e">
        <f t="shared" si="30"/>
        <v>#DIV/0!</v>
      </c>
      <c r="K180" s="246" t="e">
        <f t="shared" si="31"/>
        <v>#DIV/0!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 t="e">
        <f>SUM(D175:D180)</f>
        <v>#DIV/0!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 t="e">
        <f>SUM(J175:J180)</f>
        <v>#DIV/0!</v>
      </c>
      <c r="K181" s="263" t="e">
        <f>SUM(K175:K180)</f>
        <v>#DIV/0!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 t="e">
        <f>ROUND(((E$181*K$181-F$181*J$181)/(COUNT(B$175:B$180)*F$181-E$181*E$181))/LOG(EXP(1)),5)</f>
        <v>#DIV/0!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 t="e">
        <f>ROUND((COUNT(B$175:B$180)*K181-E181*J181)/(LOG(EXP(1))*(COUNT(B$175:B$180)*F181-E181*E181)),6)</f>
        <v>#DIV/0!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 t="e">
        <f t="shared" ref="D188:D207" si="32">ROUNDUP(E$172/(1+EXP(1)^(H$183-K$184*(B188-B$176+0.5))),0)</f>
        <v>#DIV/0!</v>
      </c>
      <c r="E188" s="221"/>
      <c r="F188" s="221">
        <v>0</v>
      </c>
      <c r="G188" s="221"/>
      <c r="H188" s="221" t="e">
        <f t="shared" ref="H188:H202" si="33">ROUND(D188*(1+F188),0)</f>
        <v>#DIV/0!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 t="e">
        <f t="shared" si="32"/>
        <v>#DIV/0!</v>
      </c>
      <c r="E189" s="221"/>
      <c r="F189" s="221">
        <v>0</v>
      </c>
      <c r="G189" s="221"/>
      <c r="H189" s="221" t="e">
        <f t="shared" si="33"/>
        <v>#DIV/0!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 t="e">
        <f t="shared" si="32"/>
        <v>#DIV/0!</v>
      </c>
      <c r="E190" s="221"/>
      <c r="F190" s="221">
        <v>0</v>
      </c>
      <c r="G190" s="221"/>
      <c r="H190" s="221" t="e">
        <f t="shared" si="33"/>
        <v>#DIV/0!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 t="e">
        <f t="shared" si="32"/>
        <v>#DIV/0!</v>
      </c>
      <c r="E191" s="221"/>
      <c r="F191" s="221">
        <v>0</v>
      </c>
      <c r="G191" s="221"/>
      <c r="H191" s="221" t="e">
        <f t="shared" si="33"/>
        <v>#DIV/0!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 t="e">
        <f t="shared" si="32"/>
        <v>#DIV/0!</v>
      </c>
      <c r="E192" s="269"/>
      <c r="F192" s="269">
        <v>0</v>
      </c>
      <c r="G192" s="269"/>
      <c r="H192" s="269" t="e">
        <f t="shared" si="33"/>
        <v>#DIV/0!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 t="e">
        <f t="shared" si="32"/>
        <v>#DIV/0!</v>
      </c>
      <c r="E193" s="221"/>
      <c r="F193" s="221">
        <v>0</v>
      </c>
      <c r="G193" s="221"/>
      <c r="H193" s="221" t="e">
        <f t="shared" si="33"/>
        <v>#DIV/0!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 t="e">
        <f t="shared" si="32"/>
        <v>#DIV/0!</v>
      </c>
      <c r="E194" s="221"/>
      <c r="F194" s="221">
        <v>0</v>
      </c>
      <c r="G194" s="221"/>
      <c r="H194" s="221" t="e">
        <f t="shared" si="33"/>
        <v>#DIV/0!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 t="e">
        <f t="shared" si="32"/>
        <v>#DIV/0!</v>
      </c>
      <c r="E195" s="221"/>
      <c r="F195" s="221">
        <v>0</v>
      </c>
      <c r="G195" s="221"/>
      <c r="H195" s="221" t="e">
        <f t="shared" si="33"/>
        <v>#DIV/0!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 t="e">
        <f t="shared" si="32"/>
        <v>#DIV/0!</v>
      </c>
      <c r="E196" s="221"/>
      <c r="F196" s="221">
        <v>0</v>
      </c>
      <c r="G196" s="221"/>
      <c r="H196" s="221" t="e">
        <f t="shared" si="33"/>
        <v>#DIV/0!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 t="e">
        <f t="shared" si="32"/>
        <v>#DIV/0!</v>
      </c>
      <c r="E197" s="269"/>
      <c r="F197" s="269">
        <v>0</v>
      </c>
      <c r="G197" s="269"/>
      <c r="H197" s="269" t="e">
        <f t="shared" si="33"/>
        <v>#DIV/0!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 t="e">
        <f t="shared" si="32"/>
        <v>#DIV/0!</v>
      </c>
      <c r="E198" s="221"/>
      <c r="F198" s="221">
        <v>0</v>
      </c>
      <c r="G198" s="221"/>
      <c r="H198" s="221" t="e">
        <f t="shared" si="33"/>
        <v>#DIV/0!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 t="e">
        <f t="shared" si="32"/>
        <v>#DIV/0!</v>
      </c>
      <c r="E199" s="221"/>
      <c r="F199" s="221">
        <v>0</v>
      </c>
      <c r="G199" s="221"/>
      <c r="H199" s="221" t="e">
        <f t="shared" si="33"/>
        <v>#DIV/0!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 t="e">
        <f t="shared" si="32"/>
        <v>#DIV/0!</v>
      </c>
      <c r="E200" s="221"/>
      <c r="F200" s="221">
        <v>0</v>
      </c>
      <c r="G200" s="221"/>
      <c r="H200" s="221" t="e">
        <f t="shared" si="33"/>
        <v>#DIV/0!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 t="e">
        <f t="shared" si="32"/>
        <v>#DIV/0!</v>
      </c>
      <c r="E201" s="221"/>
      <c r="F201" s="221">
        <v>0</v>
      </c>
      <c r="G201" s="221"/>
      <c r="H201" s="221" t="e">
        <f t="shared" si="33"/>
        <v>#DIV/0!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 t="e">
        <f t="shared" si="32"/>
        <v>#DIV/0!</v>
      </c>
      <c r="E202" s="269"/>
      <c r="F202" s="269">
        <v>0</v>
      </c>
      <c r="G202" s="269"/>
      <c r="H202" s="269" t="e">
        <f t="shared" si="33"/>
        <v>#DIV/0!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 t="e">
        <f t="shared" si="32"/>
        <v>#DIV/0!</v>
      </c>
      <c r="E203" s="221"/>
      <c r="F203" s="221">
        <v>0</v>
      </c>
      <c r="G203" s="221"/>
      <c r="H203" s="221" t="e">
        <f>ROUND(D203*(1+F203),0)</f>
        <v>#DIV/0!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 t="e">
        <f t="shared" si="32"/>
        <v>#DIV/0!</v>
      </c>
      <c r="E204" s="221"/>
      <c r="F204" s="221">
        <v>0</v>
      </c>
      <c r="G204" s="221"/>
      <c r="H204" s="221" t="e">
        <f>ROUND(D204*(1+F204),0)</f>
        <v>#DIV/0!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 t="e">
        <f t="shared" si="32"/>
        <v>#DIV/0!</v>
      </c>
      <c r="E205" s="221"/>
      <c r="F205" s="221">
        <v>0</v>
      </c>
      <c r="G205" s="221"/>
      <c r="H205" s="221" t="e">
        <f>ROUND(D205*(1+F205),0)</f>
        <v>#DIV/0!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 t="e">
        <f t="shared" si="32"/>
        <v>#DIV/0!</v>
      </c>
      <c r="E206" s="221"/>
      <c r="F206" s="221">
        <v>0</v>
      </c>
      <c r="G206" s="221"/>
      <c r="H206" s="221" t="e">
        <f>ROUND(D206*(1+F206),0)</f>
        <v>#DIV/0!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 t="e">
        <f t="shared" si="32"/>
        <v>#DIV/0!</v>
      </c>
      <c r="E207" s="269"/>
      <c r="F207" s="269">
        <v>0</v>
      </c>
      <c r="G207" s="269"/>
      <c r="H207" s="269" t="e">
        <f>ROUND(D207*(1+F207),0)</f>
        <v>#DIV/0!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 t="e">
        <f t="array" ref="D215">IF(B22=B215,H22)</f>
        <v>#DIV/0!</v>
      </c>
      <c r="E215" s="257" t="e">
        <f t="array" ref="E215">IF(B54=B215,H54)</f>
        <v>#DIV/0!</v>
      </c>
      <c r="F215" s="257" t="e">
        <f t="array" ref="F215">IF(B103=B215,H103)</f>
        <v>#DIV/0!</v>
      </c>
      <c r="G215" s="257" t="e">
        <f t="array" ref="G215">IF(B144=B215,H144)</f>
        <v>#DIV/0!</v>
      </c>
      <c r="H215" s="257" t="e">
        <f t="array" ref="H215">IF(B188=B215,H188)</f>
        <v>#DIV/0!</v>
      </c>
      <c r="I215" s="257" t="e">
        <f t="shared" ref="I215:I229" si="34">IF(G215=0,AVERAGE(D215,E215,F215,H215),AVERAGE(D215:H215))</f>
        <v>#DIV/0!</v>
      </c>
      <c r="J215" s="266" t="e">
        <f t="shared" ref="J215:J229" si="35">ROUND(AVERAGE(D215,F215:G215),0)</f>
        <v>#DIV/0!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 t="e">
        <f t="array" ref="D216">IF(B23=B216,H23)</f>
        <v>#DIV/0!</v>
      </c>
      <c r="E216" s="257" t="e">
        <f t="array" ref="E216">IF(B55=B216,H55)</f>
        <v>#DIV/0!</v>
      </c>
      <c r="F216" s="257" t="e">
        <f t="array" ref="F216">IF(B104=B216,H104)</f>
        <v>#DIV/0!</v>
      </c>
      <c r="G216" s="257" t="e">
        <f t="array" ref="G216">IF(B145=B216,H145)</f>
        <v>#DIV/0!</v>
      </c>
      <c r="H216" s="257" t="e">
        <f t="array" ref="H216">IF(B189=B216,H189)</f>
        <v>#DIV/0!</v>
      </c>
      <c r="I216" s="257" t="e">
        <f t="shared" si="34"/>
        <v>#DIV/0!</v>
      </c>
      <c r="J216" s="266" t="e">
        <f t="shared" si="35"/>
        <v>#DIV/0!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 t="e">
        <f t="array" ref="D217">IF(B24=B217,H24)</f>
        <v>#DIV/0!</v>
      </c>
      <c r="E217" s="257" t="e">
        <f t="array" ref="E217">IF(B56=B217,H56)</f>
        <v>#DIV/0!</v>
      </c>
      <c r="F217" s="257" t="e">
        <f t="array" ref="F217">IF(B105=B217,H105)</f>
        <v>#DIV/0!</v>
      </c>
      <c r="G217" s="257" t="e">
        <f t="array" ref="G217">IF(B146=B217,H146)</f>
        <v>#DIV/0!</v>
      </c>
      <c r="H217" s="257" t="e">
        <f t="array" ref="H217">IF(B190=B217,H190)</f>
        <v>#DIV/0!</v>
      </c>
      <c r="I217" s="257" t="e">
        <f t="shared" si="34"/>
        <v>#DIV/0!</v>
      </c>
      <c r="J217" s="266" t="e">
        <f t="shared" si="35"/>
        <v>#DIV/0!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 t="e">
        <f t="array" ref="D218">IF(B25=B218,H25)</f>
        <v>#DIV/0!</v>
      </c>
      <c r="E218" s="257" t="e">
        <f t="array" ref="E218">IF(B57=B218,H57)</f>
        <v>#DIV/0!</v>
      </c>
      <c r="F218" s="257" t="e">
        <f t="array" ref="F218">IF(B106=B218,H106)</f>
        <v>#DIV/0!</v>
      </c>
      <c r="G218" s="257" t="e">
        <f t="array" ref="G218">IF(B147=B218,H147)</f>
        <v>#DIV/0!</v>
      </c>
      <c r="H218" s="257" t="e">
        <f t="array" ref="H218">IF(B191=B218,H191)</f>
        <v>#DIV/0!</v>
      </c>
      <c r="I218" s="257" t="e">
        <f t="shared" si="34"/>
        <v>#DIV/0!</v>
      </c>
      <c r="J218" s="266" t="e">
        <f t="shared" si="35"/>
        <v>#DIV/0!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 t="e">
        <f t="array" ref="D219">IF(B26=B219,H26)</f>
        <v>#DIV/0!</v>
      </c>
      <c r="E219" s="271" t="e">
        <f t="array" ref="E219">IF(B58=B219,H58)</f>
        <v>#DIV/0!</v>
      </c>
      <c r="F219" s="271" t="e">
        <f t="array" ref="F219">IF(B107=B219,H107)</f>
        <v>#DIV/0!</v>
      </c>
      <c r="G219" s="271" t="e">
        <f t="array" ref="G219">IF(B148=B219,H148)</f>
        <v>#DIV/0!</v>
      </c>
      <c r="H219" s="271" t="e">
        <f t="array" ref="H219">IF(B192=B219,H192)</f>
        <v>#DIV/0!</v>
      </c>
      <c r="I219" s="271" t="e">
        <f t="shared" si="34"/>
        <v>#DIV/0!</v>
      </c>
      <c r="J219" s="273" t="e">
        <f t="shared" si="35"/>
        <v>#DIV/0!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 t="e">
        <f t="array" ref="D220">IF(B27=B220,H27)</f>
        <v>#DIV/0!</v>
      </c>
      <c r="E220" s="257" t="e">
        <f t="array" ref="E220">IF(B59=B220,H59)</f>
        <v>#DIV/0!</v>
      </c>
      <c r="F220" s="257" t="e">
        <f t="array" ref="F220">IF(B108=B220,H108)</f>
        <v>#DIV/0!</v>
      </c>
      <c r="G220" s="257" t="e">
        <f t="array" ref="G220">IF(B149=B220,H149)</f>
        <v>#DIV/0!</v>
      </c>
      <c r="H220" s="257" t="e">
        <f t="array" ref="H220">IF(B193=B220,H193)</f>
        <v>#DIV/0!</v>
      </c>
      <c r="I220" s="257" t="e">
        <f t="shared" si="34"/>
        <v>#DIV/0!</v>
      </c>
      <c r="J220" s="266" t="e">
        <f t="shared" si="35"/>
        <v>#DIV/0!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 t="e">
        <f t="array" ref="D221">IF(B28=B221,H28)</f>
        <v>#DIV/0!</v>
      </c>
      <c r="E221" s="257" t="e">
        <f t="array" ref="E221">IF(B60=B221,H60)</f>
        <v>#DIV/0!</v>
      </c>
      <c r="F221" s="257" t="e">
        <f t="array" ref="F221">IF(B109=B221,H109)</f>
        <v>#DIV/0!</v>
      </c>
      <c r="G221" s="257" t="e">
        <f t="array" ref="G221">IF(B150=B221,H150)</f>
        <v>#DIV/0!</v>
      </c>
      <c r="H221" s="257" t="e">
        <f t="array" ref="H221">IF(B194=B221,H194)</f>
        <v>#DIV/0!</v>
      </c>
      <c r="I221" s="257" t="e">
        <f t="shared" si="34"/>
        <v>#DIV/0!</v>
      </c>
      <c r="J221" s="266" t="e">
        <f t="shared" si="35"/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 t="e">
        <f t="array" ref="D222">IF(B29=B222,H29)</f>
        <v>#DIV/0!</v>
      </c>
      <c r="E222" s="257" t="e">
        <f t="array" ref="E222">IF(B61=B222,H61)</f>
        <v>#DIV/0!</v>
      </c>
      <c r="F222" s="257" t="e">
        <f t="array" ref="F222">IF(B110=B222,H110)</f>
        <v>#DIV/0!</v>
      </c>
      <c r="G222" s="257" t="e">
        <f t="array" ref="G222">IF(B151=B222,H151)</f>
        <v>#DIV/0!</v>
      </c>
      <c r="H222" s="257" t="e">
        <f t="array" ref="H222">IF(B195=B222,H195)</f>
        <v>#DIV/0!</v>
      </c>
      <c r="I222" s="257" t="e">
        <f t="shared" si="34"/>
        <v>#DIV/0!</v>
      </c>
      <c r="J222" s="266" t="e">
        <f t="shared" si="35"/>
        <v>#DIV/0!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 t="e">
        <f t="array" ref="D223">IF(B30=B223,H30)</f>
        <v>#DIV/0!</v>
      </c>
      <c r="E223" s="257" t="e">
        <f t="array" ref="E223">IF(B62=B223,H62)</f>
        <v>#DIV/0!</v>
      </c>
      <c r="F223" s="257" t="e">
        <f t="array" ref="F223">IF(B111=B223,H111)</f>
        <v>#DIV/0!</v>
      </c>
      <c r="G223" s="257" t="e">
        <f t="array" ref="G223">IF(B152=B223,H152)</f>
        <v>#DIV/0!</v>
      </c>
      <c r="H223" s="257" t="e">
        <f t="array" ref="H223">IF(B196=B223,H196)</f>
        <v>#DIV/0!</v>
      </c>
      <c r="I223" s="257" t="e">
        <f t="shared" si="34"/>
        <v>#DIV/0!</v>
      </c>
      <c r="J223" s="266" t="e">
        <f t="shared" si="35"/>
        <v>#DIV/0!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 t="e">
        <f t="array" ref="D224">IF(B31=B224,H31)</f>
        <v>#DIV/0!</v>
      </c>
      <c r="E224" s="271" t="e">
        <f t="array" ref="E224">IF(B63=B224,H63)</f>
        <v>#DIV/0!</v>
      </c>
      <c r="F224" s="271" t="e">
        <f t="array" ref="F224">IF(B112=B224,H112)</f>
        <v>#DIV/0!</v>
      </c>
      <c r="G224" s="271" t="e">
        <f t="array" ref="G224">IF(B153=B224,H153)</f>
        <v>#DIV/0!</v>
      </c>
      <c r="H224" s="271" t="e">
        <f t="array" ref="H224">IF(B197=B224,H197)</f>
        <v>#DIV/0!</v>
      </c>
      <c r="I224" s="271" t="e">
        <f t="shared" si="34"/>
        <v>#DIV/0!</v>
      </c>
      <c r="J224" s="273" t="e">
        <f t="shared" si="35"/>
        <v>#DIV/0!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 t="e">
        <f t="array" ref="D225">IF(B32=B225,H32)</f>
        <v>#DIV/0!</v>
      </c>
      <c r="E225" s="257" t="e">
        <f t="array" ref="E225">IF(B64=B225,H64)</f>
        <v>#DIV/0!</v>
      </c>
      <c r="F225" s="257" t="e">
        <f t="array" ref="F225">IF(B113=B225,H113)</f>
        <v>#DIV/0!</v>
      </c>
      <c r="G225" s="257" t="e">
        <f t="array" ref="G225">IF(B154=B225,H154)</f>
        <v>#DIV/0!</v>
      </c>
      <c r="H225" s="257" t="e">
        <f t="array" ref="H225">IF(B198=B225,H198)</f>
        <v>#DIV/0!</v>
      </c>
      <c r="I225" s="257" t="e">
        <f t="shared" si="34"/>
        <v>#DIV/0!</v>
      </c>
      <c r="J225" s="266" t="e">
        <f t="shared" si="35"/>
        <v>#DIV/0!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 t="e">
        <f t="array" ref="D226">IF(B33=B226,H33)</f>
        <v>#DIV/0!</v>
      </c>
      <c r="E226" s="257" t="e">
        <f t="array" ref="E226">IF(B65=B226,H65)</f>
        <v>#DIV/0!</v>
      </c>
      <c r="F226" s="257" t="e">
        <f t="array" ref="F226">IF(B114=B226,H114)</f>
        <v>#DIV/0!</v>
      </c>
      <c r="G226" s="257" t="e">
        <f t="array" ref="G226">IF(B155=B226,H155)</f>
        <v>#DIV/0!</v>
      </c>
      <c r="H226" s="257" t="e">
        <f t="array" ref="H226">IF(B199=B226,H199)</f>
        <v>#DIV/0!</v>
      </c>
      <c r="I226" s="257" t="e">
        <f t="shared" si="34"/>
        <v>#DIV/0!</v>
      </c>
      <c r="J226" s="266" t="e">
        <f t="shared" si="35"/>
        <v>#DIV/0!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 t="e">
        <f t="array" ref="D227">IF(B34=B227,H34)</f>
        <v>#DIV/0!</v>
      </c>
      <c r="E227" s="257" t="e">
        <f t="array" ref="E227">IF(B66=B227,H66)</f>
        <v>#DIV/0!</v>
      </c>
      <c r="F227" s="257" t="e">
        <f t="array" ref="F227">IF(B115=B227,H115)</f>
        <v>#DIV/0!</v>
      </c>
      <c r="G227" s="257" t="e">
        <f t="array" ref="G227">IF(B156=B227,H156)</f>
        <v>#DIV/0!</v>
      </c>
      <c r="H227" s="257" t="e">
        <f t="array" ref="H227">IF(B200=B227,H200)</f>
        <v>#DIV/0!</v>
      </c>
      <c r="I227" s="257" t="e">
        <f t="shared" si="34"/>
        <v>#DIV/0!</v>
      </c>
      <c r="J227" s="266" t="e">
        <f t="shared" si="35"/>
        <v>#DIV/0!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 t="e">
        <f t="array" ref="D228">IF(B35=B228,H35)</f>
        <v>#DIV/0!</v>
      </c>
      <c r="E228" s="257" t="e">
        <f t="array" ref="E228">IF(B67=B228,H67)</f>
        <v>#DIV/0!</v>
      </c>
      <c r="F228" s="257" t="e">
        <f t="array" ref="F228">IF(B116=B228,H116)</f>
        <v>#DIV/0!</v>
      </c>
      <c r="G228" s="257" t="e">
        <f t="array" ref="G228">IF(B157=B228,H157)</f>
        <v>#DIV/0!</v>
      </c>
      <c r="H228" s="257" t="e">
        <f t="array" ref="H228">IF(B201=B228,H201)</f>
        <v>#DIV/0!</v>
      </c>
      <c r="I228" s="257" t="e">
        <f t="shared" si="34"/>
        <v>#DIV/0!</v>
      </c>
      <c r="J228" s="266" t="e">
        <f t="shared" si="35"/>
        <v>#DIV/0!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 t="e">
        <f t="array" ref="D229">IF(B36=B229,H36)</f>
        <v>#DIV/0!</v>
      </c>
      <c r="E229" s="271" t="e">
        <f t="array" ref="E229">IF(B68=B229,H68)</f>
        <v>#DIV/0!</v>
      </c>
      <c r="F229" s="271" t="e">
        <f t="array" ref="F229">IF(B117=B229,H117)</f>
        <v>#DIV/0!</v>
      </c>
      <c r="G229" s="271" t="e">
        <f t="array" ref="G229">IF(B158=B229,H158)</f>
        <v>#DIV/0!</v>
      </c>
      <c r="H229" s="271" t="e">
        <f t="array" ref="H229">IF(B202=B229,H202)</f>
        <v>#DIV/0!</v>
      </c>
      <c r="I229" s="271" t="e">
        <f t="shared" si="34"/>
        <v>#DIV/0!</v>
      </c>
      <c r="J229" s="273" t="e">
        <f t="shared" si="35"/>
        <v>#DIV/0!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 t="e">
        <f t="array" ref="D230">IF(B37=B230,H37)</f>
        <v>#DIV/0!</v>
      </c>
      <c r="E230" s="257" t="e">
        <f t="array" ref="E230">IF(B69=B230,H69)</f>
        <v>#DIV/0!</v>
      </c>
      <c r="F230" s="257" t="e">
        <f t="array" ref="F230">IF(B118=B230,H118)</f>
        <v>#DIV/0!</v>
      </c>
      <c r="G230" s="257" t="e">
        <f t="array" ref="G230">IF(B159=B230,H159)</f>
        <v>#DIV/0!</v>
      </c>
      <c r="H230" s="257" t="e">
        <f t="array" ref="H230">IF(B203=B230,H203)</f>
        <v>#DIV/0!</v>
      </c>
      <c r="I230" s="257" t="e">
        <f>IF(G230=0,AVERAGE(D230,E230,F230,H230),AVERAGE(D230:H230))</f>
        <v>#DIV/0!</v>
      </c>
      <c r="J230" s="266" t="e">
        <f>ROUND(AVERAGE(D230,F230:G230),0)</f>
        <v>#DIV/0!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 t="e">
        <f t="array" ref="D231">IF(B38=B231,H38)</f>
        <v>#DIV/0!</v>
      </c>
      <c r="E231" s="257" t="e">
        <f t="array" ref="E231">IF(B70=B231,H70)</f>
        <v>#DIV/0!</v>
      </c>
      <c r="F231" s="257" t="e">
        <f t="array" ref="F231">IF(B119=B231,H119)</f>
        <v>#DIV/0!</v>
      </c>
      <c r="G231" s="257" t="e">
        <f t="array" ref="G231">IF(B160=B231,H160)</f>
        <v>#DIV/0!</v>
      </c>
      <c r="H231" s="257" t="e">
        <f t="array" ref="H231">IF(B204=B231,H204)</f>
        <v>#DIV/0!</v>
      </c>
      <c r="I231" s="257" t="e">
        <f>IF(G231=0,AVERAGE(D231,E231,F231,H231),AVERAGE(D231:H231))</f>
        <v>#DIV/0!</v>
      </c>
      <c r="J231" s="266" t="e">
        <f>ROUND(AVERAGE(D231,F231:G231),0)</f>
        <v>#DIV/0!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 t="e">
        <f t="array" ref="D232">IF(B39=B232,H39)</f>
        <v>#DIV/0!</v>
      </c>
      <c r="E232" s="257" t="e">
        <f t="array" ref="E232">IF(B71=B232,H71)</f>
        <v>#DIV/0!</v>
      </c>
      <c r="F232" s="257" t="e">
        <f t="array" ref="F232">IF(B120=B232,H120)</f>
        <v>#DIV/0!</v>
      </c>
      <c r="G232" s="257" t="e">
        <f t="array" ref="G232">IF(B161=B232,H161)</f>
        <v>#DIV/0!</v>
      </c>
      <c r="H232" s="257" t="e">
        <f t="array" ref="H232">IF(B205=B232,H205)</f>
        <v>#DIV/0!</v>
      </c>
      <c r="I232" s="257" t="e">
        <f>IF(G232=0,AVERAGE(D232,E232,F232,H232),AVERAGE(D232:H232))</f>
        <v>#DIV/0!</v>
      </c>
      <c r="J232" s="266" t="e">
        <f>ROUND(AVERAGE(D232,F232:G232),0)</f>
        <v>#DIV/0!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 t="e">
        <f t="array" ref="D233">IF(B40=B233,H40)</f>
        <v>#DIV/0!</v>
      </c>
      <c r="E233" s="257" t="e">
        <f t="array" ref="E233">IF(B72=B233,H72)</f>
        <v>#DIV/0!</v>
      </c>
      <c r="F233" s="257" t="e">
        <f t="array" ref="F233">IF(B121=B233,H121)</f>
        <v>#DIV/0!</v>
      </c>
      <c r="G233" s="257" t="e">
        <f t="array" ref="G233">IF(B162=B233,H162)</f>
        <v>#DIV/0!</v>
      </c>
      <c r="H233" s="257" t="e">
        <f t="array" ref="H233">IF(B206=B233,H206)</f>
        <v>#DIV/0!</v>
      </c>
      <c r="I233" s="257" t="e">
        <f>IF(G233=0,AVERAGE(D233,E233,F233,H233),AVERAGE(D233:H233))</f>
        <v>#DIV/0!</v>
      </c>
      <c r="J233" s="266" t="e">
        <f>ROUND(AVERAGE(D233,F233:G233),0)</f>
        <v>#DIV/0!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 t="e">
        <f t="array" ref="D234">IF(B41=B234,H41)</f>
        <v>#DIV/0!</v>
      </c>
      <c r="E234" s="271" t="e">
        <f t="array" ref="E234">IF(B73=B234,H73)</f>
        <v>#DIV/0!</v>
      </c>
      <c r="F234" s="271" t="e">
        <f t="array" ref="F234">IF(B122=B234,H122)</f>
        <v>#DIV/0!</v>
      </c>
      <c r="G234" s="271" t="e">
        <f t="array" ref="G234">IF(B163=B234,H163)</f>
        <v>#DIV/0!</v>
      </c>
      <c r="H234" s="271" t="e">
        <f t="array" ref="H234">IF(B207=B234,H207)</f>
        <v>#DIV/0!</v>
      </c>
      <c r="I234" s="271" t="e">
        <f>IF(G234=0,AVERAGE(D234,E234,F234,H234),AVERAGE(D234:H234))</f>
        <v>#DIV/0!</v>
      </c>
      <c r="J234" s="273" t="e">
        <f>ROUND(AVERAGE(D234,F234:G234),0)</f>
        <v>#DIV/0!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0066"/>
  </sheetPr>
  <dimension ref="A1:AF75"/>
  <sheetViews>
    <sheetView view="pageBreakPreview" zoomScale="60" zoomScaleNormal="100" workbookViewId="0"/>
  </sheetViews>
  <sheetFormatPr defaultRowHeight="16.5"/>
  <cols>
    <col min="1" max="1" width="9.44140625" style="28" customWidth="1"/>
    <col min="2" max="4" width="9.33203125" style="28" bestFit="1" customWidth="1"/>
    <col min="5" max="5" width="12.77734375" style="28" bestFit="1" customWidth="1"/>
    <col min="6" max="6" width="12.21875" style="28" bestFit="1" customWidth="1"/>
    <col min="7" max="7" width="5.6640625" style="28" bestFit="1" customWidth="1"/>
    <col min="8" max="8" width="9.109375" style="28" bestFit="1" customWidth="1"/>
    <col min="9" max="9" width="10" style="28" bestFit="1" customWidth="1"/>
    <col min="10" max="11" width="11.5546875" style="28" bestFit="1" customWidth="1"/>
    <col min="12" max="12" width="8" style="28" bestFit="1" customWidth="1"/>
    <col min="13" max="13" width="8.5546875" style="28" bestFit="1" customWidth="1"/>
    <col min="14" max="14" width="12.21875" style="28" bestFit="1" customWidth="1"/>
    <col min="15" max="15" width="10" style="28" bestFit="1" customWidth="1"/>
    <col min="16" max="16" width="8.5546875" style="28" bestFit="1" customWidth="1"/>
  </cols>
  <sheetData>
    <row r="1" spans="1:32" ht="23.25" customHeight="1">
      <c r="A1" s="435" t="s">
        <v>955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32" ht="24.95" customHeight="1">
      <c r="A2" s="1669" t="s">
        <v>116</v>
      </c>
      <c r="B2" s="1661" t="s">
        <v>98</v>
      </c>
      <c r="C2" s="1661" t="s">
        <v>99</v>
      </c>
      <c r="D2" s="1661" t="s">
        <v>100</v>
      </c>
      <c r="E2" s="1661"/>
      <c r="F2" s="1661"/>
      <c r="G2" s="1661"/>
      <c r="H2" s="1661"/>
      <c r="I2" s="1661"/>
      <c r="J2" s="1661"/>
      <c r="K2" s="1661"/>
      <c r="L2" s="1661"/>
      <c r="M2" s="1661"/>
      <c r="N2" s="1661" t="s">
        <v>101</v>
      </c>
      <c r="O2" s="1661"/>
      <c r="P2" s="1661"/>
    </row>
    <row r="3" spans="1:32" ht="24.95" customHeight="1">
      <c r="A3" s="1669"/>
      <c r="B3" s="1661"/>
      <c r="C3" s="1661"/>
      <c r="D3" s="1661" t="s">
        <v>102</v>
      </c>
      <c r="E3" s="1661" t="s">
        <v>100</v>
      </c>
      <c r="F3" s="1661"/>
      <c r="G3" s="1661"/>
      <c r="H3" s="1661"/>
      <c r="I3" s="1661" t="s">
        <v>103</v>
      </c>
      <c r="J3" s="1661" t="s">
        <v>100</v>
      </c>
      <c r="K3" s="1661"/>
      <c r="L3" s="1661"/>
      <c r="M3" s="1661"/>
      <c r="N3" s="1661"/>
      <c r="O3" s="1661" t="s">
        <v>100</v>
      </c>
      <c r="P3" s="1661"/>
    </row>
    <row r="4" spans="1:32" ht="24.95" customHeight="1">
      <c r="A4" s="1669"/>
      <c r="B4" s="1661"/>
      <c r="C4" s="1661"/>
      <c r="D4" s="1661"/>
      <c r="E4" s="710" t="s">
        <v>104</v>
      </c>
      <c r="F4" s="710" t="s">
        <v>105</v>
      </c>
      <c r="G4" s="710" t="s">
        <v>106</v>
      </c>
      <c r="H4" s="710" t="s">
        <v>107</v>
      </c>
      <c r="I4" s="1661"/>
      <c r="J4" s="710" t="s">
        <v>108</v>
      </c>
      <c r="K4" s="710" t="s">
        <v>109</v>
      </c>
      <c r="L4" s="710" t="s">
        <v>110</v>
      </c>
      <c r="M4" s="710" t="s">
        <v>111</v>
      </c>
      <c r="N4" s="1661"/>
      <c r="O4" s="710" t="s">
        <v>112</v>
      </c>
      <c r="P4" s="710" t="s">
        <v>113</v>
      </c>
    </row>
    <row r="5" spans="1:32" ht="24.95" customHeight="1">
      <c r="A5" s="1669"/>
      <c r="B5" s="710" t="s">
        <v>114</v>
      </c>
      <c r="C5" s="710" t="s">
        <v>114</v>
      </c>
      <c r="D5" s="710" t="s">
        <v>114</v>
      </c>
      <c r="E5" s="710" t="s">
        <v>114</v>
      </c>
      <c r="F5" s="710" t="s">
        <v>114</v>
      </c>
      <c r="G5" s="710" t="s">
        <v>114</v>
      </c>
      <c r="H5" s="710" t="s">
        <v>114</v>
      </c>
      <c r="I5" s="710" t="s">
        <v>114</v>
      </c>
      <c r="J5" s="710" t="s">
        <v>114</v>
      </c>
      <c r="K5" s="710" t="s">
        <v>114</v>
      </c>
      <c r="L5" s="710" t="s">
        <v>114</v>
      </c>
      <c r="M5" s="710" t="s">
        <v>114</v>
      </c>
      <c r="N5" s="710" t="s">
        <v>114</v>
      </c>
      <c r="O5" s="710" t="s">
        <v>114</v>
      </c>
      <c r="P5" s="710" t="s">
        <v>114</v>
      </c>
    </row>
    <row r="6" spans="1:32" s="812" customFormat="1" ht="24.95" customHeight="1">
      <c r="A6" s="811" t="s">
        <v>979</v>
      </c>
      <c r="B6" s="1005">
        <f>+B33</f>
        <v>9191549</v>
      </c>
      <c r="C6" s="1005">
        <f t="shared" ref="C6:D7" si="0">+C33</f>
        <v>7957729</v>
      </c>
      <c r="D6" s="1005">
        <f t="shared" si="0"/>
        <v>6174862</v>
      </c>
      <c r="E6" s="1006">
        <f>+E33</f>
        <v>6174862</v>
      </c>
      <c r="F6" s="1006">
        <f t="shared" ref="F6:H7" si="1">+F33</f>
        <v>0</v>
      </c>
      <c r="G6" s="1006">
        <f t="shared" si="1"/>
        <v>0</v>
      </c>
      <c r="H6" s="1006">
        <f t="shared" si="1"/>
        <v>0</v>
      </c>
      <c r="I6" s="1005">
        <f>+I33</f>
        <v>1782867</v>
      </c>
      <c r="J6" s="1007">
        <f>+J33</f>
        <v>420003</v>
      </c>
      <c r="K6" s="1007">
        <f t="shared" ref="K6:M7" si="2">+K33</f>
        <v>682000</v>
      </c>
      <c r="L6" s="1007">
        <f t="shared" si="2"/>
        <v>680864</v>
      </c>
      <c r="M6" s="1007">
        <f t="shared" si="2"/>
        <v>0</v>
      </c>
      <c r="N6" s="1005">
        <f t="shared" ref="N6:P7" si="3">+N33</f>
        <v>1233820</v>
      </c>
      <c r="O6" s="1007">
        <f t="shared" si="3"/>
        <v>13613</v>
      </c>
      <c r="P6" s="1007">
        <f t="shared" si="3"/>
        <v>1220207</v>
      </c>
      <c r="R6" s="47">
        <v>4900187</v>
      </c>
      <c r="S6" s="47">
        <v>4134560</v>
      </c>
      <c r="T6" s="47">
        <v>2995454</v>
      </c>
      <c r="U6" s="46">
        <v>2994730</v>
      </c>
      <c r="V6" s="45">
        <v>0</v>
      </c>
      <c r="W6" s="45">
        <v>0</v>
      </c>
      <c r="X6" s="45">
        <v>724</v>
      </c>
      <c r="Y6" s="47">
        <v>1139106</v>
      </c>
      <c r="Z6" s="45">
        <v>252534</v>
      </c>
      <c r="AA6" s="45">
        <v>400240</v>
      </c>
      <c r="AB6" s="45">
        <v>486332</v>
      </c>
      <c r="AC6" s="45">
        <v>0</v>
      </c>
      <c r="AD6" s="47">
        <v>765627</v>
      </c>
      <c r="AE6" s="45">
        <v>0</v>
      </c>
      <c r="AF6" s="45">
        <v>765627</v>
      </c>
    </row>
    <row r="7" spans="1:32" ht="24.95" customHeight="1">
      <c r="A7" s="48" t="s">
        <v>117</v>
      </c>
      <c r="B7" s="1005">
        <f>+B34</f>
        <v>9921768</v>
      </c>
      <c r="C7" s="1005">
        <f t="shared" si="0"/>
        <v>8687654</v>
      </c>
      <c r="D7" s="1005">
        <f t="shared" si="0"/>
        <v>7371015</v>
      </c>
      <c r="E7" s="1006">
        <f>+E34</f>
        <v>7371015</v>
      </c>
      <c r="F7" s="1006">
        <f t="shared" si="1"/>
        <v>0</v>
      </c>
      <c r="G7" s="1006">
        <f t="shared" si="1"/>
        <v>0</v>
      </c>
      <c r="H7" s="1006">
        <f t="shared" si="1"/>
        <v>0</v>
      </c>
      <c r="I7" s="1005">
        <f>+I34</f>
        <v>1316639</v>
      </c>
      <c r="J7" s="1007">
        <f>+J34</f>
        <v>446479</v>
      </c>
      <c r="K7" s="1007">
        <f t="shared" si="2"/>
        <v>136160</v>
      </c>
      <c r="L7" s="1007">
        <f t="shared" si="2"/>
        <v>734000</v>
      </c>
      <c r="M7" s="1007">
        <f t="shared" si="2"/>
        <v>0</v>
      </c>
      <c r="N7" s="1005">
        <f t="shared" si="3"/>
        <v>1234114</v>
      </c>
      <c r="O7" s="1007">
        <f t="shared" si="3"/>
        <v>0</v>
      </c>
      <c r="P7" s="1007">
        <f t="shared" si="3"/>
        <v>1234114</v>
      </c>
      <c r="R7" s="47">
        <v>4900187</v>
      </c>
      <c r="S7" s="47">
        <v>4134560</v>
      </c>
      <c r="T7" s="47">
        <v>2995454</v>
      </c>
      <c r="U7" s="46">
        <v>2994730</v>
      </c>
      <c r="V7" s="45">
        <v>0</v>
      </c>
      <c r="W7" s="45">
        <v>0</v>
      </c>
      <c r="X7" s="45">
        <v>724</v>
      </c>
      <c r="Y7" s="47">
        <v>1139106</v>
      </c>
      <c r="Z7" s="45">
        <v>252534</v>
      </c>
      <c r="AA7" s="45">
        <v>400240</v>
      </c>
      <c r="AB7" s="45">
        <v>486332</v>
      </c>
      <c r="AC7" s="45">
        <v>0</v>
      </c>
      <c r="AD7" s="47">
        <v>765627</v>
      </c>
      <c r="AE7" s="45">
        <v>0</v>
      </c>
      <c r="AF7" s="45">
        <v>765627</v>
      </c>
    </row>
    <row r="8" spans="1:32" ht="24.95" customHeight="1">
      <c r="A8" s="48" t="s">
        <v>118</v>
      </c>
      <c r="B8" s="1005">
        <f t="shared" ref="B8:P8" si="4">+B35</f>
        <v>10021573</v>
      </c>
      <c r="C8" s="1005">
        <f t="shared" si="4"/>
        <v>8968602</v>
      </c>
      <c r="D8" s="1005">
        <f t="shared" si="4"/>
        <v>7647472</v>
      </c>
      <c r="E8" s="1006">
        <f t="shared" si="4"/>
        <v>7647472</v>
      </c>
      <c r="F8" s="1006">
        <f t="shared" si="4"/>
        <v>0</v>
      </c>
      <c r="G8" s="1006">
        <f t="shared" si="4"/>
        <v>0</v>
      </c>
      <c r="H8" s="1006">
        <f t="shared" si="4"/>
        <v>0</v>
      </c>
      <c r="I8" s="1005">
        <f t="shared" si="4"/>
        <v>1321130</v>
      </c>
      <c r="J8" s="1007">
        <f t="shared" si="4"/>
        <v>450970</v>
      </c>
      <c r="K8" s="1007">
        <f t="shared" si="4"/>
        <v>136160</v>
      </c>
      <c r="L8" s="1007">
        <f t="shared" si="4"/>
        <v>734000</v>
      </c>
      <c r="M8" s="1007">
        <f t="shared" si="4"/>
        <v>0</v>
      </c>
      <c r="N8" s="1005">
        <f t="shared" si="4"/>
        <v>1052971</v>
      </c>
      <c r="O8" s="1007">
        <f t="shared" si="4"/>
        <v>0</v>
      </c>
      <c r="P8" s="1007">
        <f t="shared" si="4"/>
        <v>1052971</v>
      </c>
      <c r="R8" s="47">
        <v>5102807</v>
      </c>
      <c r="S8" s="47">
        <v>4317342</v>
      </c>
      <c r="T8" s="47">
        <v>3042328</v>
      </c>
      <c r="U8" s="46">
        <v>3040741</v>
      </c>
      <c r="V8" s="45">
        <v>0</v>
      </c>
      <c r="W8" s="45">
        <v>0</v>
      </c>
      <c r="X8" s="45">
        <v>1587</v>
      </c>
      <c r="Y8" s="47">
        <v>1275014</v>
      </c>
      <c r="Z8" s="45">
        <v>263842</v>
      </c>
      <c r="AA8" s="45">
        <v>640288</v>
      </c>
      <c r="AB8" s="45">
        <v>370884</v>
      </c>
      <c r="AC8" s="45">
        <v>0</v>
      </c>
      <c r="AD8" s="47">
        <v>785465</v>
      </c>
      <c r="AE8" s="45">
        <v>0</v>
      </c>
      <c r="AF8" s="45">
        <v>785465</v>
      </c>
    </row>
    <row r="9" spans="1:32" ht="24.95" customHeight="1">
      <c r="A9" s="48" t="s">
        <v>119</v>
      </c>
      <c r="B9" s="1005">
        <f t="shared" ref="B9:P9" si="5">+B36</f>
        <v>11133050</v>
      </c>
      <c r="C9" s="1005">
        <f t="shared" si="5"/>
        <v>9869031</v>
      </c>
      <c r="D9" s="1005">
        <f t="shared" si="5"/>
        <v>8472462</v>
      </c>
      <c r="E9" s="1006">
        <f t="shared" si="5"/>
        <v>8472462</v>
      </c>
      <c r="F9" s="1006">
        <f t="shared" si="5"/>
        <v>0</v>
      </c>
      <c r="G9" s="1006">
        <f t="shared" si="5"/>
        <v>0</v>
      </c>
      <c r="H9" s="1006">
        <f t="shared" si="5"/>
        <v>0</v>
      </c>
      <c r="I9" s="1005">
        <f t="shared" si="5"/>
        <v>1396569</v>
      </c>
      <c r="J9" s="1007">
        <f t="shared" si="5"/>
        <v>500987</v>
      </c>
      <c r="K9" s="1007">
        <f t="shared" si="5"/>
        <v>210120</v>
      </c>
      <c r="L9" s="1007">
        <f t="shared" si="5"/>
        <v>685462</v>
      </c>
      <c r="M9" s="1007">
        <f t="shared" si="5"/>
        <v>0</v>
      </c>
      <c r="N9" s="1005">
        <f t="shared" si="5"/>
        <v>1264019</v>
      </c>
      <c r="O9" s="1007">
        <f t="shared" si="5"/>
        <v>0</v>
      </c>
      <c r="P9" s="1007">
        <f t="shared" si="5"/>
        <v>1264019</v>
      </c>
      <c r="R9" s="47">
        <v>5823004</v>
      </c>
      <c r="S9" s="47">
        <v>4950489</v>
      </c>
      <c r="T9" s="47">
        <v>3505448</v>
      </c>
      <c r="U9" s="45">
        <v>3505448</v>
      </c>
      <c r="V9" s="45">
        <v>0</v>
      </c>
      <c r="W9" s="45">
        <v>0</v>
      </c>
      <c r="X9" s="45">
        <v>0</v>
      </c>
      <c r="Y9" s="47">
        <v>1445041</v>
      </c>
      <c r="Z9" s="45">
        <v>321574</v>
      </c>
      <c r="AA9" s="45">
        <v>583785</v>
      </c>
      <c r="AB9" s="45">
        <v>539682</v>
      </c>
      <c r="AC9" s="45">
        <v>0</v>
      </c>
      <c r="AD9" s="47">
        <v>872515</v>
      </c>
      <c r="AE9" s="45">
        <v>0</v>
      </c>
      <c r="AF9" s="45">
        <v>872515</v>
      </c>
    </row>
    <row r="10" spans="1:32" ht="24.95" customHeight="1">
      <c r="A10" s="48" t="s">
        <v>120</v>
      </c>
      <c r="B10" s="1005">
        <f t="shared" ref="B10:P10" si="6">+B37</f>
        <v>12931794</v>
      </c>
      <c r="C10" s="1005">
        <f t="shared" si="6"/>
        <v>11443756</v>
      </c>
      <c r="D10" s="1005">
        <f t="shared" si="6"/>
        <v>9711470</v>
      </c>
      <c r="E10" s="1006">
        <f t="shared" si="6"/>
        <v>9711470</v>
      </c>
      <c r="F10" s="1006">
        <f t="shared" si="6"/>
        <v>0</v>
      </c>
      <c r="G10" s="1006">
        <f t="shared" si="6"/>
        <v>0</v>
      </c>
      <c r="H10" s="1006">
        <f t="shared" si="6"/>
        <v>0</v>
      </c>
      <c r="I10" s="1005">
        <f t="shared" si="6"/>
        <v>1732286</v>
      </c>
      <c r="J10" s="1007">
        <f t="shared" si="6"/>
        <v>591030</v>
      </c>
      <c r="K10" s="1007">
        <f t="shared" si="6"/>
        <v>169225</v>
      </c>
      <c r="L10" s="1007">
        <f t="shared" si="6"/>
        <v>972031</v>
      </c>
      <c r="M10" s="1007">
        <f t="shared" si="6"/>
        <v>0</v>
      </c>
      <c r="N10" s="1005">
        <f t="shared" si="6"/>
        <v>1488038</v>
      </c>
      <c r="O10" s="1007">
        <f t="shared" si="6"/>
        <v>0</v>
      </c>
      <c r="P10" s="1007">
        <f t="shared" si="6"/>
        <v>1488038</v>
      </c>
      <c r="R10" s="47">
        <v>5956385</v>
      </c>
      <c r="S10" s="47">
        <v>5080796</v>
      </c>
      <c r="T10" s="47">
        <v>3603613</v>
      </c>
      <c r="U10" s="45">
        <v>3603613</v>
      </c>
      <c r="V10" s="45">
        <v>0</v>
      </c>
      <c r="W10" s="45">
        <v>0</v>
      </c>
      <c r="X10" s="45">
        <v>0</v>
      </c>
      <c r="Y10" s="47">
        <v>1477183</v>
      </c>
      <c r="Z10" s="45">
        <v>452685</v>
      </c>
      <c r="AA10" s="45">
        <v>622329</v>
      </c>
      <c r="AB10" s="45">
        <v>402169</v>
      </c>
      <c r="AC10" s="45">
        <v>0</v>
      </c>
      <c r="AD10" s="47">
        <v>875589</v>
      </c>
      <c r="AE10" s="45">
        <v>0</v>
      </c>
      <c r="AF10" s="45">
        <v>875589</v>
      </c>
    </row>
    <row r="11" spans="1:32" ht="24.95" customHeight="1">
      <c r="A11" s="48" t="s">
        <v>121</v>
      </c>
      <c r="B11" s="1008">
        <f>+C11+N11</f>
        <v>13974568</v>
      </c>
      <c r="C11" s="1008">
        <f>+D11+I11</f>
        <v>11564265</v>
      </c>
      <c r="D11" s="1008">
        <f>SUM(E11:H11)</f>
        <v>10935410</v>
      </c>
      <c r="E11" s="1009">
        <f>+E44</f>
        <v>10935410</v>
      </c>
      <c r="F11" s="1009">
        <v>0</v>
      </c>
      <c r="G11" s="1009">
        <v>0</v>
      </c>
      <c r="H11" s="1009">
        <v>0</v>
      </c>
      <c r="I11" s="1010">
        <f>SUM(J11:M11)</f>
        <v>628855</v>
      </c>
      <c r="J11" s="1011">
        <f>+N44</f>
        <v>628855</v>
      </c>
      <c r="K11" s="1011">
        <f>+K44</f>
        <v>0</v>
      </c>
      <c r="L11" s="1011">
        <f>+J44</f>
        <v>0</v>
      </c>
      <c r="M11" s="1011">
        <f>+M44</f>
        <v>0</v>
      </c>
      <c r="N11" s="1010">
        <f>+O11+P11</f>
        <v>2410303</v>
      </c>
      <c r="O11" s="1011">
        <f>+O44</f>
        <v>0</v>
      </c>
      <c r="P11" s="1011">
        <f>+P44</f>
        <v>2410303</v>
      </c>
      <c r="R11" s="44">
        <f>+S11+AD11</f>
        <v>3489637</v>
      </c>
      <c r="S11" s="44">
        <f>+T11+Y11</f>
        <v>3489637</v>
      </c>
      <c r="T11" s="44">
        <f>SUM(U11:X11)</f>
        <v>3489637</v>
      </c>
      <c r="U11" s="43">
        <v>3489637</v>
      </c>
      <c r="V11" s="43">
        <v>0</v>
      </c>
      <c r="W11" s="43">
        <v>0</v>
      </c>
      <c r="X11" s="43">
        <v>0</v>
      </c>
      <c r="Y11" s="42">
        <f>SUM(Z11:AC11)</f>
        <v>0</v>
      </c>
      <c r="Z11" s="41">
        <f>+AD44</f>
        <v>0</v>
      </c>
      <c r="AA11" s="41">
        <f>+AA44</f>
        <v>0</v>
      </c>
      <c r="AB11" s="41">
        <f>+Z44</f>
        <v>0</v>
      </c>
      <c r="AC11" s="41">
        <f>+AC44</f>
        <v>0</v>
      </c>
      <c r="AD11" s="42">
        <f>+AE11+AF11</f>
        <v>0</v>
      </c>
      <c r="AE11" s="41">
        <f>+AE44</f>
        <v>0</v>
      </c>
      <c r="AF11" s="41">
        <f>+AF44</f>
        <v>0</v>
      </c>
    </row>
    <row r="12" spans="1:32" ht="24.95" customHeight="1">
      <c r="A12" s="48" t="s">
        <v>122</v>
      </c>
      <c r="B12" s="1008">
        <f>+C12+N12</f>
        <v>14632705</v>
      </c>
      <c r="C12" s="1008">
        <f>+D12+I12</f>
        <v>12636507</v>
      </c>
      <c r="D12" s="1008">
        <f>SUM(E12:H12)</f>
        <v>11237487</v>
      </c>
      <c r="E12" s="1012">
        <f>+E45</f>
        <v>11237487</v>
      </c>
      <c r="F12" s="1012">
        <v>0</v>
      </c>
      <c r="G12" s="1012">
        <v>0</v>
      </c>
      <c r="H12" s="1012">
        <v>0</v>
      </c>
      <c r="I12" s="1010">
        <f>SUM(J12:M12)</f>
        <v>1399020</v>
      </c>
      <c r="J12" s="1011">
        <f>+N45</f>
        <v>1101453</v>
      </c>
      <c r="K12" s="1011">
        <f>+K45</f>
        <v>0</v>
      </c>
      <c r="L12" s="1011">
        <f>+J45</f>
        <v>297567</v>
      </c>
      <c r="M12" s="1011">
        <f>+M45</f>
        <v>0</v>
      </c>
      <c r="N12" s="1010">
        <f>+O12+P12</f>
        <v>1996198</v>
      </c>
      <c r="O12" s="1011">
        <f>+O45</f>
        <v>0</v>
      </c>
      <c r="P12" s="1011">
        <f>+P45</f>
        <v>1996198</v>
      </c>
    </row>
    <row r="13" spans="1:32" s="812" customFormat="1" ht="24.95" customHeight="1">
      <c r="A13" s="811" t="s">
        <v>875</v>
      </c>
      <c r="B13" s="1008">
        <f>+C13+N13</f>
        <v>15944441</v>
      </c>
      <c r="C13" s="1008">
        <f>+D13+I13</f>
        <v>13775997</v>
      </c>
      <c r="D13" s="1008">
        <f>SUM(E13:H13)</f>
        <v>12016547</v>
      </c>
      <c r="E13" s="1012">
        <f>+E52</f>
        <v>11816467</v>
      </c>
      <c r="F13" s="1012">
        <f t="shared" ref="F13:H14" si="7">+F52</f>
        <v>0</v>
      </c>
      <c r="G13" s="1012">
        <f t="shared" si="7"/>
        <v>0</v>
      </c>
      <c r="H13" s="1012">
        <f t="shared" si="7"/>
        <v>200080</v>
      </c>
      <c r="I13" s="1010">
        <f>SUM(J13:M13)</f>
        <v>1759450</v>
      </c>
      <c r="J13" s="1011">
        <f>+J52</f>
        <v>717500</v>
      </c>
      <c r="K13" s="1011">
        <f t="shared" ref="K13:M14" si="8">+K52</f>
        <v>61990</v>
      </c>
      <c r="L13" s="1011">
        <f t="shared" si="8"/>
        <v>979960</v>
      </c>
      <c r="M13" s="1011">
        <f t="shared" si="8"/>
        <v>0</v>
      </c>
      <c r="N13" s="1010">
        <f>+O13+P13</f>
        <v>2168444</v>
      </c>
      <c r="O13" s="1011">
        <f>+O52</f>
        <v>0</v>
      </c>
      <c r="P13" s="1011">
        <f>+P52</f>
        <v>2168444</v>
      </c>
    </row>
    <row r="14" spans="1:32" s="812" customFormat="1" ht="24.95" customHeight="1">
      <c r="A14" s="811" t="s">
        <v>957</v>
      </c>
      <c r="B14" s="1008">
        <f>+C14+N14</f>
        <v>17407838</v>
      </c>
      <c r="C14" s="1008">
        <f>+D14+I14</f>
        <v>13831720</v>
      </c>
      <c r="D14" s="1008">
        <f>SUM(E14:H14)</f>
        <v>13042608</v>
      </c>
      <c r="E14" s="1012">
        <f>+E53</f>
        <v>13042608</v>
      </c>
      <c r="F14" s="1012">
        <f t="shared" si="7"/>
        <v>0</v>
      </c>
      <c r="G14" s="1012">
        <f t="shared" si="7"/>
        <v>0</v>
      </c>
      <c r="H14" s="1012">
        <f t="shared" si="7"/>
        <v>0</v>
      </c>
      <c r="I14" s="1010">
        <f>SUM(J14:M14)</f>
        <v>789112</v>
      </c>
      <c r="J14" s="1011">
        <f>+J53</f>
        <v>783353</v>
      </c>
      <c r="K14" s="1011">
        <f t="shared" si="8"/>
        <v>4050</v>
      </c>
      <c r="L14" s="1011">
        <f t="shared" si="8"/>
        <v>1709</v>
      </c>
      <c r="M14" s="1011">
        <f t="shared" si="8"/>
        <v>0</v>
      </c>
      <c r="N14" s="1010">
        <f>+O14+P14</f>
        <v>3576118</v>
      </c>
      <c r="O14" s="1011">
        <f>+O53</f>
        <v>169577</v>
      </c>
      <c r="P14" s="1011">
        <f>+P53</f>
        <v>3406541</v>
      </c>
    </row>
    <row r="15" spans="1:32" ht="24.95" customHeight="1">
      <c r="A15" s="50" t="s">
        <v>123</v>
      </c>
      <c r="B15" s="50"/>
      <c r="C15" s="40"/>
      <c r="D15" s="50"/>
      <c r="E15" s="50"/>
      <c r="F15" s="50"/>
      <c r="G15" s="50"/>
      <c r="H15" s="50"/>
      <c r="I15" s="40"/>
      <c r="J15" s="39">
        <f>+J12+L12</f>
        <v>1399020</v>
      </c>
      <c r="K15" s="50"/>
      <c r="L15" s="50"/>
      <c r="M15" s="50"/>
      <c r="N15" s="50"/>
      <c r="O15" s="50"/>
      <c r="P15" s="38" t="s">
        <v>124</v>
      </c>
      <c r="T15" s="1228" t="s">
        <v>108</v>
      </c>
      <c r="U15" s="1228" t="s">
        <v>110</v>
      </c>
    </row>
    <row r="16" spans="1:32" ht="24.95" customHeight="1">
      <c r="A16" s="1669" t="s">
        <v>125</v>
      </c>
      <c r="B16" s="1661" t="s">
        <v>98</v>
      </c>
      <c r="C16" s="1661" t="s">
        <v>99</v>
      </c>
      <c r="D16" s="1661" t="s">
        <v>100</v>
      </c>
      <c r="E16" s="1661"/>
      <c r="F16" s="1661"/>
      <c r="G16" s="1661"/>
      <c r="H16" s="1661"/>
      <c r="I16" s="1661"/>
      <c r="J16" s="1661"/>
      <c r="K16" s="1661"/>
      <c r="L16" s="1661"/>
      <c r="M16" s="1661"/>
      <c r="N16" s="1661" t="s">
        <v>101</v>
      </c>
      <c r="O16" s="1661"/>
      <c r="P16" s="1661"/>
      <c r="T16" s="1234">
        <f>+J6/365/W16*1000</f>
        <v>19.431804223194884</v>
      </c>
      <c r="U16" s="1234">
        <f>+L6/365/W16*1000</f>
        <v>31.500765353155483</v>
      </c>
      <c r="V16" s="1231">
        <f>+J6+L6</f>
        <v>1100867</v>
      </c>
      <c r="W16" s="1231">
        <f>+'3.면별급수현황'!D6</f>
        <v>59217</v>
      </c>
      <c r="X16" s="1232">
        <f>+V16/365</f>
        <v>3016.0739726027396</v>
      </c>
      <c r="Y16" s="1233">
        <f>+X16/W16*1000</f>
        <v>50.932569576350367</v>
      </c>
      <c r="Z16" s="1232"/>
    </row>
    <row r="17" spans="1:26" ht="24.95" customHeight="1">
      <c r="A17" s="1669"/>
      <c r="B17" s="1661"/>
      <c r="C17" s="1661"/>
      <c r="D17" s="1661" t="s">
        <v>102</v>
      </c>
      <c r="E17" s="1661" t="s">
        <v>100</v>
      </c>
      <c r="F17" s="1661"/>
      <c r="G17" s="1661"/>
      <c r="H17" s="1661"/>
      <c r="I17" s="1661" t="s">
        <v>103</v>
      </c>
      <c r="J17" s="1661" t="s">
        <v>100</v>
      </c>
      <c r="K17" s="1661"/>
      <c r="L17" s="1661"/>
      <c r="M17" s="1661"/>
      <c r="N17" s="1661"/>
      <c r="O17" s="1661" t="s">
        <v>100</v>
      </c>
      <c r="P17" s="1661"/>
      <c r="T17" s="1234">
        <f t="shared" ref="T17:T24" si="9">+J7/365/W17*1000</f>
        <v>19.16807911787485</v>
      </c>
      <c r="U17" s="1234">
        <f t="shared" ref="U17:U24" si="10">+L7/365/W17*1000</f>
        <v>31.511829386197647</v>
      </c>
      <c r="V17" s="1231">
        <f t="shared" ref="V17:V24" si="11">+J7+L7</f>
        <v>1180479</v>
      </c>
      <c r="W17" s="1231">
        <f>+'3.면별급수현황'!D7</f>
        <v>63816</v>
      </c>
      <c r="X17" s="1232">
        <f t="shared" ref="X17:X24" si="12">+V17/365</f>
        <v>3234.1890410958904</v>
      </c>
      <c r="Y17" s="1233">
        <f t="shared" ref="Y17:Y24" si="13">+X17/W17*1000</f>
        <v>50.679908504072493</v>
      </c>
      <c r="Z17" s="1232"/>
    </row>
    <row r="18" spans="1:26" ht="24.95" customHeight="1">
      <c r="A18" s="1669"/>
      <c r="B18" s="1661"/>
      <c r="C18" s="1661"/>
      <c r="D18" s="1661"/>
      <c r="E18" s="710" t="s">
        <v>104</v>
      </c>
      <c r="F18" s="710" t="s">
        <v>105</v>
      </c>
      <c r="G18" s="710" t="s">
        <v>106</v>
      </c>
      <c r="H18" s="710" t="s">
        <v>107</v>
      </c>
      <c r="I18" s="1661"/>
      <c r="J18" s="710" t="s">
        <v>108</v>
      </c>
      <c r="K18" s="710" t="s">
        <v>109</v>
      </c>
      <c r="L18" s="710" t="s">
        <v>110</v>
      </c>
      <c r="M18" s="710" t="s">
        <v>111</v>
      </c>
      <c r="N18" s="1661"/>
      <c r="O18" s="710" t="s">
        <v>112</v>
      </c>
      <c r="P18" s="710" t="s">
        <v>113</v>
      </c>
      <c r="T18" s="1234">
        <f t="shared" si="9"/>
        <v>18.700948213588159</v>
      </c>
      <c r="U18" s="1234">
        <f t="shared" si="10"/>
        <v>30.437714235478431</v>
      </c>
      <c r="V18" s="1231">
        <f t="shared" si="11"/>
        <v>1184970</v>
      </c>
      <c r="W18" s="1231">
        <f>+'3.면별급수현황'!D8</f>
        <v>66068</v>
      </c>
      <c r="X18" s="1232">
        <f t="shared" si="12"/>
        <v>3246.4931506849316</v>
      </c>
      <c r="Y18" s="1233">
        <f t="shared" si="13"/>
        <v>49.138662449066587</v>
      </c>
      <c r="Z18" s="1232"/>
    </row>
    <row r="19" spans="1:26" s="812" customFormat="1" ht="24.95" customHeight="1">
      <c r="A19" s="811" t="s">
        <v>979</v>
      </c>
      <c r="B19" s="37">
        <f t="shared" ref="B19:B27" si="14">+B6/B6</f>
        <v>1</v>
      </c>
      <c r="C19" s="36">
        <f t="shared" ref="C19:P19" si="15">+C6/$B6</f>
        <v>0.86576582467220708</v>
      </c>
      <c r="D19" s="36">
        <f t="shared" si="15"/>
        <v>0.67179775683075837</v>
      </c>
      <c r="E19" s="37">
        <f t="shared" si="15"/>
        <v>0.67179775683075837</v>
      </c>
      <c r="F19" s="37">
        <f t="shared" si="15"/>
        <v>0</v>
      </c>
      <c r="G19" s="37">
        <f t="shared" si="15"/>
        <v>0</v>
      </c>
      <c r="H19" s="37">
        <f t="shared" si="15"/>
        <v>0</v>
      </c>
      <c r="I19" s="36">
        <f t="shared" si="15"/>
        <v>0.19396806784144871</v>
      </c>
      <c r="J19" s="37">
        <f t="shared" si="15"/>
        <v>4.5694474348121301E-2</v>
      </c>
      <c r="K19" s="37">
        <f t="shared" si="15"/>
        <v>7.4198592642001904E-2</v>
      </c>
      <c r="L19" s="37">
        <f t="shared" si="15"/>
        <v>7.4075000851325498E-2</v>
      </c>
      <c r="M19" s="37">
        <f t="shared" si="15"/>
        <v>0</v>
      </c>
      <c r="N19" s="36">
        <f t="shared" si="15"/>
        <v>0.13423417532779294</v>
      </c>
      <c r="O19" s="37">
        <f t="shared" si="15"/>
        <v>1.4810343718996656E-3</v>
      </c>
      <c r="P19" s="37">
        <f t="shared" si="15"/>
        <v>0.1327531409558933</v>
      </c>
      <c r="T19" s="1234">
        <f t="shared" si="9"/>
        <v>20.775066950530832</v>
      </c>
      <c r="U19" s="1234">
        <f t="shared" si="10"/>
        <v>28.424927078037488</v>
      </c>
      <c r="V19" s="1231">
        <f t="shared" si="11"/>
        <v>1186449</v>
      </c>
      <c r="W19" s="1231">
        <f>+'3.면별급수현황'!D9</f>
        <v>66068</v>
      </c>
      <c r="X19" s="1232">
        <f t="shared" si="12"/>
        <v>3250.5452054794519</v>
      </c>
      <c r="Y19" s="1233">
        <f t="shared" si="13"/>
        <v>49.199994028568319</v>
      </c>
      <c r="Z19" s="1232"/>
    </row>
    <row r="20" spans="1:26" ht="24.95" customHeight="1">
      <c r="A20" s="48" t="s">
        <v>126</v>
      </c>
      <c r="B20" s="37">
        <f t="shared" si="14"/>
        <v>1</v>
      </c>
      <c r="C20" s="36">
        <f t="shared" ref="C20:P20" si="16">+C7/$B7</f>
        <v>0.87561551529928938</v>
      </c>
      <c r="D20" s="36">
        <f t="shared" si="16"/>
        <v>0.74291346058484742</v>
      </c>
      <c r="E20" s="37">
        <f t="shared" si="16"/>
        <v>0.74291346058484742</v>
      </c>
      <c r="F20" s="37">
        <f t="shared" si="16"/>
        <v>0</v>
      </c>
      <c r="G20" s="37">
        <f t="shared" si="16"/>
        <v>0</v>
      </c>
      <c r="H20" s="37">
        <f t="shared" si="16"/>
        <v>0</v>
      </c>
      <c r="I20" s="36">
        <f t="shared" si="16"/>
        <v>0.13270205471444202</v>
      </c>
      <c r="J20" s="37">
        <f t="shared" si="16"/>
        <v>4.4999943558446436E-2</v>
      </c>
      <c r="K20" s="37">
        <f t="shared" si="16"/>
        <v>1.3723360594603703E-2</v>
      </c>
      <c r="L20" s="37">
        <f t="shared" si="16"/>
        <v>7.3978750561391887E-2</v>
      </c>
      <c r="M20" s="37">
        <f t="shared" si="16"/>
        <v>0</v>
      </c>
      <c r="N20" s="36">
        <f t="shared" si="16"/>
        <v>0.1243844847007106</v>
      </c>
      <c r="O20" s="37">
        <f t="shared" si="16"/>
        <v>0</v>
      </c>
      <c r="P20" s="37">
        <f t="shared" si="16"/>
        <v>0.1243844847007106</v>
      </c>
      <c r="T20" s="1234">
        <f t="shared" si="9"/>
        <v>22.074299965545674</v>
      </c>
      <c r="U20" s="1234">
        <f t="shared" si="10"/>
        <v>36.304255062872144</v>
      </c>
      <c r="V20" s="1231">
        <f t="shared" si="11"/>
        <v>1563061</v>
      </c>
      <c r="W20" s="1231">
        <f>+'3.면별급수현황'!D10</f>
        <v>73355</v>
      </c>
      <c r="X20" s="1232">
        <f t="shared" si="12"/>
        <v>4282.3589041095893</v>
      </c>
      <c r="Y20" s="1233">
        <f t="shared" si="13"/>
        <v>58.378555028417821</v>
      </c>
      <c r="Z20" s="1232"/>
    </row>
    <row r="21" spans="1:26" ht="24.95" customHeight="1">
      <c r="A21" s="48" t="s">
        <v>127</v>
      </c>
      <c r="B21" s="37">
        <f t="shared" si="14"/>
        <v>1</v>
      </c>
      <c r="C21" s="36">
        <f t="shared" ref="C21:C27" si="17">+C8/$B8</f>
        <v>0.89492956844200011</v>
      </c>
      <c r="D21" s="36">
        <f t="shared" ref="D21:P21" si="18">+D8/$B8</f>
        <v>0.76310096229404301</v>
      </c>
      <c r="E21" s="37">
        <f t="shared" si="18"/>
        <v>0.76310096229404301</v>
      </c>
      <c r="F21" s="37">
        <f t="shared" si="18"/>
        <v>0</v>
      </c>
      <c r="G21" s="37">
        <f t="shared" si="18"/>
        <v>0</v>
      </c>
      <c r="H21" s="37">
        <f t="shared" si="18"/>
        <v>0</v>
      </c>
      <c r="I21" s="36">
        <f t="shared" si="18"/>
        <v>0.13182860614795702</v>
      </c>
      <c r="J21" s="37">
        <f t="shared" si="18"/>
        <v>4.4999921668983499E-2</v>
      </c>
      <c r="K21" s="37">
        <f t="shared" si="18"/>
        <v>1.3586689434882129E-2</v>
      </c>
      <c r="L21" s="37">
        <f t="shared" si="18"/>
        <v>7.3241995044091388E-2</v>
      </c>
      <c r="M21" s="37">
        <f t="shared" si="18"/>
        <v>0</v>
      </c>
      <c r="N21" s="36">
        <f t="shared" si="18"/>
        <v>0.10507043155799993</v>
      </c>
      <c r="O21" s="37">
        <f t="shared" si="18"/>
        <v>0</v>
      </c>
      <c r="P21" s="37">
        <f t="shared" si="18"/>
        <v>0.10507043155799993</v>
      </c>
      <c r="R21" s="432">
        <f>+J21+L21+M21</f>
        <v>0.11824191671307488</v>
      </c>
      <c r="T21" s="1234">
        <f t="shared" si="9"/>
        <v>22.378687730021614</v>
      </c>
      <c r="U21" s="1234">
        <f t="shared" si="10"/>
        <v>0</v>
      </c>
      <c r="V21" s="1231">
        <f t="shared" si="11"/>
        <v>628855</v>
      </c>
      <c r="W21" s="1231">
        <f>+'3.면별급수현황'!D11</f>
        <v>76988</v>
      </c>
      <c r="X21" s="1232">
        <f t="shared" si="12"/>
        <v>1722.8904109589041</v>
      </c>
      <c r="Y21" s="1233">
        <f t="shared" si="13"/>
        <v>22.378687730021614</v>
      </c>
      <c r="Z21" s="1232"/>
    </row>
    <row r="22" spans="1:26" ht="24.95" customHeight="1">
      <c r="A22" s="48" t="s">
        <v>128</v>
      </c>
      <c r="B22" s="37">
        <f t="shared" si="14"/>
        <v>1</v>
      </c>
      <c r="C22" s="36">
        <f t="shared" si="17"/>
        <v>0.8864624698532747</v>
      </c>
      <c r="D22" s="36">
        <f t="shared" ref="D22:P22" si="19">+D9/$B9</f>
        <v>0.76101894808700221</v>
      </c>
      <c r="E22" s="37">
        <f t="shared" si="19"/>
        <v>0.76101894808700221</v>
      </c>
      <c r="F22" s="37">
        <f t="shared" si="19"/>
        <v>0</v>
      </c>
      <c r="G22" s="37">
        <f t="shared" si="19"/>
        <v>0</v>
      </c>
      <c r="H22" s="37">
        <f t="shared" si="19"/>
        <v>0</v>
      </c>
      <c r="I22" s="36">
        <f t="shared" si="19"/>
        <v>0.12544352176627249</v>
      </c>
      <c r="J22" s="37">
        <f t="shared" si="19"/>
        <v>4.4999977544338703E-2</v>
      </c>
      <c r="K22" s="37">
        <f t="shared" si="19"/>
        <v>1.8873534206708852E-2</v>
      </c>
      <c r="L22" s="37">
        <f t="shared" si="19"/>
        <v>6.1570010015224941E-2</v>
      </c>
      <c r="M22" s="37">
        <f t="shared" si="19"/>
        <v>0</v>
      </c>
      <c r="N22" s="36">
        <f t="shared" si="19"/>
        <v>0.1135375301467253</v>
      </c>
      <c r="O22" s="37">
        <f t="shared" si="19"/>
        <v>0</v>
      </c>
      <c r="P22" s="37">
        <f t="shared" si="19"/>
        <v>0.1135375301467253</v>
      </c>
      <c r="R22" s="432">
        <f t="shared" ref="R22:R26" si="20">+J22+L22+M22</f>
        <v>0.10656998755956365</v>
      </c>
      <c r="T22" s="1234">
        <f t="shared" si="9"/>
        <v>38.120303328046219</v>
      </c>
      <c r="U22" s="1234">
        <f t="shared" si="10"/>
        <v>10.298527763251567</v>
      </c>
      <c r="V22" s="1231">
        <f t="shared" si="11"/>
        <v>1399020</v>
      </c>
      <c r="W22" s="1231">
        <f>+'3.면별급수현황'!D12</f>
        <v>79162</v>
      </c>
      <c r="X22" s="1232">
        <f t="shared" si="12"/>
        <v>3832.9315068493152</v>
      </c>
      <c r="Y22" s="1233">
        <f t="shared" si="13"/>
        <v>48.418831091297783</v>
      </c>
      <c r="Z22" s="1232"/>
    </row>
    <row r="23" spans="1:26" ht="24.95" customHeight="1">
      <c r="A23" s="48" t="s">
        <v>129</v>
      </c>
      <c r="B23" s="37">
        <f t="shared" si="14"/>
        <v>1</v>
      </c>
      <c r="C23" s="36">
        <f t="shared" si="17"/>
        <v>0.88493181997795511</v>
      </c>
      <c r="D23" s="36">
        <f t="shared" ref="D23:P23" si="21">+D10/$B10</f>
        <v>0.75097623732639107</v>
      </c>
      <c r="E23" s="37">
        <f t="shared" si="21"/>
        <v>0.75097623732639107</v>
      </c>
      <c r="F23" s="37">
        <f t="shared" si="21"/>
        <v>0</v>
      </c>
      <c r="G23" s="37">
        <f t="shared" si="21"/>
        <v>0</v>
      </c>
      <c r="H23" s="37">
        <f t="shared" si="21"/>
        <v>0</v>
      </c>
      <c r="I23" s="36">
        <f t="shared" si="21"/>
        <v>0.13395558265156404</v>
      </c>
      <c r="J23" s="37">
        <f t="shared" si="21"/>
        <v>4.5703635551262264E-2</v>
      </c>
      <c r="K23" s="37">
        <f t="shared" si="21"/>
        <v>1.3085964716109767E-2</v>
      </c>
      <c r="L23" s="37">
        <f t="shared" si="21"/>
        <v>7.5165982384192018E-2</v>
      </c>
      <c r="M23" s="37">
        <f t="shared" si="21"/>
        <v>0</v>
      </c>
      <c r="N23" s="36">
        <f t="shared" si="21"/>
        <v>0.11506818002204489</v>
      </c>
      <c r="O23" s="37">
        <f t="shared" si="21"/>
        <v>0</v>
      </c>
      <c r="P23" s="37">
        <f t="shared" si="21"/>
        <v>0.11506818002204489</v>
      </c>
      <c r="R23" s="432">
        <f t="shared" si="20"/>
        <v>0.12086961793545428</v>
      </c>
      <c r="T23" s="1234">
        <f t="shared" si="9"/>
        <v>22.499953353755242</v>
      </c>
      <c r="U23" s="1234">
        <f t="shared" si="10"/>
        <v>30.730389252328902</v>
      </c>
      <c r="V23" s="1231">
        <f t="shared" si="11"/>
        <v>1697460</v>
      </c>
      <c r="W23" s="1231">
        <f>+'3.면별급수현황'!D13</f>
        <v>87367</v>
      </c>
      <c r="X23" s="1232">
        <f t="shared" si="12"/>
        <v>4650.5753424657532</v>
      </c>
      <c r="Y23" s="1233">
        <f t="shared" si="13"/>
        <v>53.230342606084143</v>
      </c>
      <c r="Z23" s="1231">
        <f>+V23+V22</f>
        <v>3096480</v>
      </c>
    </row>
    <row r="24" spans="1:26" ht="24.95" customHeight="1">
      <c r="A24" s="48" t="s">
        <v>130</v>
      </c>
      <c r="B24" s="37">
        <f t="shared" si="14"/>
        <v>1</v>
      </c>
      <c r="C24" s="36">
        <f t="shared" si="17"/>
        <v>0.82752218172325609</v>
      </c>
      <c r="D24" s="36">
        <f t="shared" ref="D24:P24" si="22">+D11/$B11</f>
        <v>0.78252222179605124</v>
      </c>
      <c r="E24" s="37">
        <f t="shared" si="22"/>
        <v>0.78252222179605124</v>
      </c>
      <c r="F24" s="37">
        <f t="shared" si="22"/>
        <v>0</v>
      </c>
      <c r="G24" s="37">
        <f t="shared" si="22"/>
        <v>0</v>
      </c>
      <c r="H24" s="37">
        <f t="shared" si="22"/>
        <v>0</v>
      </c>
      <c r="I24" s="36">
        <f t="shared" si="22"/>
        <v>4.4999959927204902E-2</v>
      </c>
      <c r="J24" s="37">
        <f t="shared" si="22"/>
        <v>4.4999959927204902E-2</v>
      </c>
      <c r="K24" s="37">
        <f t="shared" si="22"/>
        <v>0</v>
      </c>
      <c r="L24" s="37">
        <f t="shared" si="22"/>
        <v>0</v>
      </c>
      <c r="M24" s="37">
        <f t="shared" si="22"/>
        <v>0</v>
      </c>
      <c r="N24" s="36">
        <f t="shared" si="22"/>
        <v>0.17247781827674386</v>
      </c>
      <c r="O24" s="37">
        <f t="shared" si="22"/>
        <v>0</v>
      </c>
      <c r="P24" s="37">
        <f t="shared" si="22"/>
        <v>0.17247781827674386</v>
      </c>
      <c r="R24" s="432">
        <f t="shared" si="20"/>
        <v>4.4999959927204902E-2</v>
      </c>
      <c r="T24" s="1234">
        <f t="shared" si="9"/>
        <v>24.637782579753253</v>
      </c>
      <c r="U24" s="1234">
        <f t="shared" si="10"/>
        <v>5.3750953183045583E-2</v>
      </c>
      <c r="V24" s="1231">
        <f t="shared" si="11"/>
        <v>785062</v>
      </c>
      <c r="W24" s="1231">
        <v>87109</v>
      </c>
      <c r="X24" s="1232">
        <f t="shared" si="12"/>
        <v>2150.8547945205478</v>
      </c>
      <c r="Y24" s="1233">
        <f t="shared" si="13"/>
        <v>24.691533532936297</v>
      </c>
      <c r="Z24" s="1231">
        <f>+W22+W23</f>
        <v>166529</v>
      </c>
    </row>
    <row r="25" spans="1:26" ht="24.95" customHeight="1">
      <c r="A25" s="48" t="s">
        <v>131</v>
      </c>
      <c r="B25" s="37">
        <f t="shared" si="14"/>
        <v>1</v>
      </c>
      <c r="C25" s="36">
        <f t="shared" si="17"/>
        <v>0.86357970040399235</v>
      </c>
      <c r="D25" s="36">
        <f t="shared" ref="D25:P25" si="23">+D12/$B12</f>
        <v>0.76797058370273985</v>
      </c>
      <c r="E25" s="37">
        <f t="shared" si="23"/>
        <v>0.76797058370273985</v>
      </c>
      <c r="F25" s="37">
        <f t="shared" si="23"/>
        <v>0</v>
      </c>
      <c r="G25" s="37">
        <f t="shared" si="23"/>
        <v>0</v>
      </c>
      <c r="H25" s="37">
        <f t="shared" si="23"/>
        <v>0</v>
      </c>
      <c r="I25" s="36">
        <f t="shared" si="23"/>
        <v>9.5609116701252439E-2</v>
      </c>
      <c r="J25" s="37">
        <f t="shared" si="23"/>
        <v>7.5273368799548684E-2</v>
      </c>
      <c r="K25" s="37">
        <f t="shared" si="23"/>
        <v>0</v>
      </c>
      <c r="L25" s="37">
        <f t="shared" si="23"/>
        <v>2.0335747901703751E-2</v>
      </c>
      <c r="M25" s="37">
        <f t="shared" si="23"/>
        <v>0</v>
      </c>
      <c r="N25" s="36">
        <f t="shared" si="23"/>
        <v>0.13642029959600771</v>
      </c>
      <c r="O25" s="37">
        <f t="shared" si="23"/>
        <v>0</v>
      </c>
      <c r="P25" s="37">
        <f t="shared" si="23"/>
        <v>0.13642029959600771</v>
      </c>
      <c r="R25" s="432">
        <f t="shared" si="20"/>
        <v>9.5609116701252439E-2</v>
      </c>
      <c r="S25" t="s">
        <v>1793</v>
      </c>
      <c r="T25" s="1233">
        <f>AVERAGE(T16:T24)</f>
        <v>23.087436162478969</v>
      </c>
      <c r="U25" s="1233">
        <f>AVERAGE(U16:U24)</f>
        <v>22.140239898278303</v>
      </c>
      <c r="V25" s="1231"/>
      <c r="W25" s="1232"/>
      <c r="X25" s="1232"/>
      <c r="Y25" s="1233">
        <f>AVERAGE(Y16:Y24)</f>
        <v>45.227676060757268</v>
      </c>
      <c r="Z25" s="1233">
        <f>+Z23/365/Z24*1000</f>
        <v>50.943120113103831</v>
      </c>
    </row>
    <row r="26" spans="1:26" ht="24.95" customHeight="1">
      <c r="A26" s="811" t="s">
        <v>875</v>
      </c>
      <c r="B26" s="37">
        <f t="shared" si="14"/>
        <v>1</v>
      </c>
      <c r="C26" s="36">
        <f t="shared" si="17"/>
        <v>0.86399999849477316</v>
      </c>
      <c r="D26" s="36">
        <f t="shared" ref="D26:P26" si="24">+D13/$B13</f>
        <v>0.75365119416855064</v>
      </c>
      <c r="E26" s="37">
        <f t="shared" si="24"/>
        <v>0.7411026200291374</v>
      </c>
      <c r="F26" s="37">
        <f t="shared" si="24"/>
        <v>0</v>
      </c>
      <c r="G26" s="37">
        <f t="shared" si="24"/>
        <v>0</v>
      </c>
      <c r="H26" s="37">
        <f t="shared" si="24"/>
        <v>1.2548574139413229E-2</v>
      </c>
      <c r="I26" s="36">
        <f t="shared" si="24"/>
        <v>0.11034880432622254</v>
      </c>
      <c r="J26" s="37">
        <f t="shared" si="24"/>
        <v>4.5000009721256458E-2</v>
      </c>
      <c r="K26" s="37">
        <f t="shared" si="24"/>
        <v>3.8878754043493906E-3</v>
      </c>
      <c r="L26" s="37">
        <f t="shared" si="24"/>
        <v>6.1460919200616693E-2</v>
      </c>
      <c r="M26" s="37">
        <f t="shared" si="24"/>
        <v>0</v>
      </c>
      <c r="N26" s="36">
        <f t="shared" si="24"/>
        <v>0.13600000150522681</v>
      </c>
      <c r="O26" s="37">
        <f t="shared" si="24"/>
        <v>0</v>
      </c>
      <c r="P26" s="37">
        <f t="shared" si="24"/>
        <v>0.13600000150522681</v>
      </c>
      <c r="R26" s="432">
        <f t="shared" si="20"/>
        <v>0.10646092892187314</v>
      </c>
    </row>
    <row r="27" spans="1:26" s="812" customFormat="1" ht="24.95" customHeight="1">
      <c r="A27" s="811" t="s">
        <v>957</v>
      </c>
      <c r="B27" s="37">
        <f t="shared" si="14"/>
        <v>1</v>
      </c>
      <c r="C27" s="36">
        <f t="shared" si="17"/>
        <v>0.79456851563071762</v>
      </c>
      <c r="D27" s="36">
        <f t="shared" ref="D27:P27" si="25">+D14/$B14</f>
        <v>0.74923767098475991</v>
      </c>
      <c r="E27" s="37">
        <f t="shared" si="25"/>
        <v>0.74923767098475991</v>
      </c>
      <c r="F27" s="37">
        <f t="shared" si="25"/>
        <v>0</v>
      </c>
      <c r="G27" s="37">
        <f t="shared" si="25"/>
        <v>0</v>
      </c>
      <c r="H27" s="37">
        <f t="shared" si="25"/>
        <v>0</v>
      </c>
      <c r="I27" s="36">
        <f t="shared" si="25"/>
        <v>4.5330844645957755E-2</v>
      </c>
      <c r="J27" s="37">
        <f t="shared" si="25"/>
        <v>4.5000016659162381E-2</v>
      </c>
      <c r="K27" s="37">
        <f t="shared" si="25"/>
        <v>2.326538195036052E-4</v>
      </c>
      <c r="L27" s="37">
        <f t="shared" si="25"/>
        <v>9.8174167291768219E-5</v>
      </c>
      <c r="M27" s="37">
        <f t="shared" si="25"/>
        <v>0</v>
      </c>
      <c r="N27" s="36">
        <f t="shared" si="25"/>
        <v>0.20543148436928238</v>
      </c>
      <c r="O27" s="37">
        <f t="shared" si="25"/>
        <v>9.7414164814723109E-3</v>
      </c>
      <c r="P27" s="37">
        <f t="shared" si="25"/>
        <v>0.19569006788781007</v>
      </c>
      <c r="R27" s="432">
        <f t="shared" ref="R27" si="26">+J27+L27+M27</f>
        <v>4.5098190826454151E-2</v>
      </c>
    </row>
    <row r="28" spans="1:26" ht="24.95" customHeight="1">
      <c r="A28" s="435" t="s">
        <v>956</v>
      </c>
      <c r="B28" s="50"/>
      <c r="C28" s="50"/>
      <c r="D28" s="50"/>
      <c r="E28" s="50"/>
      <c r="F28" s="50"/>
      <c r="G28" s="50"/>
      <c r="H28" s="50"/>
      <c r="I28" s="50"/>
      <c r="J28" s="40">
        <f>+J15/D12</f>
        <v>0.1244958058683405</v>
      </c>
      <c r="K28" s="50"/>
      <c r="L28" s="50"/>
      <c r="M28" s="50"/>
      <c r="N28" s="50"/>
      <c r="O28" s="50"/>
      <c r="P28" s="50"/>
    </row>
    <row r="29" spans="1:26" ht="24.95" customHeight="1">
      <c r="A29" s="1658" t="s">
        <v>132</v>
      </c>
      <c r="B29" s="1661" t="s">
        <v>98</v>
      </c>
      <c r="C29" s="1662" t="s">
        <v>99</v>
      </c>
      <c r="D29" s="35" t="s">
        <v>100</v>
      </c>
      <c r="E29" s="34"/>
      <c r="F29" s="34"/>
      <c r="G29" s="34"/>
      <c r="H29" s="34"/>
      <c r="I29" s="34"/>
      <c r="J29" s="34"/>
      <c r="K29" s="34"/>
      <c r="L29" s="34"/>
      <c r="M29" s="34"/>
      <c r="N29" s="1665" t="s">
        <v>101</v>
      </c>
      <c r="O29" s="34"/>
      <c r="P29" s="33"/>
    </row>
    <row r="30" spans="1:26" ht="24.95" customHeight="1">
      <c r="A30" s="1659"/>
      <c r="B30" s="1661"/>
      <c r="C30" s="1663"/>
      <c r="D30" s="1662" t="s">
        <v>102</v>
      </c>
      <c r="E30" s="1668" t="s">
        <v>100</v>
      </c>
      <c r="F30" s="1656"/>
      <c r="G30" s="1656"/>
      <c r="H30" s="1657"/>
      <c r="I30" s="1662" t="s">
        <v>103</v>
      </c>
      <c r="J30" s="1668" t="s">
        <v>100</v>
      </c>
      <c r="K30" s="1656"/>
      <c r="L30" s="1656"/>
      <c r="M30" s="1656"/>
      <c r="N30" s="1666"/>
      <c r="O30" s="1656" t="s">
        <v>100</v>
      </c>
      <c r="P30" s="1657"/>
    </row>
    <row r="31" spans="1:26" ht="24.95" customHeight="1">
      <c r="A31" s="1659"/>
      <c r="B31" s="1661"/>
      <c r="C31" s="1664"/>
      <c r="D31" s="1664"/>
      <c r="E31" s="32" t="s">
        <v>104</v>
      </c>
      <c r="F31" s="32" t="s">
        <v>105</v>
      </c>
      <c r="G31" s="32" t="s">
        <v>106</v>
      </c>
      <c r="H31" s="32" t="s">
        <v>107</v>
      </c>
      <c r="I31" s="1664"/>
      <c r="J31" s="32" t="s">
        <v>108</v>
      </c>
      <c r="K31" s="32" t="s">
        <v>109</v>
      </c>
      <c r="L31" s="32" t="s">
        <v>110</v>
      </c>
      <c r="M31" s="31" t="s">
        <v>111</v>
      </c>
      <c r="N31" s="1667"/>
      <c r="O31" s="30" t="s">
        <v>112</v>
      </c>
      <c r="P31" s="32" t="s">
        <v>113</v>
      </c>
    </row>
    <row r="32" spans="1:26" ht="24.95" customHeight="1">
      <c r="A32" s="1660"/>
      <c r="B32" s="49" t="s">
        <v>114</v>
      </c>
      <c r="C32" s="49" t="s">
        <v>114</v>
      </c>
      <c r="D32" s="49" t="s">
        <v>114</v>
      </c>
      <c r="E32" s="49" t="s">
        <v>114</v>
      </c>
      <c r="F32" s="49" t="s">
        <v>114</v>
      </c>
      <c r="G32" s="49" t="s">
        <v>114</v>
      </c>
      <c r="H32" s="49" t="s">
        <v>114</v>
      </c>
      <c r="I32" s="49" t="s">
        <v>114</v>
      </c>
      <c r="J32" s="49" t="s">
        <v>114</v>
      </c>
      <c r="K32" s="49" t="s">
        <v>114</v>
      </c>
      <c r="L32" s="49" t="s">
        <v>114</v>
      </c>
      <c r="M32" s="49" t="s">
        <v>114</v>
      </c>
      <c r="N32" s="49" t="s">
        <v>114</v>
      </c>
      <c r="O32" s="49" t="s">
        <v>114</v>
      </c>
      <c r="P32" s="49" t="s">
        <v>114</v>
      </c>
    </row>
    <row r="33" spans="1:16" s="812" customFormat="1" ht="24.95" customHeight="1">
      <c r="A33" s="811" t="s">
        <v>958</v>
      </c>
      <c r="B33" s="438">
        <v>9191549</v>
      </c>
      <c r="C33" s="438">
        <v>7957729</v>
      </c>
      <c r="D33" s="438">
        <v>6174862</v>
      </c>
      <c r="E33" s="438">
        <v>6174862</v>
      </c>
      <c r="F33" s="437">
        <v>0</v>
      </c>
      <c r="G33" s="437">
        <v>0</v>
      </c>
      <c r="H33" s="437">
        <v>0</v>
      </c>
      <c r="I33" s="438">
        <v>1782867</v>
      </c>
      <c r="J33" s="437">
        <v>420003</v>
      </c>
      <c r="K33" s="436">
        <v>682000</v>
      </c>
      <c r="L33" s="437">
        <v>680864</v>
      </c>
      <c r="M33" s="437">
        <v>0</v>
      </c>
      <c r="N33" s="438">
        <v>1233820</v>
      </c>
      <c r="O33" s="437">
        <v>13613</v>
      </c>
      <c r="P33" s="437">
        <v>1220207</v>
      </c>
    </row>
    <row r="34" spans="1:16" ht="24.95" customHeight="1">
      <c r="A34" s="48" t="s">
        <v>133</v>
      </c>
      <c r="B34" s="438">
        <v>9921768</v>
      </c>
      <c r="C34" s="438">
        <v>8687654</v>
      </c>
      <c r="D34" s="438">
        <v>7371015</v>
      </c>
      <c r="E34" s="438">
        <v>7371015</v>
      </c>
      <c r="F34" s="437">
        <v>0</v>
      </c>
      <c r="G34" s="437">
        <v>0</v>
      </c>
      <c r="H34" s="437">
        <v>0</v>
      </c>
      <c r="I34" s="438">
        <v>1316639</v>
      </c>
      <c r="J34" s="437">
        <v>446479</v>
      </c>
      <c r="K34" s="436">
        <v>136160</v>
      </c>
      <c r="L34" s="437">
        <v>734000</v>
      </c>
      <c r="M34" s="437">
        <v>0</v>
      </c>
      <c r="N34" s="438">
        <v>1234114</v>
      </c>
      <c r="O34" s="437">
        <v>0</v>
      </c>
      <c r="P34" s="437">
        <v>1234114</v>
      </c>
    </row>
    <row r="35" spans="1:16" ht="24.95" customHeight="1">
      <c r="A35" s="48" t="s">
        <v>127</v>
      </c>
      <c r="B35" s="438">
        <v>10021573</v>
      </c>
      <c r="C35" s="438">
        <v>8968602</v>
      </c>
      <c r="D35" s="438">
        <v>7647472</v>
      </c>
      <c r="E35" s="438">
        <v>7647472</v>
      </c>
      <c r="F35" s="438">
        <v>0</v>
      </c>
      <c r="G35" s="438">
        <v>0</v>
      </c>
      <c r="H35" s="438">
        <v>0</v>
      </c>
      <c r="I35" s="438">
        <v>1321130</v>
      </c>
      <c r="J35" s="438">
        <v>450970</v>
      </c>
      <c r="K35" s="438">
        <v>136160</v>
      </c>
      <c r="L35" s="438">
        <v>734000</v>
      </c>
      <c r="M35" s="438">
        <v>0</v>
      </c>
      <c r="N35" s="438">
        <v>1052971</v>
      </c>
      <c r="O35" s="438">
        <v>0</v>
      </c>
      <c r="P35" s="438">
        <v>1052971</v>
      </c>
    </row>
    <row r="36" spans="1:16" ht="24.95" customHeight="1">
      <c r="A36" s="48" t="s">
        <v>128</v>
      </c>
      <c r="B36" s="438">
        <v>11133050</v>
      </c>
      <c r="C36" s="438">
        <v>9869031</v>
      </c>
      <c r="D36" s="438">
        <v>8472462</v>
      </c>
      <c r="E36" s="438">
        <v>8472462</v>
      </c>
      <c r="F36" s="438">
        <v>0</v>
      </c>
      <c r="G36" s="438">
        <v>0</v>
      </c>
      <c r="H36" s="438">
        <v>0</v>
      </c>
      <c r="I36" s="438">
        <v>1396569</v>
      </c>
      <c r="J36" s="438">
        <v>500987</v>
      </c>
      <c r="K36" s="438">
        <v>210120</v>
      </c>
      <c r="L36" s="438">
        <v>685462</v>
      </c>
      <c r="M36" s="438">
        <v>0</v>
      </c>
      <c r="N36" s="438">
        <v>1264019</v>
      </c>
      <c r="O36" s="438">
        <v>0</v>
      </c>
      <c r="P36" s="438">
        <v>1264019</v>
      </c>
    </row>
    <row r="37" spans="1:16" ht="24.95" customHeight="1">
      <c r="A37" s="48" t="s">
        <v>129</v>
      </c>
      <c r="B37" s="438">
        <v>12931794</v>
      </c>
      <c r="C37" s="438">
        <v>11443756</v>
      </c>
      <c r="D37" s="438">
        <v>9711470</v>
      </c>
      <c r="E37" s="438">
        <v>9711470</v>
      </c>
      <c r="F37" s="438">
        <v>0</v>
      </c>
      <c r="G37" s="438">
        <v>0</v>
      </c>
      <c r="H37" s="438">
        <v>0</v>
      </c>
      <c r="I37" s="438">
        <v>1732286</v>
      </c>
      <c r="J37" s="438">
        <v>591030</v>
      </c>
      <c r="K37" s="438">
        <v>169225</v>
      </c>
      <c r="L37" s="438">
        <v>972031</v>
      </c>
      <c r="M37" s="438">
        <v>0</v>
      </c>
      <c r="N37" s="438">
        <v>1488038</v>
      </c>
      <c r="O37" s="438">
        <v>0</v>
      </c>
      <c r="P37" s="438">
        <v>1488038</v>
      </c>
    </row>
    <row r="38" spans="1:16" ht="24.95" customHeight="1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</row>
    <row r="39" spans="1:16" ht="24.95" customHeight="1">
      <c r="A39" s="50" t="s">
        <v>134</v>
      </c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</row>
    <row r="40" spans="1:16" ht="24.95" customHeight="1">
      <c r="A40" s="1669" t="s">
        <v>132</v>
      </c>
      <c r="B40" s="1661" t="s">
        <v>98</v>
      </c>
      <c r="C40" s="1661" t="s">
        <v>99</v>
      </c>
      <c r="D40" s="1670" t="s">
        <v>100</v>
      </c>
      <c r="E40" s="1671"/>
      <c r="F40" s="1671"/>
      <c r="G40" s="1671"/>
      <c r="H40" s="1671"/>
      <c r="I40" s="1671"/>
      <c r="J40" s="1671"/>
      <c r="K40" s="1672"/>
      <c r="L40" s="1661" t="s">
        <v>101</v>
      </c>
      <c r="M40" s="1661"/>
      <c r="N40" s="1661"/>
      <c r="O40" s="1661"/>
      <c r="P40" s="1661"/>
    </row>
    <row r="41" spans="1:16" ht="24.95" customHeight="1">
      <c r="A41" s="1669"/>
      <c r="B41" s="1661"/>
      <c r="C41" s="1661"/>
      <c r="D41" s="1661" t="s">
        <v>102</v>
      </c>
      <c r="E41" s="1661" t="s">
        <v>100</v>
      </c>
      <c r="F41" s="1661"/>
      <c r="G41" s="1661"/>
      <c r="H41" s="1661"/>
      <c r="I41" s="1661" t="s">
        <v>103</v>
      </c>
      <c r="J41" s="1661"/>
      <c r="K41" s="1661"/>
      <c r="L41" s="1661"/>
      <c r="M41" s="1661" t="s">
        <v>100</v>
      </c>
      <c r="N41" s="1661"/>
      <c r="O41" s="1661"/>
      <c r="P41" s="1661"/>
    </row>
    <row r="42" spans="1:16" ht="24.95" customHeight="1">
      <c r="A42" s="1669"/>
      <c r="B42" s="1661"/>
      <c r="C42" s="1661"/>
      <c r="D42" s="1661"/>
      <c r="E42" s="49" t="s">
        <v>104</v>
      </c>
      <c r="F42" s="49" t="s">
        <v>105</v>
      </c>
      <c r="G42" s="49" t="s">
        <v>106</v>
      </c>
      <c r="H42" s="49" t="s">
        <v>107</v>
      </c>
      <c r="I42" s="1661"/>
      <c r="J42" s="49" t="s">
        <v>110</v>
      </c>
      <c r="K42" s="49" t="s">
        <v>109</v>
      </c>
      <c r="L42" s="1661"/>
      <c r="M42" s="49" t="s">
        <v>111</v>
      </c>
      <c r="N42" s="49" t="s">
        <v>115</v>
      </c>
      <c r="O42" s="49" t="s">
        <v>112</v>
      </c>
      <c r="P42" s="49" t="s">
        <v>113</v>
      </c>
    </row>
    <row r="43" spans="1:16" ht="24.95" customHeight="1">
      <c r="A43" s="1669"/>
      <c r="B43" s="49" t="s">
        <v>114</v>
      </c>
      <c r="C43" s="49" t="s">
        <v>114</v>
      </c>
      <c r="D43" s="49" t="s">
        <v>114</v>
      </c>
      <c r="E43" s="49" t="s">
        <v>114</v>
      </c>
      <c r="F43" s="49" t="s">
        <v>114</v>
      </c>
      <c r="G43" s="49" t="s">
        <v>114</v>
      </c>
      <c r="H43" s="49" t="s">
        <v>114</v>
      </c>
      <c r="I43" s="49" t="s">
        <v>114</v>
      </c>
      <c r="J43" s="49" t="s">
        <v>114</v>
      </c>
      <c r="K43" s="49" t="s">
        <v>114</v>
      </c>
      <c r="L43" s="49" t="s">
        <v>114</v>
      </c>
      <c r="M43" s="49" t="s">
        <v>114</v>
      </c>
      <c r="N43" s="49" t="s">
        <v>114</v>
      </c>
      <c r="O43" s="49" t="s">
        <v>114</v>
      </c>
      <c r="P43" s="49" t="s">
        <v>114</v>
      </c>
    </row>
    <row r="44" spans="1:16" ht="24.95" customHeight="1">
      <c r="A44" s="48" t="s">
        <v>130</v>
      </c>
      <c r="B44" s="29">
        <v>13974568</v>
      </c>
      <c r="C44" s="29">
        <v>10935410</v>
      </c>
      <c r="D44" s="29">
        <v>10935410</v>
      </c>
      <c r="E44" s="29">
        <v>10935410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3039158</v>
      </c>
      <c r="M44" s="29">
        <v>0</v>
      </c>
      <c r="N44" s="29">
        <v>628855</v>
      </c>
      <c r="O44" s="29">
        <v>0</v>
      </c>
      <c r="P44" s="29">
        <v>2410303</v>
      </c>
    </row>
    <row r="45" spans="1:16" ht="24.95" customHeight="1">
      <c r="A45" s="48" t="s">
        <v>131</v>
      </c>
      <c r="B45" s="29">
        <v>14632705</v>
      </c>
      <c r="C45" s="29">
        <v>11535054</v>
      </c>
      <c r="D45" s="29">
        <v>11237487</v>
      </c>
      <c r="E45" s="29">
        <v>11237487</v>
      </c>
      <c r="F45" s="29">
        <v>0</v>
      </c>
      <c r="G45" s="29">
        <v>0</v>
      </c>
      <c r="H45" s="29">
        <v>0</v>
      </c>
      <c r="I45" s="29">
        <v>297567</v>
      </c>
      <c r="J45" s="29">
        <v>297567</v>
      </c>
      <c r="K45" s="29">
        <v>0</v>
      </c>
      <c r="L45" s="29">
        <v>3097651</v>
      </c>
      <c r="M45" s="29">
        <v>0</v>
      </c>
      <c r="N45" s="29">
        <v>1101453</v>
      </c>
      <c r="O45" s="29">
        <v>0</v>
      </c>
      <c r="P45" s="29">
        <v>1996198</v>
      </c>
    </row>
    <row r="47" spans="1:16" s="812" customFormat="1" ht="24.95" customHeight="1">
      <c r="A47" s="435" t="s">
        <v>876</v>
      </c>
      <c r="B47" s="50"/>
      <c r="C47" s="50"/>
      <c r="D47" s="50"/>
      <c r="E47" s="50"/>
      <c r="F47" s="50"/>
      <c r="G47" s="50"/>
      <c r="H47" s="50"/>
      <c r="I47" s="50"/>
      <c r="J47" s="40">
        <f>+J37/D36</f>
        <v>6.9758943740320115E-2</v>
      </c>
      <c r="K47" s="50"/>
      <c r="L47" s="50"/>
      <c r="M47" s="50"/>
      <c r="N47" s="50"/>
      <c r="O47" s="50"/>
      <c r="P47" s="50"/>
    </row>
    <row r="48" spans="1:16" s="812" customFormat="1" ht="24.95" customHeight="1">
      <c r="A48" s="1658" t="s">
        <v>125</v>
      </c>
      <c r="B48" s="1661" t="s">
        <v>98</v>
      </c>
      <c r="C48" s="1662" t="s">
        <v>99</v>
      </c>
      <c r="D48" s="35" t="s">
        <v>100</v>
      </c>
      <c r="E48" s="34"/>
      <c r="F48" s="34"/>
      <c r="G48" s="34"/>
      <c r="H48" s="34"/>
      <c r="I48" s="34"/>
      <c r="J48" s="34"/>
      <c r="K48" s="34"/>
      <c r="L48" s="34"/>
      <c r="M48" s="34"/>
      <c r="N48" s="1665" t="s">
        <v>101</v>
      </c>
      <c r="O48" s="34"/>
      <c r="P48" s="33"/>
    </row>
    <row r="49" spans="1:16" s="812" customFormat="1" ht="24.95" customHeight="1">
      <c r="A49" s="1659"/>
      <c r="B49" s="1661"/>
      <c r="C49" s="1663"/>
      <c r="D49" s="1662" t="s">
        <v>102</v>
      </c>
      <c r="E49" s="1668" t="s">
        <v>100</v>
      </c>
      <c r="F49" s="1656"/>
      <c r="G49" s="1656"/>
      <c r="H49" s="1657"/>
      <c r="I49" s="1662" t="s">
        <v>103</v>
      </c>
      <c r="J49" s="1668" t="s">
        <v>100</v>
      </c>
      <c r="K49" s="1656"/>
      <c r="L49" s="1656"/>
      <c r="M49" s="1656"/>
      <c r="N49" s="1666"/>
      <c r="O49" s="1656" t="s">
        <v>100</v>
      </c>
      <c r="P49" s="1657"/>
    </row>
    <row r="50" spans="1:16" s="812" customFormat="1" ht="24.95" customHeight="1">
      <c r="A50" s="1659"/>
      <c r="B50" s="1661"/>
      <c r="C50" s="1664"/>
      <c r="D50" s="1664"/>
      <c r="E50" s="790" t="s">
        <v>104</v>
      </c>
      <c r="F50" s="790" t="s">
        <v>105</v>
      </c>
      <c r="G50" s="790" t="s">
        <v>106</v>
      </c>
      <c r="H50" s="790" t="s">
        <v>107</v>
      </c>
      <c r="I50" s="1664"/>
      <c r="J50" s="790" t="s">
        <v>108</v>
      </c>
      <c r="K50" s="790" t="s">
        <v>109</v>
      </c>
      <c r="L50" s="790" t="s">
        <v>110</v>
      </c>
      <c r="M50" s="31" t="s">
        <v>111</v>
      </c>
      <c r="N50" s="1667"/>
      <c r="O50" s="30" t="s">
        <v>112</v>
      </c>
      <c r="P50" s="790" t="s">
        <v>113</v>
      </c>
    </row>
    <row r="51" spans="1:16" s="812" customFormat="1" ht="24.95" customHeight="1">
      <c r="A51" s="1660"/>
      <c r="B51" s="789" t="s">
        <v>114</v>
      </c>
      <c r="C51" s="789" t="s">
        <v>114</v>
      </c>
      <c r="D51" s="789" t="s">
        <v>114</v>
      </c>
      <c r="E51" s="789" t="s">
        <v>114</v>
      </c>
      <c r="F51" s="789" t="s">
        <v>114</v>
      </c>
      <c r="G51" s="789" t="s">
        <v>114</v>
      </c>
      <c r="H51" s="789" t="s">
        <v>114</v>
      </c>
      <c r="I51" s="789" t="s">
        <v>114</v>
      </c>
      <c r="J51" s="789" t="s">
        <v>114</v>
      </c>
      <c r="K51" s="789" t="s">
        <v>114</v>
      </c>
      <c r="L51" s="789" t="s">
        <v>114</v>
      </c>
      <c r="M51" s="789" t="s">
        <v>114</v>
      </c>
      <c r="N51" s="789" t="s">
        <v>114</v>
      </c>
      <c r="O51" s="789" t="s">
        <v>114</v>
      </c>
      <c r="P51" s="789" t="s">
        <v>114</v>
      </c>
    </row>
    <row r="52" spans="1:16" ht="25.5" customHeight="1">
      <c r="A52" s="811" t="s">
        <v>875</v>
      </c>
      <c r="B52" s="815">
        <v>15944441</v>
      </c>
      <c r="C52" s="815">
        <v>13775997</v>
      </c>
      <c r="D52" s="815">
        <v>12016547</v>
      </c>
      <c r="E52" s="814">
        <v>11816467</v>
      </c>
      <c r="F52" s="814">
        <v>0</v>
      </c>
      <c r="G52" s="814">
        <v>0</v>
      </c>
      <c r="H52" s="814">
        <v>200080</v>
      </c>
      <c r="I52" s="815">
        <v>1759450</v>
      </c>
      <c r="J52" s="814">
        <v>717500</v>
      </c>
      <c r="K52" s="814">
        <v>61990</v>
      </c>
      <c r="L52" s="814">
        <v>979960</v>
      </c>
      <c r="M52" s="814">
        <v>0</v>
      </c>
      <c r="N52" s="813">
        <v>2168444</v>
      </c>
      <c r="O52" s="814">
        <v>0</v>
      </c>
      <c r="P52" s="814">
        <v>2168444</v>
      </c>
    </row>
    <row r="53" spans="1:16" s="812" customFormat="1" ht="25.5" customHeight="1">
      <c r="A53" s="811" t="s">
        <v>957</v>
      </c>
      <c r="B53" s="815">
        <v>17407838</v>
      </c>
      <c r="C53" s="815">
        <v>13831720</v>
      </c>
      <c r="D53" s="815">
        <v>13042608</v>
      </c>
      <c r="E53" s="814">
        <v>13042608</v>
      </c>
      <c r="F53" s="814">
        <v>0</v>
      </c>
      <c r="G53" s="814">
        <v>0</v>
      </c>
      <c r="H53" s="814">
        <v>0</v>
      </c>
      <c r="I53" s="815">
        <v>789112</v>
      </c>
      <c r="J53" s="814">
        <v>783353</v>
      </c>
      <c r="K53" s="814">
        <v>4050</v>
      </c>
      <c r="L53" s="814">
        <v>1709</v>
      </c>
      <c r="M53" s="814">
        <v>0</v>
      </c>
      <c r="N53" s="813">
        <v>3576118</v>
      </c>
      <c r="O53" s="814">
        <v>169577</v>
      </c>
      <c r="P53" s="814">
        <v>3406541</v>
      </c>
    </row>
    <row r="75" spans="1:1">
      <c r="A75" s="28" t="s">
        <v>1941</v>
      </c>
    </row>
  </sheetData>
  <mergeCells count="51">
    <mergeCell ref="N29:N31"/>
    <mergeCell ref="D30:D31"/>
    <mergeCell ref="E30:H30"/>
    <mergeCell ref="O30:P30"/>
    <mergeCell ref="D40:K40"/>
    <mergeCell ref="L40:L42"/>
    <mergeCell ref="M40:P40"/>
    <mergeCell ref="D41:D42"/>
    <mergeCell ref="E41:H41"/>
    <mergeCell ref="I41:I42"/>
    <mergeCell ref="J41:K41"/>
    <mergeCell ref="M41:P41"/>
    <mergeCell ref="A40:A43"/>
    <mergeCell ref="B40:B42"/>
    <mergeCell ref="C40:C42"/>
    <mergeCell ref="I30:I31"/>
    <mergeCell ref="J30:M30"/>
    <mergeCell ref="A29:A32"/>
    <mergeCell ref="B29:B31"/>
    <mergeCell ref="C29:C31"/>
    <mergeCell ref="O2:P2"/>
    <mergeCell ref="J17:M17"/>
    <mergeCell ref="O17:P17"/>
    <mergeCell ref="A16:A18"/>
    <mergeCell ref="B16:B18"/>
    <mergeCell ref="C16:C18"/>
    <mergeCell ref="D16:M16"/>
    <mergeCell ref="A2:A5"/>
    <mergeCell ref="B2:B4"/>
    <mergeCell ref="C2:C4"/>
    <mergeCell ref="D2:M2"/>
    <mergeCell ref="N2:N4"/>
    <mergeCell ref="O3:P3"/>
    <mergeCell ref="N16:N18"/>
    <mergeCell ref="D3:D4"/>
    <mergeCell ref="E3:H3"/>
    <mergeCell ref="I3:I4"/>
    <mergeCell ref="J3:M3"/>
    <mergeCell ref="O16:P16"/>
    <mergeCell ref="D17:D18"/>
    <mergeCell ref="E17:H17"/>
    <mergeCell ref="I17:I18"/>
    <mergeCell ref="O49:P49"/>
    <mergeCell ref="A48:A51"/>
    <mergeCell ref="B48:B50"/>
    <mergeCell ref="C48:C50"/>
    <mergeCell ref="N48:N50"/>
    <mergeCell ref="D49:D50"/>
    <mergeCell ref="E49:H49"/>
    <mergeCell ref="I49:I50"/>
    <mergeCell ref="J49:M49"/>
  </mergeCells>
  <phoneticPr fontId="7" type="noConversion"/>
  <pageMargins left="0.7" right="0.7" top="0.75" bottom="0.75" header="0.3" footer="0.3"/>
  <pageSetup paperSize="9" scale="72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1157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1777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 t="e">
        <f>+'소이면(10년) (물)'!D8</f>
        <v>#DIV/0!</v>
      </c>
      <c r="E7" s="844"/>
      <c r="F7" s="206">
        <v>0</v>
      </c>
      <c r="G7" s="206"/>
      <c r="H7" s="207">
        <v>0</v>
      </c>
      <c r="I7" s="208"/>
      <c r="J7" s="209" t="s">
        <v>1158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 t="e">
        <f>+'소이면(10년) (물)'!D9</f>
        <v>#DIV/0!</v>
      </c>
      <c r="E8" s="844"/>
      <c r="F8" s="206" t="e">
        <f>D8-D7</f>
        <v>#DIV/0!</v>
      </c>
      <c r="G8" s="206"/>
      <c r="H8" s="207" t="e">
        <f>ROUND(F8/D7*100,2)</f>
        <v>#DIV/0!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 t="e">
        <f>+'소이면(10년) (물)'!D10</f>
        <v>#DIV/0!</v>
      </c>
      <c r="E9" s="844"/>
      <c r="F9" s="206" t="e">
        <f>D9-D8</f>
        <v>#DIV/0!</v>
      </c>
      <c r="G9" s="206"/>
      <c r="H9" s="207" t="e">
        <f>ROUND(F9/D8*100,2)</f>
        <v>#DIV/0!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 t="e">
        <f>+'소이면(10년) (물)'!D11</f>
        <v>#DIV/0!</v>
      </c>
      <c r="E10" s="844"/>
      <c r="F10" s="206" t="e">
        <f>D10-D9</f>
        <v>#DIV/0!</v>
      </c>
      <c r="G10" s="206"/>
      <c r="H10" s="207" t="e">
        <f>ROUND(F10/D9*100,2)</f>
        <v>#DIV/0!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 t="e">
        <f>+'소이면(10년) (물)'!D12</f>
        <v>#DIV/0!</v>
      </c>
      <c r="E11" s="844"/>
      <c r="F11" s="206" t="e">
        <f>D11-D10</f>
        <v>#DIV/0!</v>
      </c>
      <c r="G11" s="206"/>
      <c r="H11" s="207" t="e">
        <f>ROUND(F11/D10*100,2)</f>
        <v>#DIV/0!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1159</v>
      </c>
      <c r="C12" s="212"/>
      <c r="D12" s="213" t="e">
        <f>SUM(D7:D11)</f>
        <v>#DIV/0!</v>
      </c>
      <c r="E12" s="214"/>
      <c r="F12" s="215"/>
      <c r="G12" s="215"/>
      <c r="H12" s="216" t="e">
        <f>SUM(H7:H11)</f>
        <v>#DIV/0!</v>
      </c>
      <c r="I12" s="216"/>
      <c r="J12" s="217" t="e">
        <f>ROUND(AVERAGE(H7:H11),1)</f>
        <v>#DIV/0!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1203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1166</v>
      </c>
      <c r="D15" s="219" t="s">
        <v>1204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1205</v>
      </c>
      <c r="D16" s="219" t="s">
        <v>1206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1207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1208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1209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1173</v>
      </c>
      <c r="C20" s="202"/>
      <c r="D20" s="202" t="s">
        <v>1183</v>
      </c>
      <c r="E20" s="202"/>
      <c r="F20" s="202" t="s">
        <v>1184</v>
      </c>
      <c r="G20" s="202"/>
      <c r="H20" s="202" t="s">
        <v>1185</v>
      </c>
      <c r="I20" s="202"/>
      <c r="J20" s="202" t="s">
        <v>1178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 t="e">
        <f t="shared" ref="D21:D40" si="0">ROUND(E$41+H$41*(B21-$C$4),0)</f>
        <v>#DIV/0!</v>
      </c>
      <c r="E21" s="221"/>
      <c r="F21" s="221">
        <v>0</v>
      </c>
      <c r="G21" s="221"/>
      <c r="H21" s="221" t="e">
        <f t="shared" ref="H21:H40" si="1">ROUND(D21*(1+F21),0)</f>
        <v>#DIV/0!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 t="e">
        <f t="shared" si="0"/>
        <v>#DIV/0!</v>
      </c>
      <c r="E22" s="221"/>
      <c r="F22" s="221">
        <v>0</v>
      </c>
      <c r="G22" s="221"/>
      <c r="H22" s="221" t="e">
        <f t="shared" si="1"/>
        <v>#DIV/0!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 t="e">
        <f t="shared" si="0"/>
        <v>#DIV/0!</v>
      </c>
      <c r="E23" s="221"/>
      <c r="F23" s="221">
        <v>0</v>
      </c>
      <c r="G23" s="221"/>
      <c r="H23" s="221" t="e">
        <f t="shared" si="1"/>
        <v>#DIV/0!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 t="e">
        <f t="shared" si="0"/>
        <v>#DIV/0!</v>
      </c>
      <c r="E24" s="221"/>
      <c r="F24" s="221">
        <v>0</v>
      </c>
      <c r="G24" s="221"/>
      <c r="H24" s="221" t="e">
        <f t="shared" si="1"/>
        <v>#DIV/0!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 t="e">
        <f t="shared" si="0"/>
        <v>#DIV/0!</v>
      </c>
      <c r="E25" s="269"/>
      <c r="F25" s="269">
        <v>0</v>
      </c>
      <c r="G25" s="269"/>
      <c r="H25" s="269" t="e">
        <f t="shared" si="1"/>
        <v>#DIV/0!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 t="e">
        <f t="shared" si="0"/>
        <v>#DIV/0!</v>
      </c>
      <c r="E26" s="221"/>
      <c r="F26" s="221">
        <v>0</v>
      </c>
      <c r="G26" s="221"/>
      <c r="H26" s="221" t="e">
        <f t="shared" si="1"/>
        <v>#DIV/0!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 t="e">
        <f t="shared" si="0"/>
        <v>#DIV/0!</v>
      </c>
      <c r="E27" s="221"/>
      <c r="F27" s="221">
        <v>0</v>
      </c>
      <c r="G27" s="221"/>
      <c r="H27" s="221" t="e">
        <f t="shared" si="1"/>
        <v>#DIV/0!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 t="e">
        <f t="shared" si="0"/>
        <v>#DIV/0!</v>
      </c>
      <c r="E28" s="221"/>
      <c r="F28" s="221">
        <v>0</v>
      </c>
      <c r="G28" s="221"/>
      <c r="H28" s="221" t="e">
        <f t="shared" si="1"/>
        <v>#DIV/0!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 t="e">
        <f t="shared" si="0"/>
        <v>#DIV/0!</v>
      </c>
      <c r="E29" s="221"/>
      <c r="F29" s="221">
        <v>0</v>
      </c>
      <c r="G29" s="221"/>
      <c r="H29" s="221" t="e">
        <f t="shared" si="1"/>
        <v>#DIV/0!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 t="e">
        <f t="shared" si="0"/>
        <v>#DIV/0!</v>
      </c>
      <c r="E30" s="269"/>
      <c r="F30" s="269">
        <v>0</v>
      </c>
      <c r="G30" s="269"/>
      <c r="H30" s="269" t="e">
        <f t="shared" si="1"/>
        <v>#DIV/0!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 t="e">
        <f t="shared" si="0"/>
        <v>#DIV/0!</v>
      </c>
      <c r="E31" s="221"/>
      <c r="F31" s="221">
        <v>0</v>
      </c>
      <c r="G31" s="221"/>
      <c r="H31" s="221" t="e">
        <f t="shared" si="1"/>
        <v>#DIV/0!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 t="e">
        <f t="shared" si="0"/>
        <v>#DIV/0!</v>
      </c>
      <c r="E32" s="221"/>
      <c r="F32" s="221">
        <v>0</v>
      </c>
      <c r="G32" s="221"/>
      <c r="H32" s="221" t="e">
        <f t="shared" si="1"/>
        <v>#DIV/0!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 t="e">
        <f t="shared" si="0"/>
        <v>#DIV/0!</v>
      </c>
      <c r="E33" s="221"/>
      <c r="F33" s="221">
        <v>0</v>
      </c>
      <c r="G33" s="221"/>
      <c r="H33" s="221" t="e">
        <f t="shared" si="1"/>
        <v>#DIV/0!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 t="e">
        <f t="shared" si="0"/>
        <v>#DIV/0!</v>
      </c>
      <c r="E34" s="221"/>
      <c r="F34" s="221">
        <v>0</v>
      </c>
      <c r="G34" s="221"/>
      <c r="H34" s="221" t="e">
        <f t="shared" si="1"/>
        <v>#DIV/0!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 t="e">
        <f t="shared" si="0"/>
        <v>#DIV/0!</v>
      </c>
      <c r="E35" s="269"/>
      <c r="F35" s="269">
        <v>0</v>
      </c>
      <c r="G35" s="269"/>
      <c r="H35" s="269" t="e">
        <f t="shared" si="1"/>
        <v>#DIV/0!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 t="e">
        <f t="shared" si="0"/>
        <v>#DIV/0!</v>
      </c>
      <c r="E36" s="221"/>
      <c r="F36" s="221">
        <v>0</v>
      </c>
      <c r="G36" s="221"/>
      <c r="H36" s="221" t="e">
        <f t="shared" si="1"/>
        <v>#DIV/0!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 t="e">
        <f t="shared" si="0"/>
        <v>#DIV/0!</v>
      </c>
      <c r="E37" s="221"/>
      <c r="F37" s="221">
        <v>0</v>
      </c>
      <c r="G37" s="221"/>
      <c r="H37" s="221" t="e">
        <f t="shared" si="1"/>
        <v>#DIV/0!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 t="e">
        <f t="shared" si="0"/>
        <v>#DIV/0!</v>
      </c>
      <c r="E38" s="221"/>
      <c r="F38" s="221">
        <v>0</v>
      </c>
      <c r="G38" s="221"/>
      <c r="H38" s="221" t="e">
        <f t="shared" si="1"/>
        <v>#DIV/0!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 t="e">
        <f t="shared" si="0"/>
        <v>#DIV/0!</v>
      </c>
      <c r="E39" s="221"/>
      <c r="F39" s="221">
        <v>0</v>
      </c>
      <c r="G39" s="221"/>
      <c r="H39" s="221" t="e">
        <f t="shared" si="1"/>
        <v>#DIV/0!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 t="e">
        <f t="shared" si="0"/>
        <v>#DIV/0!</v>
      </c>
      <c r="E40" s="269"/>
      <c r="F40" s="269">
        <v>0</v>
      </c>
      <c r="G40" s="269"/>
      <c r="H40" s="269" t="e">
        <f t="shared" si="1"/>
        <v>#DIV/0!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 t="e">
        <f>D$11</f>
        <v>#DIV/0!</v>
      </c>
      <c r="F41" s="226"/>
      <c r="G41" s="224" t="s">
        <v>1196</v>
      </c>
      <c r="H41" s="224" t="e">
        <f>ROUND((D$11-D$7)/(COUNT(D$7:D$11)-1),1)</f>
        <v>#DIV/0!</v>
      </c>
      <c r="I41" s="224"/>
      <c r="J41" s="224" t="s">
        <v>1163</v>
      </c>
      <c r="K41" s="227" t="s">
        <v>1164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1210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1166</v>
      </c>
      <c r="D46" s="219" t="s">
        <v>1211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1205</v>
      </c>
      <c r="D47" s="219" t="s">
        <v>1206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1207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1212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1213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1173</v>
      </c>
      <c r="C52" s="202"/>
      <c r="D52" s="202" t="s">
        <v>1183</v>
      </c>
      <c r="E52" s="202"/>
      <c r="F52" s="202" t="s">
        <v>1184</v>
      </c>
      <c r="G52" s="202"/>
      <c r="H52" s="202" t="s">
        <v>1185</v>
      </c>
      <c r="I52" s="202"/>
      <c r="J52" s="202" t="s">
        <v>1178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 t="e">
        <f t="shared" ref="D53:D72" si="2">ROUND(E$73*H$73^(B53-$C$4),0)</f>
        <v>#DIV/0!</v>
      </c>
      <c r="E53" s="221"/>
      <c r="F53" s="221">
        <v>0</v>
      </c>
      <c r="G53" s="221"/>
      <c r="H53" s="221" t="e">
        <f t="shared" ref="H53:H72" si="3">ROUND(D53*(1+F53),0)</f>
        <v>#DIV/0!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 t="e">
        <f t="shared" si="2"/>
        <v>#DIV/0!</v>
      </c>
      <c r="E54" s="221"/>
      <c r="F54" s="221">
        <v>0</v>
      </c>
      <c r="G54" s="221"/>
      <c r="H54" s="221" t="e">
        <f t="shared" si="3"/>
        <v>#DIV/0!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 t="e">
        <f t="shared" si="2"/>
        <v>#DIV/0!</v>
      </c>
      <c r="E55" s="221"/>
      <c r="F55" s="221">
        <v>0</v>
      </c>
      <c r="G55" s="221"/>
      <c r="H55" s="221" t="e">
        <f t="shared" si="3"/>
        <v>#DIV/0!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 t="e">
        <f t="shared" si="2"/>
        <v>#DIV/0!</v>
      </c>
      <c r="E56" s="221"/>
      <c r="F56" s="221">
        <v>0</v>
      </c>
      <c r="G56" s="221"/>
      <c r="H56" s="221" t="e">
        <f t="shared" si="3"/>
        <v>#DIV/0!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 t="e">
        <f t="shared" si="2"/>
        <v>#DIV/0!</v>
      </c>
      <c r="E57" s="269"/>
      <c r="F57" s="269">
        <v>0</v>
      </c>
      <c r="G57" s="269"/>
      <c r="H57" s="269" t="e">
        <f t="shared" si="3"/>
        <v>#DIV/0!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 t="e">
        <f t="shared" si="2"/>
        <v>#DIV/0!</v>
      </c>
      <c r="E58" s="221"/>
      <c r="F58" s="221">
        <v>0</v>
      </c>
      <c r="G58" s="221"/>
      <c r="H58" s="221" t="e">
        <f t="shared" si="3"/>
        <v>#DIV/0!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 t="e">
        <f t="shared" si="2"/>
        <v>#DIV/0!</v>
      </c>
      <c r="E59" s="221"/>
      <c r="F59" s="221">
        <v>0</v>
      </c>
      <c r="G59" s="221"/>
      <c r="H59" s="221" t="e">
        <f t="shared" si="3"/>
        <v>#DIV/0!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 t="e">
        <f t="shared" si="2"/>
        <v>#DIV/0!</v>
      </c>
      <c r="E60" s="221"/>
      <c r="F60" s="221">
        <v>0</v>
      </c>
      <c r="G60" s="221"/>
      <c r="H60" s="221" t="e">
        <f t="shared" si="3"/>
        <v>#DIV/0!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 t="e">
        <f t="shared" si="2"/>
        <v>#DIV/0!</v>
      </c>
      <c r="E61" s="221"/>
      <c r="F61" s="221">
        <v>0</v>
      </c>
      <c r="G61" s="221"/>
      <c r="H61" s="221" t="e">
        <f t="shared" si="3"/>
        <v>#DIV/0!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 t="e">
        <f t="shared" si="2"/>
        <v>#DIV/0!</v>
      </c>
      <c r="E62" s="269"/>
      <c r="F62" s="269">
        <v>0</v>
      </c>
      <c r="G62" s="269"/>
      <c r="H62" s="269" t="e">
        <f t="shared" si="3"/>
        <v>#DIV/0!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 t="e">
        <f t="shared" si="2"/>
        <v>#DIV/0!</v>
      </c>
      <c r="E63" s="221"/>
      <c r="F63" s="221">
        <v>0</v>
      </c>
      <c r="G63" s="221"/>
      <c r="H63" s="221" t="e">
        <f t="shared" si="3"/>
        <v>#DIV/0!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 t="e">
        <f t="shared" si="2"/>
        <v>#DIV/0!</v>
      </c>
      <c r="E64" s="221"/>
      <c r="F64" s="221">
        <v>0</v>
      </c>
      <c r="G64" s="221"/>
      <c r="H64" s="221" t="e">
        <f t="shared" si="3"/>
        <v>#DIV/0!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 t="e">
        <f t="shared" si="2"/>
        <v>#DIV/0!</v>
      </c>
      <c r="E65" s="221"/>
      <c r="F65" s="221">
        <v>0</v>
      </c>
      <c r="G65" s="221"/>
      <c r="H65" s="221" t="e">
        <f t="shared" si="3"/>
        <v>#DIV/0!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 t="e">
        <f t="shared" si="2"/>
        <v>#DIV/0!</v>
      </c>
      <c r="E66" s="221"/>
      <c r="F66" s="221">
        <v>0</v>
      </c>
      <c r="G66" s="221"/>
      <c r="H66" s="221" t="e">
        <f t="shared" si="3"/>
        <v>#DIV/0!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 t="e">
        <f t="shared" si="2"/>
        <v>#DIV/0!</v>
      </c>
      <c r="E67" s="269"/>
      <c r="F67" s="269">
        <v>0</v>
      </c>
      <c r="G67" s="269"/>
      <c r="H67" s="269" t="e">
        <f t="shared" si="3"/>
        <v>#DIV/0!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 t="e">
        <f t="shared" si="2"/>
        <v>#DIV/0!</v>
      </c>
      <c r="E68" s="221"/>
      <c r="F68" s="221">
        <v>0</v>
      </c>
      <c r="G68" s="221"/>
      <c r="H68" s="221" t="e">
        <f t="shared" si="3"/>
        <v>#DIV/0!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 t="e">
        <f t="shared" si="2"/>
        <v>#DIV/0!</v>
      </c>
      <c r="E69" s="221"/>
      <c r="F69" s="221">
        <v>0</v>
      </c>
      <c r="G69" s="221"/>
      <c r="H69" s="221" t="e">
        <f t="shared" si="3"/>
        <v>#DIV/0!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 t="e">
        <f t="shared" si="2"/>
        <v>#DIV/0!</v>
      </c>
      <c r="E70" s="221"/>
      <c r="F70" s="221">
        <v>0</v>
      </c>
      <c r="G70" s="221"/>
      <c r="H70" s="221" t="e">
        <f t="shared" si="3"/>
        <v>#DIV/0!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 t="e">
        <f t="shared" si="2"/>
        <v>#DIV/0!</v>
      </c>
      <c r="E71" s="221"/>
      <c r="F71" s="221">
        <v>0</v>
      </c>
      <c r="G71" s="221"/>
      <c r="H71" s="221" t="e">
        <f t="shared" si="3"/>
        <v>#DIV/0!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 t="e">
        <f t="shared" si="2"/>
        <v>#DIV/0!</v>
      </c>
      <c r="E72" s="269"/>
      <c r="F72" s="269">
        <v>0</v>
      </c>
      <c r="G72" s="269"/>
      <c r="H72" s="269" t="e">
        <f t="shared" si="3"/>
        <v>#DIV/0!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1214</v>
      </c>
      <c r="C73" s="223"/>
      <c r="D73" s="224" t="s">
        <v>1215</v>
      </c>
      <c r="E73" s="225" t="e">
        <f>D$11</f>
        <v>#DIV/0!</v>
      </c>
      <c r="F73" s="226"/>
      <c r="G73" s="224" t="s">
        <v>1162</v>
      </c>
      <c r="H73" s="224" t="e">
        <f>ROUND((E$73/D$7)^(1/(COUNT(D$7:D$11)-1)),6)</f>
        <v>#DIV/0!</v>
      </c>
      <c r="I73" s="224"/>
      <c r="J73" s="224" t="s">
        <v>1163</v>
      </c>
      <c r="K73" s="227" t="s">
        <v>1164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1165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1166</v>
      </c>
      <c r="D84" s="219" t="s">
        <v>1167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1168</v>
      </c>
      <c r="D85" s="219" t="s">
        <v>1169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1170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1171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1172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1173</v>
      </c>
      <c r="C89" s="202"/>
      <c r="D89" s="202" t="s">
        <v>1174</v>
      </c>
      <c r="E89" s="202" t="s">
        <v>1175</v>
      </c>
      <c r="F89" s="202" t="s">
        <v>1176</v>
      </c>
      <c r="G89" s="202"/>
      <c r="H89" s="202" t="s">
        <v>1177</v>
      </c>
      <c r="I89" s="202"/>
      <c r="J89" s="202" t="s">
        <v>1178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 t="e">
        <f>VLOOKUP(B90,B$7:E$11,3,FALSE)</f>
        <v>#DIV/0!</v>
      </c>
      <c r="E90" s="840">
        <f>((COUNT(B$90:B$94)-1)/2)+(B90-$C$4)</f>
        <v>-2</v>
      </c>
      <c r="F90" s="208">
        <f>E90^2</f>
        <v>4</v>
      </c>
      <c r="G90" s="206"/>
      <c r="H90" s="230" t="e">
        <f>ROUND(D90*E90,2)</f>
        <v>#DIV/0!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 t="e">
        <f>VLOOKUP(B91,B$7:E$11,3,FALSE)</f>
        <v>#DIV/0!</v>
      </c>
      <c r="E91" s="840">
        <f>((COUNT(B$90:B$94)-1)/2)+(B91-$C$4)</f>
        <v>-1</v>
      </c>
      <c r="F91" s="208">
        <f>E91^2</f>
        <v>1</v>
      </c>
      <c r="G91" s="206"/>
      <c r="H91" s="230" t="e">
        <f>ROUND(D91*E91,2)</f>
        <v>#DIV/0!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 t="e">
        <f>VLOOKUP(B92,B$7:E$11,3,FALSE)</f>
        <v>#DIV/0!</v>
      </c>
      <c r="E92" s="840">
        <f>((COUNT(B$90:B$94)-1)/2)+(B92-$C$4)</f>
        <v>0</v>
      </c>
      <c r="F92" s="208">
        <f>E92^2</f>
        <v>0</v>
      </c>
      <c r="G92" s="206"/>
      <c r="H92" s="230" t="e">
        <f>ROUND(D92*E92,2)</f>
        <v>#DIV/0!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 t="e">
        <f>VLOOKUP(B93,B$7:E$11,3,FALSE)</f>
        <v>#DIV/0!</v>
      </c>
      <c r="E93" s="840">
        <f>((COUNT(B$90:B$94)-1)/2)+(B93-$C$4)</f>
        <v>1</v>
      </c>
      <c r="F93" s="208">
        <f>E93^2</f>
        <v>1</v>
      </c>
      <c r="G93" s="206"/>
      <c r="H93" s="230" t="e">
        <f>ROUND(D93*E93,2)</f>
        <v>#DIV/0!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 t="e">
        <f>VLOOKUP(B94,B$7:E$11,3,FALSE)</f>
        <v>#DIV/0!</v>
      </c>
      <c r="E94" s="840">
        <f>((COUNT(B$90:B$94)-1)/2)+(B94-$C$4)</f>
        <v>2</v>
      </c>
      <c r="F94" s="208">
        <f>E94^2</f>
        <v>4</v>
      </c>
      <c r="G94" s="206"/>
      <c r="H94" s="230" t="e">
        <f>ROUND(D94*E94,2)</f>
        <v>#DIV/0!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 t="e">
        <f>SUM(D90:D94)</f>
        <v>#DIV/0!</v>
      </c>
      <c r="E95" s="215"/>
      <c r="F95" s="233">
        <f>ROUND(SUM(F90:F94),0)</f>
        <v>10</v>
      </c>
      <c r="G95" s="212"/>
      <c r="H95" s="211" t="e">
        <f>SUM(H90:H94)</f>
        <v>#DIV/0!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 t="e">
        <f>((COUNT(B$90:B$94))*H$95-D$95*E$95)/((COUNT(B$90:B$94))*F$95-E$95*E$95)</f>
        <v>#DIV/0!</v>
      </c>
      <c r="H96" s="236" t="s">
        <v>199</v>
      </c>
      <c r="I96" s="201"/>
      <c r="J96" s="201"/>
      <c r="K96" s="201" t="e">
        <f>ROUND((F95*D95-H95*E95)/(COUNT(B$90:B$94)*F95-E95*E95),0)</f>
        <v>#DIV/0!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 t="e">
        <f t="shared" ref="D101:D120" si="4">ROUNDUP(G$96*(B101-B$94+E$94)+K$96,0)</f>
        <v>#DIV/0!</v>
      </c>
      <c r="E101" s="221"/>
      <c r="F101" s="221">
        <v>0</v>
      </c>
      <c r="G101" s="221"/>
      <c r="H101" s="221" t="e">
        <f t="shared" ref="H101:H120" si="5">ROUND(D101*(1+F101),0)</f>
        <v>#DIV/0!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 t="e">
        <f t="shared" si="4"/>
        <v>#DIV/0!</v>
      </c>
      <c r="E102" s="221"/>
      <c r="F102" s="221">
        <v>0</v>
      </c>
      <c r="G102" s="221"/>
      <c r="H102" s="221" t="e">
        <f t="shared" si="5"/>
        <v>#DIV/0!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 t="e">
        <f t="shared" si="4"/>
        <v>#DIV/0!</v>
      </c>
      <c r="E103" s="221"/>
      <c r="F103" s="221">
        <v>0</v>
      </c>
      <c r="G103" s="221"/>
      <c r="H103" s="221" t="e">
        <f t="shared" si="5"/>
        <v>#DIV/0!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 t="e">
        <f t="shared" si="4"/>
        <v>#DIV/0!</v>
      </c>
      <c r="E104" s="221"/>
      <c r="F104" s="221">
        <v>0</v>
      </c>
      <c r="G104" s="221"/>
      <c r="H104" s="221" t="e">
        <f t="shared" si="5"/>
        <v>#DIV/0!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 t="e">
        <f t="shared" si="4"/>
        <v>#DIV/0!</v>
      </c>
      <c r="E105" s="269"/>
      <c r="F105" s="269">
        <v>0</v>
      </c>
      <c r="G105" s="269"/>
      <c r="H105" s="269" t="e">
        <f t="shared" si="5"/>
        <v>#DIV/0!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 t="e">
        <f t="shared" si="4"/>
        <v>#DIV/0!</v>
      </c>
      <c r="E106" s="221"/>
      <c r="F106" s="221">
        <v>0</v>
      </c>
      <c r="G106" s="221"/>
      <c r="H106" s="221" t="e">
        <f t="shared" si="5"/>
        <v>#DIV/0!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 t="e">
        <f t="shared" si="4"/>
        <v>#DIV/0!</v>
      </c>
      <c r="E107" s="221"/>
      <c r="F107" s="221">
        <v>0</v>
      </c>
      <c r="G107" s="221"/>
      <c r="H107" s="221" t="e">
        <f t="shared" si="5"/>
        <v>#DIV/0!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 t="e">
        <f t="shared" si="4"/>
        <v>#DIV/0!</v>
      </c>
      <c r="E108" s="221"/>
      <c r="F108" s="221">
        <v>0</v>
      </c>
      <c r="G108" s="221"/>
      <c r="H108" s="221" t="e">
        <f t="shared" si="5"/>
        <v>#DIV/0!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 t="e">
        <f t="shared" si="4"/>
        <v>#DIV/0!</v>
      </c>
      <c r="E109" s="221"/>
      <c r="F109" s="221">
        <v>0</v>
      </c>
      <c r="G109" s="221"/>
      <c r="H109" s="221" t="e">
        <f t="shared" si="5"/>
        <v>#DIV/0!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 t="e">
        <f t="shared" si="4"/>
        <v>#DIV/0!</v>
      </c>
      <c r="E110" s="269"/>
      <c r="F110" s="269">
        <v>0</v>
      </c>
      <c r="G110" s="269"/>
      <c r="H110" s="269" t="e">
        <f t="shared" si="5"/>
        <v>#DIV/0!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 t="e">
        <f t="shared" si="4"/>
        <v>#DIV/0!</v>
      </c>
      <c r="E111" s="221"/>
      <c r="F111" s="221">
        <v>0</v>
      </c>
      <c r="G111" s="221"/>
      <c r="H111" s="221" t="e">
        <f t="shared" si="5"/>
        <v>#DIV/0!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 t="e">
        <f t="shared" si="4"/>
        <v>#DIV/0!</v>
      </c>
      <c r="E112" s="221"/>
      <c r="F112" s="221">
        <v>0</v>
      </c>
      <c r="G112" s="221"/>
      <c r="H112" s="221" t="e">
        <f t="shared" si="5"/>
        <v>#DIV/0!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 t="e">
        <f t="shared" si="4"/>
        <v>#DIV/0!</v>
      </c>
      <c r="E113" s="221"/>
      <c r="F113" s="221">
        <v>0</v>
      </c>
      <c r="G113" s="221"/>
      <c r="H113" s="221" t="e">
        <f t="shared" si="5"/>
        <v>#DIV/0!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 t="e">
        <f t="shared" si="4"/>
        <v>#DIV/0!</v>
      </c>
      <c r="E114" s="221"/>
      <c r="F114" s="221">
        <v>0</v>
      </c>
      <c r="G114" s="221"/>
      <c r="H114" s="221" t="e">
        <f t="shared" si="5"/>
        <v>#DIV/0!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 t="e">
        <f t="shared" si="4"/>
        <v>#DIV/0!</v>
      </c>
      <c r="E115" s="269"/>
      <c r="F115" s="269">
        <v>0</v>
      </c>
      <c r="G115" s="269"/>
      <c r="H115" s="269" t="e">
        <f t="shared" si="5"/>
        <v>#DIV/0!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 t="e">
        <f t="shared" si="4"/>
        <v>#DIV/0!</v>
      </c>
      <c r="E116" s="221"/>
      <c r="F116" s="221">
        <v>0</v>
      </c>
      <c r="G116" s="221"/>
      <c r="H116" s="221" t="e">
        <f t="shared" si="5"/>
        <v>#DIV/0!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 t="e">
        <f t="shared" si="4"/>
        <v>#DIV/0!</v>
      </c>
      <c r="E117" s="221"/>
      <c r="F117" s="221">
        <v>0</v>
      </c>
      <c r="G117" s="221"/>
      <c r="H117" s="221" t="e">
        <f t="shared" si="5"/>
        <v>#DIV/0!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 t="e">
        <f t="shared" si="4"/>
        <v>#DIV/0!</v>
      </c>
      <c r="E118" s="221"/>
      <c r="F118" s="221">
        <v>0</v>
      </c>
      <c r="G118" s="221"/>
      <c r="H118" s="221" t="e">
        <f t="shared" si="5"/>
        <v>#DIV/0!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 t="e">
        <f t="shared" si="4"/>
        <v>#DIV/0!</v>
      </c>
      <c r="E119" s="221"/>
      <c r="F119" s="221">
        <v>0</v>
      </c>
      <c r="G119" s="221"/>
      <c r="H119" s="221" t="e">
        <f t="shared" si="5"/>
        <v>#DIV/0!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 t="e">
        <f t="shared" si="4"/>
        <v>#DIV/0!</v>
      </c>
      <c r="E120" s="269"/>
      <c r="F120" s="269">
        <v>0</v>
      </c>
      <c r="G120" s="269"/>
      <c r="H120" s="269" t="e">
        <f t="shared" si="5"/>
        <v>#DIV/0!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 t="e">
        <f>VLOOKUP(B130,B$7:E$11,3,FALSE)</f>
        <v>#DIV/0!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 t="e">
        <f>IF(G130="","",ABS(D130-D$130))</f>
        <v>#DIV/0!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 t="e">
        <f>VLOOKUP(B131,B$7:E$11,3,FALSE)</f>
        <v>#DIV/0!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 t="e">
        <f>IF(G131="","",ABS(D131-D$130))</f>
        <v>#DIV/0!</v>
      </c>
      <c r="I131" s="231"/>
      <c r="J131" s="247" t="e">
        <f>IF(H131="","",LOG(H131))</f>
        <v>#DIV/0!</v>
      </c>
      <c r="K131" s="247" t="e">
        <f>IF(J131="","",J131*F131)</f>
        <v>#DIV/0!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 t="e">
        <f>VLOOKUP(B132,B$7:E$11,3,FALSE)</f>
        <v>#DIV/0!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 t="e">
        <f>IF(G132="","",ABS(D132-D$130))</f>
        <v>#DIV/0!</v>
      </c>
      <c r="I132" s="231"/>
      <c r="J132" s="247" t="e">
        <f>IF(H132="","",LOG(H132))</f>
        <v>#DIV/0!</v>
      </c>
      <c r="K132" s="247" t="e">
        <f>IF(J132="","",J132*F132)</f>
        <v>#DIV/0!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 t="e">
        <f>VLOOKUP(B133,B$7:E$11,3,FALSE)</f>
        <v>#DIV/0!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 t="e">
        <f>IF(G133="","",ABS(D133-D$130))</f>
        <v>#DIV/0!</v>
      </c>
      <c r="I133" s="231"/>
      <c r="J133" s="247" t="e">
        <f>IF(H133="","",LOG(H133))</f>
        <v>#DIV/0!</v>
      </c>
      <c r="K133" s="247" t="e">
        <f>IF(J133="","",J133*F133)</f>
        <v>#DIV/0!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 t="e">
        <f>VLOOKUP(B134,B$7:E$11,3,FALSE)</f>
        <v>#DIV/0!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 t="e">
        <f>IF(G134="","",ABS(D134-D$130))</f>
        <v>#DIV/0!</v>
      </c>
      <c r="I134" s="231"/>
      <c r="J134" s="247" t="e">
        <f>IF(H134="","",LOG(H134))</f>
        <v>#DIV/0!</v>
      </c>
      <c r="K134" s="247" t="e">
        <f>IF(J134="","",J134*F134)</f>
        <v>#DIV/0!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1216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 t="e">
        <f>IF(J134="","",SUM(J130:J134))</f>
        <v>#DIV/0!</v>
      </c>
      <c r="K135" s="253" t="e">
        <f>IF(K134="","",SUM(K130:K134))</f>
        <v>#DIV/0!</v>
      </c>
      <c r="L135" s="203"/>
      <c r="M135" s="203"/>
      <c r="N135" s="203"/>
      <c r="O135" s="203"/>
    </row>
    <row r="136" spans="1:15" ht="15" customHeight="1">
      <c r="A136" s="203"/>
      <c r="B136" s="208" t="s">
        <v>1217</v>
      </c>
      <c r="C136" s="208"/>
      <c r="D136" s="201" t="s">
        <v>1218</v>
      </c>
      <c r="E136" s="201" t="e">
        <f>IF(G135="",0,5^ROUND((G135*J135-F135*K135)/((COUNT(B$130:B$134)-1)*G135-F135*F135),5))</f>
        <v>#DIV/0!</v>
      </c>
      <c r="F136" s="238" t="s">
        <v>1219</v>
      </c>
      <c r="G136" s="203"/>
      <c r="H136" s="208"/>
      <c r="I136" s="203"/>
      <c r="J136" s="254" t="e">
        <f>IF(G135="",0,ROUND(((COUNT(B$130:B$134)-1)*K135-J135*F135)/((COUNT(B$130:B$134)-1)*G135-F135*F135),5))</f>
        <v>#DIV/0!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1220</v>
      </c>
      <c r="E137" s="219"/>
      <c r="F137" s="219"/>
      <c r="G137" s="256"/>
      <c r="H137" s="201" t="s">
        <v>1221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1222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1223</v>
      </c>
      <c r="C140" s="202"/>
      <c r="D140" s="202" t="s">
        <v>1224</v>
      </c>
      <c r="E140" s="202"/>
      <c r="F140" s="202" t="s">
        <v>1225</v>
      </c>
      <c r="G140" s="202"/>
      <c r="H140" s="202" t="s">
        <v>1226</v>
      </c>
      <c r="I140" s="202"/>
      <c r="J140" s="202" t="s">
        <v>1227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 t="e">
        <f t="shared" ref="D141:D160" si="6">IF(J$136=0,0,ROUNDUP(D$130+E$136*(B141-B$130)^J$136,0))</f>
        <v>#DIV/0!</v>
      </c>
      <c r="E141" s="257"/>
      <c r="F141" s="258">
        <v>0</v>
      </c>
      <c r="G141" s="258"/>
      <c r="H141" s="258" t="e">
        <f t="shared" ref="H141:H160" si="7">ROUND(D141*(1+F141),0)</f>
        <v>#DIV/0!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 t="e">
        <f t="shared" si="6"/>
        <v>#DIV/0!</v>
      </c>
      <c r="E142" s="257"/>
      <c r="F142" s="258">
        <v>0</v>
      </c>
      <c r="G142" s="258"/>
      <c r="H142" s="258" t="e">
        <f t="shared" si="7"/>
        <v>#DIV/0!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 t="e">
        <f t="shared" si="6"/>
        <v>#DIV/0!</v>
      </c>
      <c r="E143" s="257"/>
      <c r="F143" s="258">
        <v>0</v>
      </c>
      <c r="G143" s="258"/>
      <c r="H143" s="258" t="e">
        <f t="shared" si="7"/>
        <v>#DIV/0!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 t="e">
        <f t="shared" si="6"/>
        <v>#DIV/0!</v>
      </c>
      <c r="E144" s="257"/>
      <c r="F144" s="258">
        <v>0</v>
      </c>
      <c r="G144" s="258"/>
      <c r="H144" s="258" t="e">
        <f t="shared" si="7"/>
        <v>#DIV/0!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 t="e">
        <f t="shared" si="6"/>
        <v>#DIV/0!</v>
      </c>
      <c r="E145" s="271"/>
      <c r="F145" s="272">
        <v>0</v>
      </c>
      <c r="G145" s="272"/>
      <c r="H145" s="272" t="e">
        <f t="shared" si="7"/>
        <v>#DIV/0!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 t="e">
        <f t="shared" si="6"/>
        <v>#DIV/0!</v>
      </c>
      <c r="E146" s="257"/>
      <c r="F146" s="258">
        <v>0</v>
      </c>
      <c r="G146" s="258"/>
      <c r="H146" s="258" t="e">
        <f t="shared" si="7"/>
        <v>#DIV/0!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 t="e">
        <f t="shared" si="6"/>
        <v>#DIV/0!</v>
      </c>
      <c r="E147" s="257"/>
      <c r="F147" s="258">
        <v>0</v>
      </c>
      <c r="G147" s="258"/>
      <c r="H147" s="258" t="e">
        <f t="shared" si="7"/>
        <v>#DIV/0!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 t="e">
        <f t="shared" si="6"/>
        <v>#DIV/0!</v>
      </c>
      <c r="E148" s="257"/>
      <c r="F148" s="258">
        <v>0</v>
      </c>
      <c r="G148" s="258"/>
      <c r="H148" s="258" t="e">
        <f t="shared" si="7"/>
        <v>#DIV/0!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 t="e">
        <f t="shared" si="6"/>
        <v>#DIV/0!</v>
      </c>
      <c r="E149" s="257"/>
      <c r="F149" s="258">
        <v>0</v>
      </c>
      <c r="G149" s="258"/>
      <c r="H149" s="258" t="e">
        <f t="shared" si="7"/>
        <v>#DIV/0!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 t="e">
        <f t="shared" si="6"/>
        <v>#DIV/0!</v>
      </c>
      <c r="E150" s="271"/>
      <c r="F150" s="272">
        <v>0</v>
      </c>
      <c r="G150" s="272"/>
      <c r="H150" s="272" t="e">
        <f t="shared" si="7"/>
        <v>#DIV/0!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 t="e">
        <f t="shared" si="6"/>
        <v>#DIV/0!</v>
      </c>
      <c r="E151" s="257"/>
      <c r="F151" s="258">
        <v>0</v>
      </c>
      <c r="G151" s="258"/>
      <c r="H151" s="258" t="e">
        <f t="shared" si="7"/>
        <v>#DIV/0!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 t="e">
        <f t="shared" si="6"/>
        <v>#DIV/0!</v>
      </c>
      <c r="E152" s="257"/>
      <c r="F152" s="258">
        <v>0</v>
      </c>
      <c r="G152" s="258"/>
      <c r="H152" s="258" t="e">
        <f t="shared" si="7"/>
        <v>#DIV/0!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 t="e">
        <f t="shared" si="6"/>
        <v>#DIV/0!</v>
      </c>
      <c r="E153" s="257"/>
      <c r="F153" s="258">
        <v>0</v>
      </c>
      <c r="G153" s="258"/>
      <c r="H153" s="258" t="e">
        <f t="shared" si="7"/>
        <v>#DIV/0!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 t="e">
        <f t="shared" si="6"/>
        <v>#DIV/0!</v>
      </c>
      <c r="E154" s="257"/>
      <c r="F154" s="258">
        <v>0</v>
      </c>
      <c r="G154" s="258"/>
      <c r="H154" s="258" t="e">
        <f t="shared" si="7"/>
        <v>#DIV/0!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 t="e">
        <f t="shared" si="6"/>
        <v>#DIV/0!</v>
      </c>
      <c r="E155" s="271"/>
      <c r="F155" s="272">
        <v>0</v>
      </c>
      <c r="G155" s="272"/>
      <c r="H155" s="272" t="e">
        <f t="shared" si="7"/>
        <v>#DIV/0!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 t="e">
        <f t="shared" si="6"/>
        <v>#DIV/0!</v>
      </c>
      <c r="E156" s="257"/>
      <c r="F156" s="258">
        <v>0</v>
      </c>
      <c r="G156" s="258"/>
      <c r="H156" s="258" t="e">
        <f t="shared" si="7"/>
        <v>#DIV/0!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 t="e">
        <f t="shared" si="6"/>
        <v>#DIV/0!</v>
      </c>
      <c r="E157" s="257"/>
      <c r="F157" s="258">
        <v>0</v>
      </c>
      <c r="G157" s="258"/>
      <c r="H157" s="258" t="e">
        <f t="shared" si="7"/>
        <v>#DIV/0!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 t="e">
        <f t="shared" si="6"/>
        <v>#DIV/0!</v>
      </c>
      <c r="E158" s="257"/>
      <c r="F158" s="258">
        <v>0</v>
      </c>
      <c r="G158" s="258"/>
      <c r="H158" s="258" t="e">
        <f t="shared" si="7"/>
        <v>#DIV/0!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 t="e">
        <f t="shared" si="6"/>
        <v>#DIV/0!</v>
      </c>
      <c r="E159" s="257"/>
      <c r="F159" s="258">
        <v>0</v>
      </c>
      <c r="G159" s="258"/>
      <c r="H159" s="258" t="e">
        <f t="shared" si="7"/>
        <v>#DIV/0!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 t="e">
        <f t="shared" si="6"/>
        <v>#DIV/0!</v>
      </c>
      <c r="E160" s="271"/>
      <c r="F160" s="272">
        <v>0</v>
      </c>
      <c r="G160" s="272"/>
      <c r="H160" s="272" t="e">
        <f t="shared" si="7"/>
        <v>#DIV/0!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1228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1229</v>
      </c>
      <c r="D167" s="219" t="s">
        <v>1230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1231</v>
      </c>
      <c r="D168" s="219" t="s">
        <v>1232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1233</v>
      </c>
      <c r="E169" s="2250">
        <f>K7</f>
        <v>600</v>
      </c>
      <c r="F169" s="2250"/>
      <c r="G169" s="219" t="s">
        <v>1234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1235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1236</v>
      </c>
      <c r="C171" s="202"/>
      <c r="D171" s="202" t="s">
        <v>1237</v>
      </c>
      <c r="E171" s="202" t="s">
        <v>1238</v>
      </c>
      <c r="F171" s="202" t="s">
        <v>1239</v>
      </c>
      <c r="G171" s="202" t="s">
        <v>1240</v>
      </c>
      <c r="H171" s="202" t="s">
        <v>1241</v>
      </c>
      <c r="I171" s="202" t="s">
        <v>1242</v>
      </c>
      <c r="J171" s="202" t="s">
        <v>1243</v>
      </c>
      <c r="K171" s="202" t="s">
        <v>1244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 t="e">
        <f>VLOOKUP(B172,B$7:E$11,3,FALSE)</f>
        <v>#DIV/0!</v>
      </c>
      <c r="E172" s="244">
        <f>((COUNT(B$172:B$176)-1)/2)+(B172-$C$4)</f>
        <v>-2</v>
      </c>
      <c r="F172" s="206">
        <f>E172^2</f>
        <v>4</v>
      </c>
      <c r="G172" s="844" t="e">
        <f>E$169-D172</f>
        <v>#DIV/0!</v>
      </c>
      <c r="H172" s="259" t="e">
        <f>LOG(D172)</f>
        <v>#DIV/0!</v>
      </c>
      <c r="I172" s="245" t="e">
        <f>LOG(G172)</f>
        <v>#DIV/0!</v>
      </c>
      <c r="J172" s="246" t="e">
        <f>H172-I172</f>
        <v>#DIV/0!</v>
      </c>
      <c r="K172" s="246" t="e">
        <f>E172*J172</f>
        <v>#DIV/0!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 t="e">
        <f>VLOOKUP(B173,B$7:E$11,3,FALSE)</f>
        <v>#DIV/0!</v>
      </c>
      <c r="E173" s="244">
        <f>((COUNT(B$172:B$176)-1)/2)+(B173-$C$4)</f>
        <v>-1</v>
      </c>
      <c r="F173" s="206">
        <f>E173^2</f>
        <v>1</v>
      </c>
      <c r="G173" s="844" t="e">
        <f>E$169-D173</f>
        <v>#DIV/0!</v>
      </c>
      <c r="H173" s="259" t="e">
        <f>LOG(D173)</f>
        <v>#DIV/0!</v>
      </c>
      <c r="I173" s="245" t="e">
        <f>LOG(G173)</f>
        <v>#DIV/0!</v>
      </c>
      <c r="J173" s="246" t="e">
        <f>H173-I173</f>
        <v>#DIV/0!</v>
      </c>
      <c r="K173" s="246" t="e">
        <f>E173*J173</f>
        <v>#DIV/0!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 t="e">
        <f>VLOOKUP(B174,B$7:E$11,3,FALSE)</f>
        <v>#DIV/0!</v>
      </c>
      <c r="E174" s="244">
        <f>((COUNT(B$172:B$176)-1)/2)+(B174-$C$4)</f>
        <v>0</v>
      </c>
      <c r="F174" s="206">
        <f>E174^2</f>
        <v>0</v>
      </c>
      <c r="G174" s="844" t="e">
        <f>E$169-D174</f>
        <v>#DIV/0!</v>
      </c>
      <c r="H174" s="259" t="e">
        <f>LOG(D174)</f>
        <v>#DIV/0!</v>
      </c>
      <c r="I174" s="245" t="e">
        <f>LOG(G174)</f>
        <v>#DIV/0!</v>
      </c>
      <c r="J174" s="246" t="e">
        <f>H174-I174</f>
        <v>#DIV/0!</v>
      </c>
      <c r="K174" s="246" t="e">
        <f>E174*J174</f>
        <v>#DIV/0!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 t="e">
        <f>VLOOKUP(B175,B$7:E$11,3,FALSE)</f>
        <v>#DIV/0!</v>
      </c>
      <c r="E175" s="244">
        <f>((COUNT(B$172:B$176)-1)/2)+(B175-$C$4)</f>
        <v>1</v>
      </c>
      <c r="F175" s="206">
        <f>E175^2</f>
        <v>1</v>
      </c>
      <c r="G175" s="844" t="e">
        <f>E$169-D175</f>
        <v>#DIV/0!</v>
      </c>
      <c r="H175" s="259" t="e">
        <f>LOG(D175)</f>
        <v>#DIV/0!</v>
      </c>
      <c r="I175" s="245" t="e">
        <f>LOG(G175)</f>
        <v>#DIV/0!</v>
      </c>
      <c r="J175" s="246" t="e">
        <f>H175-I175</f>
        <v>#DIV/0!</v>
      </c>
      <c r="K175" s="246" t="e">
        <f>E175*J175</f>
        <v>#DIV/0!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 t="e">
        <f>VLOOKUP(B176,B$7:E$11,3,FALSE)</f>
        <v>#DIV/0!</v>
      </c>
      <c r="E176" s="244">
        <f>((COUNT(B$172:B$176)-1)/2)+(B176-$C$4)</f>
        <v>2</v>
      </c>
      <c r="F176" s="206">
        <f>E176^2</f>
        <v>4</v>
      </c>
      <c r="G176" s="844" t="e">
        <f>E$169-D176</f>
        <v>#DIV/0!</v>
      </c>
      <c r="H176" s="259" t="e">
        <f>LOG(D176)</f>
        <v>#DIV/0!</v>
      </c>
      <c r="I176" s="245" t="e">
        <f>LOG(G176)</f>
        <v>#DIV/0!</v>
      </c>
      <c r="J176" s="246" t="e">
        <f>H176-I176</f>
        <v>#DIV/0!</v>
      </c>
      <c r="K176" s="246" t="e">
        <f>E176*J176</f>
        <v>#DIV/0!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146</v>
      </c>
      <c r="C177" s="212"/>
      <c r="D177" s="260" t="e">
        <f>SUM(D172:D176)</f>
        <v>#DIV/0!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 t="e">
        <f>SUM(J172:J176)</f>
        <v>#DIV/0!</v>
      </c>
      <c r="K177" s="263" t="e">
        <f>SUM(K172:K176)</f>
        <v>#DIV/0!</v>
      </c>
      <c r="L177" s="203"/>
      <c r="M177" s="203"/>
      <c r="N177" s="203"/>
      <c r="O177" s="203"/>
    </row>
    <row r="178" spans="1:15" ht="15" customHeight="1">
      <c r="A178" s="203"/>
      <c r="B178" s="208" t="s">
        <v>246</v>
      </c>
      <c r="C178" s="208"/>
      <c r="D178" s="201" t="s">
        <v>247</v>
      </c>
      <c r="E178" s="236" t="s">
        <v>248</v>
      </c>
      <c r="F178" s="203"/>
      <c r="G178" s="219" t="str">
        <f>"X = x × LOG e = "&amp;E177&amp;" 이고,"</f>
        <v>X = x × LOG e = 0 이고,</v>
      </c>
      <c r="H178" s="219"/>
      <c r="I178" s="219" t="s">
        <v>249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250</v>
      </c>
      <c r="E179" s="219"/>
      <c r="F179" s="219"/>
      <c r="G179" s="219"/>
      <c r="H179" s="254" t="e">
        <f>ROUND(((E$177*K$177-F$177*J$177)/(COUNT(B$172:B$176)*F$177-E$177*E$177))/LOG(EXP(1)),5)</f>
        <v>#DIV/0!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251</v>
      </c>
      <c r="E180" s="219"/>
      <c r="F180" s="219"/>
      <c r="G180" s="264" t="s">
        <v>252</v>
      </c>
      <c r="H180" s="219"/>
      <c r="I180" s="219"/>
      <c r="J180" s="219"/>
      <c r="K180" s="265" t="e">
        <f>ROUND((COUNT(B$172:B$176)*K177-E177*J177)/(LOG(EXP(1))*(COUNT(B$172:B$176)*F177-E177*E177)),6)</f>
        <v>#DIV/0!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200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141</v>
      </c>
      <c r="C183" s="202"/>
      <c r="D183" s="202" t="s">
        <v>156</v>
      </c>
      <c r="E183" s="202"/>
      <c r="F183" s="202" t="s">
        <v>157</v>
      </c>
      <c r="G183" s="202"/>
      <c r="H183" s="202" t="s">
        <v>158</v>
      </c>
      <c r="I183" s="202"/>
      <c r="J183" s="202" t="s">
        <v>144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 t="e">
        <f t="shared" ref="D184:D203" si="8">ROUNDUP(E$169/(1+EXP(1)^(H$179-K$180*(B184-B$172+0.5))),0)</f>
        <v>#DIV/0!</v>
      </c>
      <c r="E184" s="221"/>
      <c r="F184" s="221">
        <v>0</v>
      </c>
      <c r="G184" s="221"/>
      <c r="H184" s="221" t="e">
        <f t="shared" ref="H184:H203" si="9">ROUND(D184*(1+F184),0)</f>
        <v>#DIV/0!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 t="e">
        <f t="shared" si="8"/>
        <v>#DIV/0!</v>
      </c>
      <c r="E185" s="221"/>
      <c r="F185" s="221">
        <v>0</v>
      </c>
      <c r="G185" s="221"/>
      <c r="H185" s="221" t="e">
        <f t="shared" si="9"/>
        <v>#DIV/0!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 t="e">
        <f t="shared" si="8"/>
        <v>#DIV/0!</v>
      </c>
      <c r="E186" s="221"/>
      <c r="F186" s="221">
        <v>0</v>
      </c>
      <c r="G186" s="221"/>
      <c r="H186" s="221" t="e">
        <f t="shared" si="9"/>
        <v>#DIV/0!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 t="e">
        <f t="shared" si="8"/>
        <v>#DIV/0!</v>
      </c>
      <c r="E187" s="221"/>
      <c r="F187" s="221">
        <v>0</v>
      </c>
      <c r="G187" s="221"/>
      <c r="H187" s="221" t="e">
        <f t="shared" si="9"/>
        <v>#DIV/0!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 t="e">
        <f t="shared" si="8"/>
        <v>#DIV/0!</v>
      </c>
      <c r="E188" s="269"/>
      <c r="F188" s="269">
        <v>0</v>
      </c>
      <c r="G188" s="269"/>
      <c r="H188" s="269" t="e">
        <f t="shared" si="9"/>
        <v>#DIV/0!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 t="e">
        <f t="shared" si="8"/>
        <v>#DIV/0!</v>
      </c>
      <c r="E189" s="221"/>
      <c r="F189" s="221">
        <v>0</v>
      </c>
      <c r="G189" s="221"/>
      <c r="H189" s="221" t="e">
        <f t="shared" si="9"/>
        <v>#DIV/0!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 t="e">
        <f t="shared" si="8"/>
        <v>#DIV/0!</v>
      </c>
      <c r="E190" s="221"/>
      <c r="F190" s="221">
        <v>0</v>
      </c>
      <c r="G190" s="221"/>
      <c r="H190" s="221" t="e">
        <f t="shared" si="9"/>
        <v>#DIV/0!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 t="e">
        <f t="shared" si="8"/>
        <v>#DIV/0!</v>
      </c>
      <c r="E191" s="221"/>
      <c r="F191" s="221">
        <v>0</v>
      </c>
      <c r="G191" s="221"/>
      <c r="H191" s="221" t="e">
        <f t="shared" si="9"/>
        <v>#DIV/0!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 t="e">
        <f t="shared" si="8"/>
        <v>#DIV/0!</v>
      </c>
      <c r="E192" s="221"/>
      <c r="F192" s="221">
        <v>0</v>
      </c>
      <c r="G192" s="221"/>
      <c r="H192" s="221" t="e">
        <f t="shared" si="9"/>
        <v>#DIV/0!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 t="e">
        <f t="shared" si="8"/>
        <v>#DIV/0!</v>
      </c>
      <c r="E193" s="269"/>
      <c r="F193" s="269">
        <v>0</v>
      </c>
      <c r="G193" s="269"/>
      <c r="H193" s="269" t="e">
        <f t="shared" si="9"/>
        <v>#DIV/0!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 t="e">
        <f t="shared" si="8"/>
        <v>#DIV/0!</v>
      </c>
      <c r="E194" s="221"/>
      <c r="F194" s="221">
        <v>0</v>
      </c>
      <c r="G194" s="221"/>
      <c r="H194" s="221" t="e">
        <f t="shared" si="9"/>
        <v>#DIV/0!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 t="e">
        <f t="shared" si="8"/>
        <v>#DIV/0!</v>
      </c>
      <c r="E195" s="221"/>
      <c r="F195" s="221">
        <v>0</v>
      </c>
      <c r="G195" s="221"/>
      <c r="H195" s="221" t="e">
        <f t="shared" si="9"/>
        <v>#DIV/0!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 t="e">
        <f t="shared" si="8"/>
        <v>#DIV/0!</v>
      </c>
      <c r="E196" s="221"/>
      <c r="F196" s="221">
        <v>0</v>
      </c>
      <c r="G196" s="221"/>
      <c r="H196" s="221" t="e">
        <f t="shared" si="9"/>
        <v>#DIV/0!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 t="e">
        <f t="shared" si="8"/>
        <v>#DIV/0!</v>
      </c>
      <c r="E197" s="221"/>
      <c r="F197" s="221">
        <v>0</v>
      </c>
      <c r="G197" s="221"/>
      <c r="H197" s="221" t="e">
        <f t="shared" si="9"/>
        <v>#DIV/0!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 t="e">
        <f t="shared" si="8"/>
        <v>#DIV/0!</v>
      </c>
      <c r="E198" s="269"/>
      <c r="F198" s="269">
        <v>0</v>
      </c>
      <c r="G198" s="269"/>
      <c r="H198" s="269" t="e">
        <f t="shared" si="9"/>
        <v>#DIV/0!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 t="e">
        <f t="shared" si="8"/>
        <v>#DIV/0!</v>
      </c>
      <c r="E199" s="221"/>
      <c r="F199" s="221">
        <v>0</v>
      </c>
      <c r="G199" s="221"/>
      <c r="H199" s="221" t="e">
        <f t="shared" si="9"/>
        <v>#DIV/0!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 t="e">
        <f t="shared" si="8"/>
        <v>#DIV/0!</v>
      </c>
      <c r="E200" s="221"/>
      <c r="F200" s="221">
        <v>0</v>
      </c>
      <c r="G200" s="221"/>
      <c r="H200" s="221" t="e">
        <f t="shared" si="9"/>
        <v>#DIV/0!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 t="e">
        <f t="shared" si="8"/>
        <v>#DIV/0!</v>
      </c>
      <c r="E201" s="221"/>
      <c r="F201" s="221">
        <v>0</v>
      </c>
      <c r="G201" s="221"/>
      <c r="H201" s="221" t="e">
        <f t="shared" si="9"/>
        <v>#DIV/0!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 t="e">
        <f t="shared" si="8"/>
        <v>#DIV/0!</v>
      </c>
      <c r="E202" s="221"/>
      <c r="F202" s="221">
        <v>0</v>
      </c>
      <c r="G202" s="221"/>
      <c r="H202" s="221" t="e">
        <f t="shared" si="9"/>
        <v>#DIV/0!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 t="e">
        <f t="shared" si="8"/>
        <v>#DIV/0!</v>
      </c>
      <c r="E203" s="269"/>
      <c r="F203" s="269">
        <v>0</v>
      </c>
      <c r="G203" s="269"/>
      <c r="H203" s="269" t="e">
        <f t="shared" si="9"/>
        <v>#DIV/0!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259</v>
      </c>
      <c r="G209" s="208"/>
      <c r="H209" s="203"/>
      <c r="I209" s="203"/>
      <c r="J209" s="203"/>
      <c r="K209" s="228" t="s">
        <v>260</v>
      </c>
      <c r="L209" s="203"/>
      <c r="M209" s="203"/>
      <c r="N209" s="203"/>
      <c r="O209" s="203"/>
    </row>
    <row r="210" spans="1:15" ht="15" customHeight="1">
      <c r="A210" s="203"/>
      <c r="B210" s="202" t="s">
        <v>141</v>
      </c>
      <c r="C210" s="202"/>
      <c r="D210" s="202" t="s">
        <v>261</v>
      </c>
      <c r="E210" s="202" t="s">
        <v>262</v>
      </c>
      <c r="F210" s="202" t="s">
        <v>263</v>
      </c>
      <c r="G210" s="202" t="s">
        <v>279</v>
      </c>
      <c r="H210" s="202" t="s">
        <v>264</v>
      </c>
      <c r="I210" s="202" t="s">
        <v>54</v>
      </c>
      <c r="J210" s="202" t="s">
        <v>266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 t="e">
        <f t="array" ref="D211">IF(B21=B211,H21)</f>
        <v>#DIV/0!</v>
      </c>
      <c r="E211" s="257" t="e">
        <f t="array" ref="E211">IF(B53=B211,H53)</f>
        <v>#DIV/0!</v>
      </c>
      <c r="F211" s="257" t="e">
        <f t="array" ref="F211">IF(B101=B211,H101)</f>
        <v>#DIV/0!</v>
      </c>
      <c r="G211" s="257" t="e">
        <f t="array" ref="G211">IF(B141=B211,H141)</f>
        <v>#DIV/0!</v>
      </c>
      <c r="H211" s="257" t="e">
        <f t="array" ref="H211">IF(B184=B211,H184)</f>
        <v>#DIV/0!</v>
      </c>
      <c r="I211" s="257" t="e">
        <f t="shared" ref="I211:I230" si="10">IF(G211=0,AVERAGE(D211,E211,F211,H211),AVERAGE(D211:H211))</f>
        <v>#DIV/0!</v>
      </c>
      <c r="J211" s="266" t="e">
        <f t="shared" ref="J211:J230" si="11">ROUND(AVERAGE(D211,F211:G211),0)</f>
        <v>#DIV/0!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 t="e">
        <f t="array" ref="D212">IF(B22=B212,H22)</f>
        <v>#DIV/0!</v>
      </c>
      <c r="E212" s="257" t="e">
        <f t="array" ref="E212">IF(B54=B212,H54)</f>
        <v>#DIV/0!</v>
      </c>
      <c r="F212" s="257" t="e">
        <f t="array" ref="F212">IF(B102=B212,H102)</f>
        <v>#DIV/0!</v>
      </c>
      <c r="G212" s="257" t="e">
        <f t="array" ref="G212">IF(B142=B212,H142)</f>
        <v>#DIV/0!</v>
      </c>
      <c r="H212" s="257" t="e">
        <f t="array" ref="H212">IF(B185=B212,H185)</f>
        <v>#DIV/0!</v>
      </c>
      <c r="I212" s="257" t="e">
        <f t="shared" si="10"/>
        <v>#DIV/0!</v>
      </c>
      <c r="J212" s="266" t="e">
        <f t="shared" si="11"/>
        <v>#DIV/0!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 t="e">
        <f t="array" ref="D213">IF(B23=B213,H23)</f>
        <v>#DIV/0!</v>
      </c>
      <c r="E213" s="257" t="e">
        <f t="array" ref="E213">IF(B55=B213,H55)</f>
        <v>#DIV/0!</v>
      </c>
      <c r="F213" s="257" t="e">
        <f t="array" ref="F213">IF(B103=B213,H103)</f>
        <v>#DIV/0!</v>
      </c>
      <c r="G213" s="257" t="e">
        <f t="array" ref="G213">IF(B143=B213,H143)</f>
        <v>#DIV/0!</v>
      </c>
      <c r="H213" s="257" t="e">
        <f t="array" ref="H213">IF(B186=B213,H186)</f>
        <v>#DIV/0!</v>
      </c>
      <c r="I213" s="257" t="e">
        <f t="shared" si="10"/>
        <v>#DIV/0!</v>
      </c>
      <c r="J213" s="266" t="e">
        <f t="shared" si="11"/>
        <v>#DIV/0!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 t="e">
        <f t="array" ref="D214">IF(B24=B214,H24)</f>
        <v>#DIV/0!</v>
      </c>
      <c r="E214" s="257" t="e">
        <f t="array" ref="E214">IF(B56=B214,H56)</f>
        <v>#DIV/0!</v>
      </c>
      <c r="F214" s="257" t="e">
        <f t="array" ref="F214">IF(B104=B214,H104)</f>
        <v>#DIV/0!</v>
      </c>
      <c r="G214" s="257" t="e">
        <f t="array" ref="G214">IF(B144=B214,H144)</f>
        <v>#DIV/0!</v>
      </c>
      <c r="H214" s="257" t="e">
        <f t="array" ref="H214">IF(B187=B214,H187)</f>
        <v>#DIV/0!</v>
      </c>
      <c r="I214" s="257" t="e">
        <f t="shared" si="10"/>
        <v>#DIV/0!</v>
      </c>
      <c r="J214" s="266" t="e">
        <f t="shared" si="11"/>
        <v>#DIV/0!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 t="e">
        <f t="array" ref="D215">IF(B25=B215,H25)</f>
        <v>#DIV/0!</v>
      </c>
      <c r="E215" s="271" t="e">
        <f t="array" ref="E215">IF(B57=B215,H57)</f>
        <v>#DIV/0!</v>
      </c>
      <c r="F215" s="271" t="e">
        <f t="array" ref="F215">IF(B105=B215,H105)</f>
        <v>#DIV/0!</v>
      </c>
      <c r="G215" s="271" t="e">
        <f t="array" ref="G215">IF(B145=B215,H145)</f>
        <v>#DIV/0!</v>
      </c>
      <c r="H215" s="271" t="e">
        <f t="array" ref="H215">IF(B188=B215,H188)</f>
        <v>#DIV/0!</v>
      </c>
      <c r="I215" s="271" t="e">
        <f t="shared" si="10"/>
        <v>#DIV/0!</v>
      </c>
      <c r="J215" s="273" t="e">
        <f t="shared" si="11"/>
        <v>#DIV/0!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 t="e">
        <f t="array" ref="D216">IF(B26=B216,H26)</f>
        <v>#DIV/0!</v>
      </c>
      <c r="E216" s="257" t="e">
        <f t="array" ref="E216">IF(B58=B216,H58)</f>
        <v>#DIV/0!</v>
      </c>
      <c r="F216" s="257" t="e">
        <f t="array" ref="F216">IF(B106=B216,H106)</f>
        <v>#DIV/0!</v>
      </c>
      <c r="G216" s="257" t="e">
        <f t="array" ref="G216">IF(B146=B216,H146)</f>
        <v>#DIV/0!</v>
      </c>
      <c r="H216" s="257" t="e">
        <f t="array" ref="H216">IF(B189=B216,H189)</f>
        <v>#DIV/0!</v>
      </c>
      <c r="I216" s="257" t="e">
        <f t="shared" si="10"/>
        <v>#DIV/0!</v>
      </c>
      <c r="J216" s="266" t="e">
        <f t="shared" si="11"/>
        <v>#DIV/0!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 t="e">
        <f t="array" ref="D217">IF(B27=B217,H27)</f>
        <v>#DIV/0!</v>
      </c>
      <c r="E217" s="257" t="e">
        <f t="array" ref="E217">IF(B59=B217,H59)</f>
        <v>#DIV/0!</v>
      </c>
      <c r="F217" s="257" t="e">
        <f t="array" ref="F217">IF(B107=B217,H107)</f>
        <v>#DIV/0!</v>
      </c>
      <c r="G217" s="257" t="e">
        <f t="array" ref="G217">IF(B147=B217,H147)</f>
        <v>#DIV/0!</v>
      </c>
      <c r="H217" s="257" t="e">
        <f t="array" ref="H217">IF(B190=B217,H190)</f>
        <v>#DIV/0!</v>
      </c>
      <c r="I217" s="257" t="e">
        <f t="shared" si="10"/>
        <v>#DIV/0!</v>
      </c>
      <c r="J217" s="266" t="e">
        <f t="shared" si="11"/>
        <v>#DIV/0!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 t="e">
        <f t="array" ref="D218">IF(B28=B218,H28)</f>
        <v>#DIV/0!</v>
      </c>
      <c r="E218" s="257" t="e">
        <f t="array" ref="E218">IF(B60=B218,H60)</f>
        <v>#DIV/0!</v>
      </c>
      <c r="F218" s="257" t="e">
        <f t="array" ref="F218">IF(B108=B218,H108)</f>
        <v>#DIV/0!</v>
      </c>
      <c r="G218" s="257" t="e">
        <f t="array" ref="G218">IF(B148=B218,H148)</f>
        <v>#DIV/0!</v>
      </c>
      <c r="H218" s="257" t="e">
        <f t="array" ref="H218">IF(B191=B218,H191)</f>
        <v>#DIV/0!</v>
      </c>
      <c r="I218" s="257" t="e">
        <f t="shared" si="10"/>
        <v>#DIV/0!</v>
      </c>
      <c r="J218" s="266" t="e">
        <f t="shared" si="11"/>
        <v>#DIV/0!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 t="e">
        <f t="array" ref="D219">IF(B29=B219,H29)</f>
        <v>#DIV/0!</v>
      </c>
      <c r="E219" s="257" t="e">
        <f t="array" ref="E219">IF(B61=B219,H61)</f>
        <v>#DIV/0!</v>
      </c>
      <c r="F219" s="257" t="e">
        <f t="array" ref="F219">IF(B109=B219,H109)</f>
        <v>#DIV/0!</v>
      </c>
      <c r="G219" s="257" t="e">
        <f t="array" ref="G219">IF(B149=B219,H149)</f>
        <v>#DIV/0!</v>
      </c>
      <c r="H219" s="257" t="e">
        <f t="array" ref="H219">IF(B192=B219,H192)</f>
        <v>#DIV/0!</v>
      </c>
      <c r="I219" s="257" t="e">
        <f t="shared" si="10"/>
        <v>#DIV/0!</v>
      </c>
      <c r="J219" s="266" t="e">
        <f t="shared" si="11"/>
        <v>#DIV/0!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 t="e">
        <f t="array" ref="D220">IF(B30=B220,H30)</f>
        <v>#DIV/0!</v>
      </c>
      <c r="E220" s="271" t="e">
        <f t="array" ref="E220">IF(B62=B220,H62)</f>
        <v>#DIV/0!</v>
      </c>
      <c r="F220" s="271" t="e">
        <f t="array" ref="F220">IF(B110=B220,H110)</f>
        <v>#DIV/0!</v>
      </c>
      <c r="G220" s="271" t="e">
        <f t="array" ref="G220">IF(B150=B220,H150)</f>
        <v>#DIV/0!</v>
      </c>
      <c r="H220" s="271" t="e">
        <f t="array" ref="H220">IF(B193=B220,H193)</f>
        <v>#DIV/0!</v>
      </c>
      <c r="I220" s="271" t="e">
        <f t="shared" si="10"/>
        <v>#DIV/0!</v>
      </c>
      <c r="J220" s="273" t="e">
        <f t="shared" si="11"/>
        <v>#DIV/0!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 t="e">
        <f t="array" ref="D221">IF(B31=B221,H31)</f>
        <v>#DIV/0!</v>
      </c>
      <c r="E221" s="257" t="e">
        <f t="array" ref="E221">IF(B63=B221,H63)</f>
        <v>#DIV/0!</v>
      </c>
      <c r="F221" s="257" t="e">
        <f t="array" ref="F221">IF(B111=B221,H111)</f>
        <v>#DIV/0!</v>
      </c>
      <c r="G221" s="257" t="e">
        <f t="array" ref="G221">IF(B151=B221,H151)</f>
        <v>#DIV/0!</v>
      </c>
      <c r="H221" s="257" t="e">
        <f t="array" ref="H221">IF(B194=B221,H194)</f>
        <v>#DIV/0!</v>
      </c>
      <c r="I221" s="257" t="e">
        <f t="shared" si="10"/>
        <v>#DIV/0!</v>
      </c>
      <c r="J221" s="266" t="e">
        <f t="shared" si="11"/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 t="e">
        <f t="array" ref="D222">IF(B32=B222,H32)</f>
        <v>#DIV/0!</v>
      </c>
      <c r="E222" s="257" t="e">
        <f t="array" ref="E222">IF(B64=B222,H64)</f>
        <v>#DIV/0!</v>
      </c>
      <c r="F222" s="257" t="e">
        <f t="array" ref="F222">IF(B112=B222,H112)</f>
        <v>#DIV/0!</v>
      </c>
      <c r="G222" s="257" t="e">
        <f t="array" ref="G222">IF(B152=B222,H152)</f>
        <v>#DIV/0!</v>
      </c>
      <c r="H222" s="257" t="e">
        <f t="array" ref="H222">IF(B195=B222,H195)</f>
        <v>#DIV/0!</v>
      </c>
      <c r="I222" s="257" t="e">
        <f t="shared" si="10"/>
        <v>#DIV/0!</v>
      </c>
      <c r="J222" s="266" t="e">
        <f t="shared" si="11"/>
        <v>#DIV/0!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 t="e">
        <f t="array" ref="D223">IF(B33=B223,H33)</f>
        <v>#DIV/0!</v>
      </c>
      <c r="E223" s="257" t="e">
        <f t="array" ref="E223">IF(B65=B223,H65)</f>
        <v>#DIV/0!</v>
      </c>
      <c r="F223" s="257" t="e">
        <f t="array" ref="F223">IF(B113=B223,H113)</f>
        <v>#DIV/0!</v>
      </c>
      <c r="G223" s="257" t="e">
        <f t="array" ref="G223">IF(B153=B223,H153)</f>
        <v>#DIV/0!</v>
      </c>
      <c r="H223" s="257" t="e">
        <f t="array" ref="H223">IF(B196=B223,H196)</f>
        <v>#DIV/0!</v>
      </c>
      <c r="I223" s="257" t="e">
        <f t="shared" si="10"/>
        <v>#DIV/0!</v>
      </c>
      <c r="J223" s="266" t="e">
        <f t="shared" si="11"/>
        <v>#DIV/0!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 t="e">
        <f t="array" ref="D224">IF(B34=B224,H34)</f>
        <v>#DIV/0!</v>
      </c>
      <c r="E224" s="257" t="e">
        <f t="array" ref="E224">IF(B66=B224,H66)</f>
        <v>#DIV/0!</v>
      </c>
      <c r="F224" s="257" t="e">
        <f t="array" ref="F224">IF(B114=B224,H114)</f>
        <v>#DIV/0!</v>
      </c>
      <c r="G224" s="257" t="e">
        <f t="array" ref="G224">IF(B154=B224,H154)</f>
        <v>#DIV/0!</v>
      </c>
      <c r="H224" s="257" t="e">
        <f t="array" ref="H224">IF(B197=B224,H197)</f>
        <v>#DIV/0!</v>
      </c>
      <c r="I224" s="257" t="e">
        <f t="shared" si="10"/>
        <v>#DIV/0!</v>
      </c>
      <c r="J224" s="266" t="e">
        <f t="shared" si="11"/>
        <v>#DIV/0!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 t="e">
        <f t="array" ref="D225">IF(B35=B225,H35)</f>
        <v>#DIV/0!</v>
      </c>
      <c r="E225" s="271" t="e">
        <f t="array" ref="E225">IF(B67=B225,H67)</f>
        <v>#DIV/0!</v>
      </c>
      <c r="F225" s="271" t="e">
        <f t="array" ref="F225">IF(B115=B225,H115)</f>
        <v>#DIV/0!</v>
      </c>
      <c r="G225" s="271" t="e">
        <f t="array" ref="G225">IF(B155=B225,H155)</f>
        <v>#DIV/0!</v>
      </c>
      <c r="H225" s="271" t="e">
        <f t="array" ref="H225">IF(B198=B225,H198)</f>
        <v>#DIV/0!</v>
      </c>
      <c r="I225" s="271" t="e">
        <f t="shared" si="10"/>
        <v>#DIV/0!</v>
      </c>
      <c r="J225" s="273" t="e">
        <f t="shared" si="11"/>
        <v>#DIV/0!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 t="e">
        <f t="array" ref="D226">IF(B36=B226,H36)</f>
        <v>#DIV/0!</v>
      </c>
      <c r="E226" s="257" t="e">
        <f t="array" ref="E226">IF(B68=B226,H68)</f>
        <v>#DIV/0!</v>
      </c>
      <c r="F226" s="257" t="e">
        <f t="array" ref="F226">IF(B116=B226,H116)</f>
        <v>#DIV/0!</v>
      </c>
      <c r="G226" s="257" t="e">
        <f t="array" ref="G226">IF(B156=B226,H156)</f>
        <v>#DIV/0!</v>
      </c>
      <c r="H226" s="257" t="e">
        <f t="array" ref="H226">IF(B199=B226,H199)</f>
        <v>#DIV/0!</v>
      </c>
      <c r="I226" s="257" t="e">
        <f t="shared" si="10"/>
        <v>#DIV/0!</v>
      </c>
      <c r="J226" s="266" t="e">
        <f t="shared" si="11"/>
        <v>#DIV/0!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 t="e">
        <f t="array" ref="D227">IF(B37=B227,H37)</f>
        <v>#DIV/0!</v>
      </c>
      <c r="E227" s="257" t="e">
        <f t="array" ref="E227">IF(B69=B227,H69)</f>
        <v>#DIV/0!</v>
      </c>
      <c r="F227" s="257" t="e">
        <f t="array" ref="F227">IF(B117=B227,H117)</f>
        <v>#DIV/0!</v>
      </c>
      <c r="G227" s="257" t="e">
        <f t="array" ref="G227">IF(B157=B227,H157)</f>
        <v>#DIV/0!</v>
      </c>
      <c r="H227" s="257" t="e">
        <f t="array" ref="H227">IF(B200=B227,H200)</f>
        <v>#DIV/0!</v>
      </c>
      <c r="I227" s="257" t="e">
        <f t="shared" si="10"/>
        <v>#DIV/0!</v>
      </c>
      <c r="J227" s="266" t="e">
        <f t="shared" si="11"/>
        <v>#DIV/0!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 t="e">
        <f t="array" ref="D228">IF(B38=B228,H38)</f>
        <v>#DIV/0!</v>
      </c>
      <c r="E228" s="257" t="e">
        <f t="array" ref="E228">IF(B70=B228,H70)</f>
        <v>#DIV/0!</v>
      </c>
      <c r="F228" s="257" t="e">
        <f t="array" ref="F228">IF(B118=B228,H118)</f>
        <v>#DIV/0!</v>
      </c>
      <c r="G228" s="257" t="e">
        <f t="array" ref="G228">IF(B158=B228,H158)</f>
        <v>#DIV/0!</v>
      </c>
      <c r="H228" s="257" t="e">
        <f t="array" ref="H228">IF(B201=B228,H201)</f>
        <v>#DIV/0!</v>
      </c>
      <c r="I228" s="257" t="e">
        <f t="shared" si="10"/>
        <v>#DIV/0!</v>
      </c>
      <c r="J228" s="266" t="e">
        <f t="shared" si="11"/>
        <v>#DIV/0!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 t="e">
        <f t="array" ref="D229">IF(B39=B229,H39)</f>
        <v>#DIV/0!</v>
      </c>
      <c r="E229" s="257" t="e">
        <f t="array" ref="E229">IF(B71=B229,H71)</f>
        <v>#DIV/0!</v>
      </c>
      <c r="F229" s="257" t="e">
        <f t="array" ref="F229">IF(B119=B229,H119)</f>
        <v>#DIV/0!</v>
      </c>
      <c r="G229" s="257" t="e">
        <f t="array" ref="G229">IF(B159=B229,H159)</f>
        <v>#DIV/0!</v>
      </c>
      <c r="H229" s="257" t="e">
        <f t="array" ref="H229">IF(B202=B229,H202)</f>
        <v>#DIV/0!</v>
      </c>
      <c r="I229" s="257" t="e">
        <f t="shared" si="10"/>
        <v>#DIV/0!</v>
      </c>
      <c r="J229" s="266" t="e">
        <f t="shared" si="11"/>
        <v>#DIV/0!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 t="e">
        <f t="array" ref="D230">IF(B40=B230,H40)</f>
        <v>#DIV/0!</v>
      </c>
      <c r="E230" s="271" t="e">
        <f t="array" ref="E230">IF(B72=B230,H72)</f>
        <v>#DIV/0!</v>
      </c>
      <c r="F230" s="271" t="e">
        <f t="array" ref="F230">IF(B120=B230,H120)</f>
        <v>#DIV/0!</v>
      </c>
      <c r="G230" s="271" t="e">
        <f t="array" ref="G230">IF(B160=B230,H160)</f>
        <v>#DIV/0!</v>
      </c>
      <c r="H230" s="271" t="e">
        <f t="array" ref="H230">IF(B203=B230,H203)</f>
        <v>#DIV/0!</v>
      </c>
      <c r="I230" s="271" t="e">
        <f t="shared" si="10"/>
        <v>#DIV/0!</v>
      </c>
      <c r="J230" s="273" t="e">
        <f t="shared" si="11"/>
        <v>#DIV/0!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1245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1778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 t="e">
        <f>'6. 물사용량 실적산정'!I32</f>
        <v>#DIV/0!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 t="e">
        <f>'6. 물사용량 실적산정'!I33</f>
        <v>#DIV/0!</v>
      </c>
      <c r="E8" s="844"/>
      <c r="F8" s="206" t="e">
        <f t="shared" ref="F8:F12" si="1">D8-D7</f>
        <v>#DIV/0!</v>
      </c>
      <c r="G8" s="206"/>
      <c r="H8" s="207" t="e">
        <f t="shared" ref="H8:H12" si="2">ROUND(F8/D7*100,2)</f>
        <v>#DIV/0!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 t="e">
        <f>'6. 물사용량 실적산정'!I34</f>
        <v>#DIV/0!</v>
      </c>
      <c r="E9" s="844"/>
      <c r="F9" s="206" t="e">
        <f t="shared" si="1"/>
        <v>#DIV/0!</v>
      </c>
      <c r="G9" s="206"/>
      <c r="H9" s="207" t="e">
        <f t="shared" si="2"/>
        <v>#DIV/0!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 t="e">
        <f>'6. 물사용량 실적산정'!I35</f>
        <v>#DIV/0!</v>
      </c>
      <c r="E10" s="844"/>
      <c r="F10" s="206" t="e">
        <f t="shared" si="1"/>
        <v>#DIV/0!</v>
      </c>
      <c r="G10" s="206"/>
      <c r="H10" s="207" t="e">
        <f t="shared" si="2"/>
        <v>#DIV/0!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 t="e">
        <f>'6. 물사용량 실적산정'!I36</f>
        <v>#DIV/0!</v>
      </c>
      <c r="E11" s="844"/>
      <c r="F11" s="206" t="e">
        <f t="shared" si="1"/>
        <v>#DIV/0!</v>
      </c>
      <c r="G11" s="206"/>
      <c r="H11" s="207" t="e">
        <f t="shared" si="2"/>
        <v>#DIV/0!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 t="e">
        <f>'6. 물사용량 실적산정'!I37</f>
        <v>#DIV/0!</v>
      </c>
      <c r="E12" s="844"/>
      <c r="F12" s="206" t="e">
        <f t="shared" si="1"/>
        <v>#DIV/0!</v>
      </c>
      <c r="G12" s="206"/>
      <c r="H12" s="207" t="e">
        <f t="shared" si="2"/>
        <v>#DIV/0!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 t="e">
        <f>SUM(D7:D12)</f>
        <v>#DIV/0!</v>
      </c>
      <c r="E13" s="214"/>
      <c r="F13" s="215"/>
      <c r="G13" s="215"/>
      <c r="H13" s="918" t="e">
        <f>SUM(H7:H12)</f>
        <v>#DIV/0!</v>
      </c>
      <c r="I13" s="216"/>
      <c r="J13" s="217" t="e">
        <f>ROUND(AVERAGE(H7:H12),1)</f>
        <v>#DIV/0!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147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148</v>
      </c>
      <c r="D16" s="219" t="s">
        <v>149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150</v>
      </c>
      <c r="D17" s="219" t="s">
        <v>151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152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153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154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141</v>
      </c>
      <c r="C21" s="202"/>
      <c r="D21" s="202" t="s">
        <v>156</v>
      </c>
      <c r="E21" s="202"/>
      <c r="F21" s="202" t="s">
        <v>157</v>
      </c>
      <c r="G21" s="202"/>
      <c r="H21" s="202" t="s">
        <v>158</v>
      </c>
      <c r="I21" s="202"/>
      <c r="J21" s="202" t="s">
        <v>144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 t="e">
        <f t="shared" ref="D22:D41" si="3">ROUND(E$42+H$42*(B22-$C$4),0)</f>
        <v>#DIV/0!</v>
      </c>
      <c r="E22" s="221"/>
      <c r="F22" s="221">
        <v>0</v>
      </c>
      <c r="G22" s="221"/>
      <c r="H22" s="221" t="e">
        <f t="shared" ref="H22:H36" si="4">ROUND(D22*(1+F22),0)</f>
        <v>#DIV/0!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 t="e">
        <f t="shared" si="3"/>
        <v>#DIV/0!</v>
      </c>
      <c r="E23" s="221"/>
      <c r="F23" s="221">
        <v>0</v>
      </c>
      <c r="G23" s="221"/>
      <c r="H23" s="221" t="e">
        <f t="shared" si="4"/>
        <v>#DIV/0!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 t="e">
        <f t="shared" si="3"/>
        <v>#DIV/0!</v>
      </c>
      <c r="E24" s="221"/>
      <c r="F24" s="221">
        <v>0</v>
      </c>
      <c r="G24" s="221"/>
      <c r="H24" s="221" t="e">
        <f t="shared" si="4"/>
        <v>#DIV/0!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 t="e">
        <f t="shared" si="3"/>
        <v>#DIV/0!</v>
      </c>
      <c r="E25" s="221"/>
      <c r="F25" s="221">
        <v>0</v>
      </c>
      <c r="G25" s="221"/>
      <c r="H25" s="221" t="e">
        <f t="shared" si="4"/>
        <v>#DIV/0!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 t="e">
        <f t="shared" si="3"/>
        <v>#DIV/0!</v>
      </c>
      <c r="E26" s="269"/>
      <c r="F26" s="269">
        <v>0</v>
      </c>
      <c r="G26" s="269"/>
      <c r="H26" s="269" t="e">
        <f t="shared" si="4"/>
        <v>#DIV/0!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 t="e">
        <f t="shared" si="3"/>
        <v>#DIV/0!</v>
      </c>
      <c r="E27" s="221"/>
      <c r="F27" s="221">
        <v>0</v>
      </c>
      <c r="G27" s="221"/>
      <c r="H27" s="221" t="e">
        <f t="shared" si="4"/>
        <v>#DIV/0!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 t="e">
        <f t="shared" si="3"/>
        <v>#DIV/0!</v>
      </c>
      <c r="E28" s="221"/>
      <c r="F28" s="221">
        <v>0</v>
      </c>
      <c r="G28" s="221"/>
      <c r="H28" s="221" t="e">
        <f t="shared" si="4"/>
        <v>#DIV/0!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 t="e">
        <f t="shared" si="3"/>
        <v>#DIV/0!</v>
      </c>
      <c r="E29" s="221"/>
      <c r="F29" s="221">
        <v>0</v>
      </c>
      <c r="G29" s="221"/>
      <c r="H29" s="221" t="e">
        <f t="shared" si="4"/>
        <v>#DIV/0!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 t="e">
        <f t="shared" si="3"/>
        <v>#DIV/0!</v>
      </c>
      <c r="E30" s="221"/>
      <c r="F30" s="221">
        <v>0</v>
      </c>
      <c r="G30" s="221"/>
      <c r="H30" s="221" t="e">
        <f t="shared" si="4"/>
        <v>#DIV/0!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 t="e">
        <f t="shared" si="3"/>
        <v>#DIV/0!</v>
      </c>
      <c r="E31" s="269"/>
      <c r="F31" s="269">
        <v>0</v>
      </c>
      <c r="G31" s="269"/>
      <c r="H31" s="269" t="e">
        <f t="shared" si="4"/>
        <v>#DIV/0!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 t="e">
        <f t="shared" si="3"/>
        <v>#DIV/0!</v>
      </c>
      <c r="E32" s="221"/>
      <c r="F32" s="221">
        <v>0</v>
      </c>
      <c r="G32" s="221"/>
      <c r="H32" s="221" t="e">
        <f t="shared" si="4"/>
        <v>#DIV/0!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 t="e">
        <f t="shared" si="3"/>
        <v>#DIV/0!</v>
      </c>
      <c r="E33" s="221"/>
      <c r="F33" s="221">
        <v>0</v>
      </c>
      <c r="G33" s="221"/>
      <c r="H33" s="221" t="e">
        <f t="shared" si="4"/>
        <v>#DIV/0!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 t="e">
        <f t="shared" si="3"/>
        <v>#DIV/0!</v>
      </c>
      <c r="E34" s="221"/>
      <c r="F34" s="221">
        <v>0</v>
      </c>
      <c r="G34" s="221"/>
      <c r="H34" s="221" t="e">
        <f t="shared" si="4"/>
        <v>#DIV/0!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 t="e">
        <f t="shared" si="3"/>
        <v>#DIV/0!</v>
      </c>
      <c r="E35" s="221"/>
      <c r="F35" s="221">
        <v>0</v>
      </c>
      <c r="G35" s="221"/>
      <c r="H35" s="221" t="e">
        <f t="shared" si="4"/>
        <v>#DIV/0!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 t="e">
        <f t="shared" si="3"/>
        <v>#DIV/0!</v>
      </c>
      <c r="E36" s="269"/>
      <c r="F36" s="269">
        <v>0</v>
      </c>
      <c r="G36" s="269"/>
      <c r="H36" s="269" t="e">
        <f t="shared" si="4"/>
        <v>#DIV/0!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 t="e">
        <f t="shared" si="3"/>
        <v>#DIV/0!</v>
      </c>
      <c r="E37" s="221"/>
      <c r="F37" s="221">
        <v>0</v>
      </c>
      <c r="G37" s="221"/>
      <c r="H37" s="221" t="e">
        <f>ROUND(D37*(1+F37),0)</f>
        <v>#DIV/0!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 t="e">
        <f t="shared" si="3"/>
        <v>#DIV/0!</v>
      </c>
      <c r="E38" s="221"/>
      <c r="F38" s="221">
        <v>0</v>
      </c>
      <c r="G38" s="221"/>
      <c r="H38" s="221" t="e">
        <f>ROUND(D38*(1+F38),0)</f>
        <v>#DIV/0!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 t="e">
        <f t="shared" si="3"/>
        <v>#DIV/0!</v>
      </c>
      <c r="E39" s="221"/>
      <c r="F39" s="221">
        <v>0</v>
      </c>
      <c r="G39" s="221"/>
      <c r="H39" s="221" t="e">
        <f>ROUND(D39*(1+F39),0)</f>
        <v>#DIV/0!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 t="e">
        <f t="shared" si="3"/>
        <v>#DIV/0!</v>
      </c>
      <c r="E40" s="221"/>
      <c r="F40" s="221">
        <v>0</v>
      </c>
      <c r="G40" s="221"/>
      <c r="H40" s="221" t="e">
        <f>ROUND(D40*(1+F40),0)</f>
        <v>#DIV/0!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 t="e">
        <f t="shared" si="3"/>
        <v>#DIV/0!</v>
      </c>
      <c r="E41" s="269"/>
      <c r="F41" s="269">
        <v>0</v>
      </c>
      <c r="G41" s="269"/>
      <c r="H41" s="269" t="e">
        <f>ROUND(D41*(1+F41),0)</f>
        <v>#DIV/0!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1246</v>
      </c>
      <c r="C42" s="223"/>
      <c r="D42" s="224" t="s">
        <v>1247</v>
      </c>
      <c r="E42" s="225" t="e">
        <f>D$12</f>
        <v>#DIV/0!</v>
      </c>
      <c r="F42" s="226"/>
      <c r="G42" s="224" t="s">
        <v>162</v>
      </c>
      <c r="H42" s="224" t="e">
        <f>ROUND((D$12-D7)/(COUNT(D$7:D$12)-1),1)</f>
        <v>#DIV/0!</v>
      </c>
      <c r="I42" s="224"/>
      <c r="J42" s="224" t="s">
        <v>163</v>
      </c>
      <c r="K42" s="227" t="s">
        <v>164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165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148</v>
      </c>
      <c r="D47" s="219" t="s">
        <v>167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150</v>
      </c>
      <c r="D48" s="219" t="s">
        <v>151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152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171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172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141</v>
      </c>
      <c r="C53" s="202"/>
      <c r="D53" s="202" t="s">
        <v>156</v>
      </c>
      <c r="E53" s="202"/>
      <c r="F53" s="202" t="s">
        <v>157</v>
      </c>
      <c r="G53" s="202"/>
      <c r="H53" s="202" t="s">
        <v>158</v>
      </c>
      <c r="I53" s="202"/>
      <c r="J53" s="202" t="s">
        <v>144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 t="e">
        <f t="shared" ref="D54:D73" si="5">ROUND(E$74*H$74^(B54-$C$4),0)</f>
        <v>#DIV/0!</v>
      </c>
      <c r="E54" s="221"/>
      <c r="F54" s="221">
        <v>0</v>
      </c>
      <c r="G54" s="221"/>
      <c r="H54" s="221" t="e">
        <f t="shared" ref="H54:H68" si="6">ROUND(D54*(1+F54),0)</f>
        <v>#DIV/0!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 t="e">
        <f t="shared" si="5"/>
        <v>#DIV/0!</v>
      </c>
      <c r="E55" s="221"/>
      <c r="F55" s="221">
        <v>0</v>
      </c>
      <c r="G55" s="221"/>
      <c r="H55" s="221" t="e">
        <f t="shared" si="6"/>
        <v>#DIV/0!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 t="e">
        <f t="shared" si="5"/>
        <v>#DIV/0!</v>
      </c>
      <c r="E56" s="221"/>
      <c r="F56" s="221">
        <v>0</v>
      </c>
      <c r="G56" s="221"/>
      <c r="H56" s="221" t="e">
        <f t="shared" si="6"/>
        <v>#DIV/0!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 t="e">
        <f t="shared" si="5"/>
        <v>#DIV/0!</v>
      </c>
      <c r="E57" s="221"/>
      <c r="F57" s="221">
        <v>0</v>
      </c>
      <c r="G57" s="221"/>
      <c r="H57" s="221" t="e">
        <f t="shared" si="6"/>
        <v>#DIV/0!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 t="e">
        <f t="shared" si="5"/>
        <v>#DIV/0!</v>
      </c>
      <c r="E58" s="269"/>
      <c r="F58" s="269">
        <v>0</v>
      </c>
      <c r="G58" s="269"/>
      <c r="H58" s="269" t="e">
        <f t="shared" si="6"/>
        <v>#DIV/0!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 t="e">
        <f t="shared" si="5"/>
        <v>#DIV/0!</v>
      </c>
      <c r="E59" s="221"/>
      <c r="F59" s="221">
        <v>0</v>
      </c>
      <c r="G59" s="221"/>
      <c r="H59" s="221" t="e">
        <f t="shared" si="6"/>
        <v>#DIV/0!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 t="e">
        <f t="shared" si="5"/>
        <v>#DIV/0!</v>
      </c>
      <c r="E60" s="221"/>
      <c r="F60" s="221">
        <v>0</v>
      </c>
      <c r="G60" s="221"/>
      <c r="H60" s="221" t="e">
        <f t="shared" si="6"/>
        <v>#DIV/0!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 t="e">
        <f t="shared" si="5"/>
        <v>#DIV/0!</v>
      </c>
      <c r="E61" s="221"/>
      <c r="F61" s="221">
        <v>0</v>
      </c>
      <c r="G61" s="221"/>
      <c r="H61" s="221" t="e">
        <f t="shared" si="6"/>
        <v>#DIV/0!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 t="e">
        <f t="shared" si="5"/>
        <v>#DIV/0!</v>
      </c>
      <c r="E62" s="221"/>
      <c r="F62" s="221">
        <v>0</v>
      </c>
      <c r="G62" s="221"/>
      <c r="H62" s="221" t="e">
        <f t="shared" si="6"/>
        <v>#DIV/0!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 t="e">
        <f t="shared" si="5"/>
        <v>#DIV/0!</v>
      </c>
      <c r="E63" s="269"/>
      <c r="F63" s="269">
        <v>0</v>
      </c>
      <c r="G63" s="269"/>
      <c r="H63" s="269" t="e">
        <f t="shared" si="6"/>
        <v>#DIV/0!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 t="e">
        <f t="shared" si="5"/>
        <v>#DIV/0!</v>
      </c>
      <c r="E64" s="221"/>
      <c r="F64" s="221">
        <v>0</v>
      </c>
      <c r="G64" s="221"/>
      <c r="H64" s="221" t="e">
        <f t="shared" si="6"/>
        <v>#DIV/0!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 t="e">
        <f t="shared" si="5"/>
        <v>#DIV/0!</v>
      </c>
      <c r="E65" s="221"/>
      <c r="F65" s="221">
        <v>0</v>
      </c>
      <c r="G65" s="221"/>
      <c r="H65" s="221" t="e">
        <f t="shared" si="6"/>
        <v>#DIV/0!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 t="e">
        <f t="shared" si="5"/>
        <v>#DIV/0!</v>
      </c>
      <c r="E66" s="221"/>
      <c r="F66" s="221">
        <v>0</v>
      </c>
      <c r="G66" s="221"/>
      <c r="H66" s="221" t="e">
        <f t="shared" si="6"/>
        <v>#DIV/0!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 t="e">
        <f t="shared" si="5"/>
        <v>#DIV/0!</v>
      </c>
      <c r="E67" s="221"/>
      <c r="F67" s="221">
        <v>0</v>
      </c>
      <c r="G67" s="221"/>
      <c r="H67" s="221" t="e">
        <f t="shared" si="6"/>
        <v>#DIV/0!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 t="e">
        <f t="shared" si="5"/>
        <v>#DIV/0!</v>
      </c>
      <c r="E68" s="269"/>
      <c r="F68" s="269">
        <v>0</v>
      </c>
      <c r="G68" s="269"/>
      <c r="H68" s="269" t="e">
        <f t="shared" si="6"/>
        <v>#DIV/0!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 t="e">
        <f t="shared" si="5"/>
        <v>#DIV/0!</v>
      </c>
      <c r="E69" s="221"/>
      <c r="F69" s="221">
        <v>0</v>
      </c>
      <c r="G69" s="221"/>
      <c r="H69" s="221" t="e">
        <f>ROUND(D69*(1+F69),0)</f>
        <v>#DIV/0!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 t="e">
        <f t="shared" si="5"/>
        <v>#DIV/0!</v>
      </c>
      <c r="E70" s="221"/>
      <c r="F70" s="221">
        <v>0</v>
      </c>
      <c r="G70" s="221"/>
      <c r="H70" s="221" t="e">
        <f>ROUND(D70*(1+F70),0)</f>
        <v>#DIV/0!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 t="e">
        <f t="shared" si="5"/>
        <v>#DIV/0!</v>
      </c>
      <c r="E71" s="221"/>
      <c r="F71" s="221">
        <v>0</v>
      </c>
      <c r="G71" s="221"/>
      <c r="H71" s="221" t="e">
        <f>ROUND(D71*(1+F71),0)</f>
        <v>#DIV/0!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 t="e">
        <f t="shared" si="5"/>
        <v>#DIV/0!</v>
      </c>
      <c r="E72" s="221"/>
      <c r="F72" s="221">
        <v>0</v>
      </c>
      <c r="G72" s="221"/>
      <c r="H72" s="221" t="e">
        <f>ROUND(D72*(1+F72),0)</f>
        <v>#DIV/0!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 t="e">
        <f t="shared" si="5"/>
        <v>#DIV/0!</v>
      </c>
      <c r="E73" s="269"/>
      <c r="F73" s="269">
        <v>0</v>
      </c>
      <c r="G73" s="269"/>
      <c r="H73" s="269" t="e">
        <f>ROUND(D73*(1+F73),0)</f>
        <v>#DIV/0!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177</v>
      </c>
      <c r="C74" s="223"/>
      <c r="D74" s="224" t="s">
        <v>161</v>
      </c>
      <c r="E74" s="225" t="e">
        <f>D$12</f>
        <v>#DIV/0!</v>
      </c>
      <c r="F74" s="226"/>
      <c r="G74" s="224" t="s">
        <v>179</v>
      </c>
      <c r="H74" s="224" t="e">
        <f>ROUND((E$74/D$7)^(1/(COUNT(D$7:D$12)-1)),6)</f>
        <v>#DIV/0!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 t="e">
        <f t="shared" ref="D91:D96" si="8">VLOOKUP(B91,B$7:E$12,3,FALSE)</f>
        <v>#DIV/0!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 t="e">
        <f t="shared" ref="H91:H96" si="11">ROUND(D91*E91,2)</f>
        <v>#DIV/0!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 t="e">
        <f t="shared" si="8"/>
        <v>#DIV/0!</v>
      </c>
      <c r="E92" s="229">
        <f t="shared" si="9"/>
        <v>-1.5</v>
      </c>
      <c r="F92" s="208">
        <f t="shared" si="10"/>
        <v>2.25</v>
      </c>
      <c r="G92" s="206"/>
      <c r="H92" s="230" t="e">
        <f t="shared" si="11"/>
        <v>#DIV/0!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 t="e">
        <f t="shared" si="8"/>
        <v>#DIV/0!</v>
      </c>
      <c r="E93" s="229">
        <f t="shared" si="9"/>
        <v>-0.5</v>
      </c>
      <c r="F93" s="208">
        <f t="shared" si="10"/>
        <v>0.25</v>
      </c>
      <c r="G93" s="206"/>
      <c r="H93" s="230" t="e">
        <f t="shared" si="11"/>
        <v>#DIV/0!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 t="e">
        <f t="shared" si="8"/>
        <v>#DIV/0!</v>
      </c>
      <c r="E94" s="229">
        <f t="shared" si="9"/>
        <v>0.5</v>
      </c>
      <c r="F94" s="208">
        <f t="shared" si="10"/>
        <v>0.25</v>
      </c>
      <c r="G94" s="206"/>
      <c r="H94" s="230" t="e">
        <f t="shared" si="11"/>
        <v>#DIV/0!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 t="e">
        <f t="shared" si="8"/>
        <v>#DIV/0!</v>
      </c>
      <c r="E95" s="229">
        <f t="shared" si="9"/>
        <v>1.5</v>
      </c>
      <c r="F95" s="208">
        <f t="shared" si="10"/>
        <v>2.25</v>
      </c>
      <c r="G95" s="206"/>
      <c r="H95" s="230" t="e">
        <f t="shared" si="11"/>
        <v>#DIV/0!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 t="e">
        <f t="shared" si="8"/>
        <v>#DIV/0!</v>
      </c>
      <c r="E96" s="229">
        <f t="shared" si="9"/>
        <v>2.5</v>
      </c>
      <c r="F96" s="208">
        <f t="shared" si="10"/>
        <v>6.25</v>
      </c>
      <c r="G96" s="206"/>
      <c r="H96" s="230" t="e">
        <f t="shared" si="11"/>
        <v>#DIV/0!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1056</v>
      </c>
      <c r="C97" s="212"/>
      <c r="D97" s="232" t="e">
        <f>SUM(D91:D96)</f>
        <v>#DIV/0!</v>
      </c>
      <c r="E97" s="215"/>
      <c r="F97" s="233">
        <f>ROUND(SUM(F91:F96),0)</f>
        <v>18</v>
      </c>
      <c r="G97" s="212"/>
      <c r="H97" s="234" t="e">
        <f>SUM(H91:H96)</f>
        <v>#DIV/0!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1125</v>
      </c>
      <c r="C98" s="208"/>
      <c r="D98" s="236" t="s">
        <v>1126</v>
      </c>
      <c r="E98" s="203"/>
      <c r="F98" s="203"/>
      <c r="G98" s="201" t="e">
        <f>((COUNT(B$91:B$96))*H$97-D$97*E$97)/((COUNT(B$91:B$96))*F$97-E$97*E$97)</f>
        <v>#DIV/0!</v>
      </c>
      <c r="H98" s="236" t="s">
        <v>1127</v>
      </c>
      <c r="I98" s="201"/>
      <c r="J98" s="201"/>
      <c r="K98" s="201" t="e">
        <f>ROUND((F97*D97-H97*E97)/(COUNT(B$91:B$96)*F97-E97*E97),0)</f>
        <v>#DIV/0!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1061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1010</v>
      </c>
      <c r="C102" s="202"/>
      <c r="D102" s="202" t="s">
        <v>1025</v>
      </c>
      <c r="E102" s="202"/>
      <c r="F102" s="202" t="s">
        <v>1026</v>
      </c>
      <c r="G102" s="202"/>
      <c r="H102" s="202" t="s">
        <v>1027</v>
      </c>
      <c r="I102" s="202"/>
      <c r="J102" s="202" t="s">
        <v>1014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 t="e">
        <f t="shared" ref="D103:D117" si="12">ROUNDUP(G$98*(B103-B$96+E$96)+K$98,0)</f>
        <v>#DIV/0!</v>
      </c>
      <c r="E103" s="221"/>
      <c r="F103" s="221">
        <v>0</v>
      </c>
      <c r="G103" s="221"/>
      <c r="H103" s="221" t="e">
        <f t="shared" ref="H103:H117" si="13">ROUND(D103*(1+F103),0)</f>
        <v>#DIV/0!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 t="e">
        <f t="shared" si="12"/>
        <v>#DIV/0!</v>
      </c>
      <c r="E104" s="221"/>
      <c r="F104" s="221">
        <v>0</v>
      </c>
      <c r="G104" s="221"/>
      <c r="H104" s="221" t="e">
        <f t="shared" si="13"/>
        <v>#DIV/0!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 t="e">
        <f t="shared" si="12"/>
        <v>#DIV/0!</v>
      </c>
      <c r="E105" s="221"/>
      <c r="F105" s="221">
        <v>0</v>
      </c>
      <c r="G105" s="221"/>
      <c r="H105" s="221" t="e">
        <f t="shared" si="13"/>
        <v>#DIV/0!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 t="e">
        <f t="shared" si="12"/>
        <v>#DIV/0!</v>
      </c>
      <c r="E106" s="221"/>
      <c r="F106" s="221">
        <v>0</v>
      </c>
      <c r="G106" s="221"/>
      <c r="H106" s="221" t="e">
        <f t="shared" si="13"/>
        <v>#DIV/0!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 t="e">
        <f t="shared" si="12"/>
        <v>#DIV/0!</v>
      </c>
      <c r="E107" s="269"/>
      <c r="F107" s="269">
        <v>0</v>
      </c>
      <c r="G107" s="269"/>
      <c r="H107" s="269" t="e">
        <f t="shared" si="13"/>
        <v>#DIV/0!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 t="e">
        <f t="shared" si="12"/>
        <v>#DIV/0!</v>
      </c>
      <c r="E108" s="221"/>
      <c r="F108" s="221">
        <v>0</v>
      </c>
      <c r="G108" s="221"/>
      <c r="H108" s="221" t="e">
        <f t="shared" si="13"/>
        <v>#DIV/0!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 t="e">
        <f t="shared" si="12"/>
        <v>#DIV/0!</v>
      </c>
      <c r="E109" s="221"/>
      <c r="F109" s="221">
        <v>0</v>
      </c>
      <c r="G109" s="221"/>
      <c r="H109" s="221" t="e">
        <f t="shared" si="13"/>
        <v>#DIV/0!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 t="e">
        <f t="shared" si="12"/>
        <v>#DIV/0!</v>
      </c>
      <c r="E110" s="221"/>
      <c r="F110" s="221">
        <v>0</v>
      </c>
      <c r="G110" s="221"/>
      <c r="H110" s="221" t="e">
        <f t="shared" si="13"/>
        <v>#DIV/0!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 t="e">
        <f t="shared" si="12"/>
        <v>#DIV/0!</v>
      </c>
      <c r="E111" s="221"/>
      <c r="F111" s="221">
        <v>0</v>
      </c>
      <c r="G111" s="221"/>
      <c r="H111" s="221" t="e">
        <f t="shared" si="13"/>
        <v>#DIV/0!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 t="e">
        <f t="shared" si="12"/>
        <v>#DIV/0!</v>
      </c>
      <c r="E112" s="269"/>
      <c r="F112" s="269">
        <v>0</v>
      </c>
      <c r="G112" s="269"/>
      <c r="H112" s="269" t="e">
        <f t="shared" si="13"/>
        <v>#DIV/0!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 t="e">
        <f t="shared" si="12"/>
        <v>#DIV/0!</v>
      </c>
      <c r="E113" s="221"/>
      <c r="F113" s="221">
        <v>0</v>
      </c>
      <c r="G113" s="221"/>
      <c r="H113" s="221" t="e">
        <f t="shared" si="13"/>
        <v>#DIV/0!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 t="e">
        <f t="shared" si="12"/>
        <v>#DIV/0!</v>
      </c>
      <c r="E114" s="221"/>
      <c r="F114" s="221">
        <v>0</v>
      </c>
      <c r="G114" s="221"/>
      <c r="H114" s="221" t="e">
        <f t="shared" si="13"/>
        <v>#DIV/0!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 t="e">
        <f t="shared" si="12"/>
        <v>#DIV/0!</v>
      </c>
      <c r="E115" s="221"/>
      <c r="F115" s="221">
        <v>0</v>
      </c>
      <c r="G115" s="221"/>
      <c r="H115" s="221" t="e">
        <f t="shared" si="13"/>
        <v>#DIV/0!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 t="e">
        <f t="shared" si="12"/>
        <v>#DIV/0!</v>
      </c>
      <c r="E116" s="221"/>
      <c r="F116" s="221">
        <v>0</v>
      </c>
      <c r="G116" s="221"/>
      <c r="H116" s="221" t="e">
        <f t="shared" si="13"/>
        <v>#DIV/0!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 t="e">
        <f t="shared" si="12"/>
        <v>#DIV/0!</v>
      </c>
      <c r="E117" s="269"/>
      <c r="F117" s="269">
        <v>0</v>
      </c>
      <c r="G117" s="269"/>
      <c r="H117" s="269" t="e">
        <f t="shared" si="13"/>
        <v>#DIV/0!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 t="e">
        <f>ROUNDUP(G$98*(B118-B$96+E$96)+K$98,0)</f>
        <v>#DIV/0!</v>
      </c>
      <c r="E118" s="221"/>
      <c r="F118" s="221">
        <v>0</v>
      </c>
      <c r="G118" s="221"/>
      <c r="H118" s="221" t="e">
        <f>ROUND(D118*(1+F118),0)</f>
        <v>#DIV/0!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 t="e">
        <f>ROUNDUP(G$98*(B119-B$96+E$96)+K$98,0)</f>
        <v>#DIV/0!</v>
      </c>
      <c r="E119" s="221"/>
      <c r="F119" s="221">
        <v>0</v>
      </c>
      <c r="G119" s="221"/>
      <c r="H119" s="221" t="e">
        <f>ROUND(D119*(1+F119),0)</f>
        <v>#DIV/0!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 t="e">
        <f>ROUNDUP(G$98*(B120-B$96+E$96)+K$98,0)</f>
        <v>#DIV/0!</v>
      </c>
      <c r="E120" s="221"/>
      <c r="F120" s="221">
        <v>0</v>
      </c>
      <c r="G120" s="221"/>
      <c r="H120" s="221" t="e">
        <f>ROUND(D120*(1+F120),0)</f>
        <v>#DIV/0!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 t="e">
        <f>ROUNDUP(G$98*(B121-B$96+E$96)+K$98,0)</f>
        <v>#DIV/0!</v>
      </c>
      <c r="E121" s="221"/>
      <c r="F121" s="221">
        <v>0</v>
      </c>
      <c r="G121" s="221"/>
      <c r="H121" s="221" t="e">
        <f>ROUND(D121*(1+F121),0)</f>
        <v>#DIV/0!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 t="e">
        <f>ROUNDUP(G$98*(B122-B$96+E$96)+K$98,0)</f>
        <v>#DIV/0!</v>
      </c>
      <c r="E122" s="269"/>
      <c r="F122" s="269">
        <v>0</v>
      </c>
      <c r="G122" s="269"/>
      <c r="H122" s="269" t="e">
        <f>ROUND(D122*(1+F122),0)</f>
        <v>#DIV/0!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1128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1018</v>
      </c>
      <c r="D126" s="219" t="s">
        <v>1129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1064</v>
      </c>
      <c r="D127" s="219" t="s">
        <v>1065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1130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1131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1132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1010</v>
      </c>
      <c r="C131" s="202"/>
      <c r="D131" s="202" t="s">
        <v>1121</v>
      </c>
      <c r="E131" s="202" t="s">
        <v>1122</v>
      </c>
      <c r="F131" s="202" t="s">
        <v>1122</v>
      </c>
      <c r="G131" s="202" t="s">
        <v>1123</v>
      </c>
      <c r="H131" s="202" t="s">
        <v>1133</v>
      </c>
      <c r="I131" s="202"/>
      <c r="J131" s="202" t="s">
        <v>1134</v>
      </c>
      <c r="K131" s="202" t="s">
        <v>1135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 t="e">
        <f t="shared" ref="D132:D137" si="15">VLOOKUP(B132,B$7:E$12,3,FALSE)</f>
        <v>#DIV/0!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 t="e">
        <f>IF(G132="","",ABS(D132-D132))</f>
        <v>#DIV/0!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 t="e">
        <f t="shared" si="15"/>
        <v>#DIV/0!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 t="e">
        <f>IF(G133="","",ABS(D133-D132))</f>
        <v>#DIV/0!</v>
      </c>
      <c r="I133" s="231"/>
      <c r="J133" s="247" t="e">
        <f t="shared" ref="J133:J137" si="20">IF(H133="","",LOG(H133))</f>
        <v>#DIV/0!</v>
      </c>
      <c r="K133" s="247" t="e">
        <f t="shared" si="17"/>
        <v>#DIV/0!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 t="e">
        <f t="shared" si="15"/>
        <v>#DIV/0!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 t="e">
        <f>IF(G134="","",ABS(D134-D133))</f>
        <v>#DIV/0!</v>
      </c>
      <c r="I134" s="231"/>
      <c r="J134" s="247" t="e">
        <f t="shared" si="20"/>
        <v>#DIV/0!</v>
      </c>
      <c r="K134" s="247" t="e">
        <f t="shared" si="17"/>
        <v>#DIV/0!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 t="e">
        <f t="shared" si="15"/>
        <v>#DIV/0!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 t="e">
        <f>IF(G135="","",ABS(D135-D134))</f>
        <v>#DIV/0!</v>
      </c>
      <c r="I135" s="231"/>
      <c r="J135" s="247" t="e">
        <f t="shared" si="20"/>
        <v>#DIV/0!</v>
      </c>
      <c r="K135" s="247" t="e">
        <f t="shared" si="17"/>
        <v>#DIV/0!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 t="e">
        <f t="shared" si="15"/>
        <v>#DIV/0!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 t="e">
        <f>IF(G136="","",ABS(D136-D135))</f>
        <v>#DIV/0!</v>
      </c>
      <c r="I136" s="231"/>
      <c r="J136" s="247" t="e">
        <f t="shared" si="20"/>
        <v>#DIV/0!</v>
      </c>
      <c r="K136" s="247" t="e">
        <f t="shared" si="17"/>
        <v>#DIV/0!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 t="e">
        <f t="shared" si="15"/>
        <v>#DIV/0!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 t="e">
        <f>IF(G137="","",ABS(D137-D136))</f>
        <v>#DIV/0!</v>
      </c>
      <c r="I137" s="231"/>
      <c r="J137" s="247" t="e">
        <f t="shared" si="20"/>
        <v>#DIV/0!</v>
      </c>
      <c r="K137" s="247" t="e">
        <f t="shared" si="17"/>
        <v>#DIV/0!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1159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 t="e">
        <f>IF(J137="","",SUM(J132:J137))</f>
        <v>#DIV/0!</v>
      </c>
      <c r="K138" s="253" t="e">
        <f>IF(K137="","",SUM(K132:K137))</f>
        <v>#DIV/0!</v>
      </c>
      <c r="L138" s="203"/>
      <c r="M138" s="203"/>
      <c r="N138" s="203"/>
      <c r="O138" s="203"/>
    </row>
    <row r="139" spans="1:15" ht="15" customHeight="1">
      <c r="A139" s="203"/>
      <c r="B139" s="208" t="s">
        <v>1195</v>
      </c>
      <c r="C139" s="208"/>
      <c r="D139" s="201" t="s">
        <v>1196</v>
      </c>
      <c r="E139" s="201" t="e">
        <f>IF(G138="",0,10^ROUND((G138*J138-F138*K138)/((COUNT(B$132:B$137)-1)*G138-F138*F138),5))</f>
        <v>#DIV/0!</v>
      </c>
      <c r="F139" s="238" t="s">
        <v>1197</v>
      </c>
      <c r="G139" s="203"/>
      <c r="H139" s="208"/>
      <c r="I139" s="203"/>
      <c r="J139" s="254" t="e">
        <f>IF(G138="",0,ROUND(((COUNT(B$132:B$137)-1)*K138-J138*F138)/((COUNT(B$132:B$137)-1)*G138-F138*F138),5))</f>
        <v>#DIV/0!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1198</v>
      </c>
      <c r="E140" s="219"/>
      <c r="F140" s="219"/>
      <c r="G140" s="256"/>
      <c r="H140" s="201" t="s">
        <v>1199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1182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1173</v>
      </c>
      <c r="C143" s="202"/>
      <c r="D143" s="202" t="s">
        <v>1183</v>
      </c>
      <c r="E143" s="202"/>
      <c r="F143" s="202" t="s">
        <v>1184</v>
      </c>
      <c r="G143" s="202"/>
      <c r="H143" s="202" t="s">
        <v>1185</v>
      </c>
      <c r="I143" s="202"/>
      <c r="J143" s="202" t="s">
        <v>1178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 t="e">
        <f>IF(J$139=0,0,ROUNDUP(D$132+E$139*(B144-B$132)^J$139,0))</f>
        <v>#DIV/0!</v>
      </c>
      <c r="E144" s="257"/>
      <c r="F144" s="258">
        <v>0</v>
      </c>
      <c r="G144" s="258"/>
      <c r="H144" s="258" t="e">
        <f t="shared" ref="H144:H158" si="21">ROUND(D144*(1+F144),0)</f>
        <v>#DIV/0!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 t="e">
        <f>IF(J$139=0,0,ROUNDUP(D$132+E$139*(B145-B$132)^J$139,0))</f>
        <v>#DIV/0!</v>
      </c>
      <c r="E145" s="257"/>
      <c r="F145" s="258">
        <v>0</v>
      </c>
      <c r="G145" s="258"/>
      <c r="H145" s="258" t="e">
        <f t="shared" si="21"/>
        <v>#DIV/0!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 t="e">
        <f>IF(J$139=0,0,ROUNDUP(D$132+E$139*(B146-B$132)^J$139,0))</f>
        <v>#DIV/0!</v>
      </c>
      <c r="E146" s="257"/>
      <c r="F146" s="258">
        <v>0</v>
      </c>
      <c r="G146" s="258"/>
      <c r="H146" s="258" t="e">
        <f t="shared" si="21"/>
        <v>#DIV/0!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 t="e">
        <f t="shared" ref="D147:D163" si="22">IF(J$139=0,0,ROUNDUP(D$132+E$139*(B147-B$132)^J$139,0))</f>
        <v>#DIV/0!</v>
      </c>
      <c r="E147" s="257"/>
      <c r="F147" s="258">
        <v>0</v>
      </c>
      <c r="G147" s="258"/>
      <c r="H147" s="258" t="e">
        <f t="shared" si="21"/>
        <v>#DIV/0!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 t="e">
        <f t="shared" si="22"/>
        <v>#DIV/0!</v>
      </c>
      <c r="E148" s="271"/>
      <c r="F148" s="272">
        <v>0</v>
      </c>
      <c r="G148" s="272"/>
      <c r="H148" s="272" t="e">
        <f t="shared" si="21"/>
        <v>#DIV/0!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 t="e">
        <f t="shared" si="22"/>
        <v>#DIV/0!</v>
      </c>
      <c r="E149" s="257"/>
      <c r="F149" s="258">
        <v>0</v>
      </c>
      <c r="G149" s="258"/>
      <c r="H149" s="258" t="e">
        <f t="shared" si="21"/>
        <v>#DIV/0!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 t="e">
        <f t="shared" si="22"/>
        <v>#DIV/0!</v>
      </c>
      <c r="E150" s="257"/>
      <c r="F150" s="258">
        <v>0</v>
      </c>
      <c r="G150" s="258"/>
      <c r="H150" s="258" t="e">
        <f t="shared" si="21"/>
        <v>#DIV/0!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 t="e">
        <f t="shared" si="22"/>
        <v>#DIV/0!</v>
      </c>
      <c r="E151" s="257"/>
      <c r="F151" s="258">
        <v>0</v>
      </c>
      <c r="G151" s="258"/>
      <c r="H151" s="258" t="e">
        <f t="shared" si="21"/>
        <v>#DIV/0!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 t="e">
        <f t="shared" si="22"/>
        <v>#DIV/0!</v>
      </c>
      <c r="E152" s="257"/>
      <c r="F152" s="258">
        <v>0</v>
      </c>
      <c r="G152" s="258"/>
      <c r="H152" s="258" t="e">
        <f t="shared" si="21"/>
        <v>#DIV/0!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 t="e">
        <f t="shared" si="22"/>
        <v>#DIV/0!</v>
      </c>
      <c r="E153" s="271"/>
      <c r="F153" s="272">
        <v>0</v>
      </c>
      <c r="G153" s="272"/>
      <c r="H153" s="272" t="e">
        <f t="shared" si="21"/>
        <v>#DIV/0!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 t="e">
        <f t="shared" si="22"/>
        <v>#DIV/0!</v>
      </c>
      <c r="E154" s="257"/>
      <c r="F154" s="258">
        <v>0</v>
      </c>
      <c r="G154" s="258"/>
      <c r="H154" s="258" t="e">
        <f t="shared" si="21"/>
        <v>#DIV/0!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 t="e">
        <f t="shared" si="22"/>
        <v>#DIV/0!</v>
      </c>
      <c r="E155" s="257"/>
      <c r="F155" s="258">
        <v>0</v>
      </c>
      <c r="G155" s="258"/>
      <c r="H155" s="258" t="e">
        <f t="shared" si="21"/>
        <v>#DIV/0!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 t="e">
        <f t="shared" si="22"/>
        <v>#DIV/0!</v>
      </c>
      <c r="E156" s="257"/>
      <c r="F156" s="258">
        <v>0</v>
      </c>
      <c r="G156" s="258"/>
      <c r="H156" s="258" t="e">
        <f t="shared" si="21"/>
        <v>#DIV/0!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 t="e">
        <f t="shared" si="22"/>
        <v>#DIV/0!</v>
      </c>
      <c r="E157" s="257"/>
      <c r="F157" s="258">
        <v>0</v>
      </c>
      <c r="G157" s="258"/>
      <c r="H157" s="258" t="e">
        <f t="shared" si="21"/>
        <v>#DIV/0!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 t="e">
        <f t="shared" si="22"/>
        <v>#DIV/0!</v>
      </c>
      <c r="E158" s="271"/>
      <c r="F158" s="272">
        <v>0</v>
      </c>
      <c r="G158" s="272"/>
      <c r="H158" s="272" t="e">
        <f t="shared" si="21"/>
        <v>#DIV/0!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 t="e">
        <f t="shared" si="22"/>
        <v>#DIV/0!</v>
      </c>
      <c r="E159" s="257"/>
      <c r="F159" s="258">
        <v>0</v>
      </c>
      <c r="G159" s="258"/>
      <c r="H159" s="258" t="e">
        <f>ROUND(D159*(1+F159),0)</f>
        <v>#DIV/0!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 t="e">
        <f t="shared" si="22"/>
        <v>#DIV/0!</v>
      </c>
      <c r="E160" s="257"/>
      <c r="F160" s="258">
        <v>0</v>
      </c>
      <c r="G160" s="258"/>
      <c r="H160" s="258" t="e">
        <f>ROUND(D160*(1+F160),0)</f>
        <v>#DIV/0!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 t="e">
        <f t="shared" si="22"/>
        <v>#DIV/0!</v>
      </c>
      <c r="E161" s="257"/>
      <c r="F161" s="258">
        <v>0</v>
      </c>
      <c r="G161" s="258"/>
      <c r="H161" s="258" t="e">
        <f>ROUND(D161*(1+F161),0)</f>
        <v>#DIV/0!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 t="e">
        <f t="shared" si="22"/>
        <v>#DIV/0!</v>
      </c>
      <c r="E162" s="257"/>
      <c r="F162" s="258">
        <v>0</v>
      </c>
      <c r="G162" s="258"/>
      <c r="H162" s="258" t="e">
        <f>ROUND(D162*(1+F162),0)</f>
        <v>#DIV/0!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 t="e">
        <f t="shared" si="22"/>
        <v>#DIV/0!</v>
      </c>
      <c r="E163" s="271"/>
      <c r="F163" s="272">
        <v>0</v>
      </c>
      <c r="G163" s="272"/>
      <c r="H163" s="272" t="e">
        <f>ROUND(D163*(1+F163),0)</f>
        <v>#DIV/0!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1200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1166</v>
      </c>
      <c r="D170" s="219" t="s">
        <v>1201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1168</v>
      </c>
      <c r="D171" s="219" t="s">
        <v>1188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1202</v>
      </c>
      <c r="E172" s="2250">
        <f>K7</f>
        <v>600</v>
      </c>
      <c r="F172" s="2250"/>
      <c r="G172" s="219" t="s">
        <v>1136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1137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1010</v>
      </c>
      <c r="C174" s="202"/>
      <c r="D174" s="202" t="s">
        <v>1121</v>
      </c>
      <c r="E174" s="202" t="s">
        <v>1122</v>
      </c>
      <c r="F174" s="202" t="s">
        <v>1123</v>
      </c>
      <c r="G174" s="202" t="s">
        <v>1138</v>
      </c>
      <c r="H174" s="202" t="s">
        <v>1139</v>
      </c>
      <c r="I174" s="202" t="s">
        <v>1140</v>
      </c>
      <c r="J174" s="202" t="s">
        <v>1134</v>
      </c>
      <c r="K174" s="202" t="s">
        <v>1141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 t="e">
        <f t="shared" ref="D175:D180" si="24">VLOOKUP(B175,B$7:E$12,3,FALSE)</f>
        <v>#DIV/0!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 t="e">
        <f t="shared" ref="G175:G180" si="27">E$172-D175</f>
        <v>#DIV/0!</v>
      </c>
      <c r="H175" s="259" t="e">
        <f t="shared" ref="H175:H180" si="28">LOG(D175)</f>
        <v>#DIV/0!</v>
      </c>
      <c r="I175" s="245" t="e">
        <f t="shared" ref="I175:I180" si="29">LOG(G175)</f>
        <v>#DIV/0!</v>
      </c>
      <c r="J175" s="246" t="e">
        <f t="shared" ref="J175:J180" si="30">H175-I175</f>
        <v>#DIV/0!</v>
      </c>
      <c r="K175" s="246" t="e">
        <f t="shared" ref="K175:K180" si="31">E175*J175</f>
        <v>#DIV/0!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 t="e">
        <f t="shared" si="24"/>
        <v>#DIV/0!</v>
      </c>
      <c r="E176" s="244">
        <f t="shared" si="25"/>
        <v>-1.5</v>
      </c>
      <c r="F176" s="206">
        <f t="shared" si="26"/>
        <v>2.25</v>
      </c>
      <c r="G176" s="844" t="e">
        <f t="shared" si="27"/>
        <v>#DIV/0!</v>
      </c>
      <c r="H176" s="259" t="e">
        <f t="shared" si="28"/>
        <v>#DIV/0!</v>
      </c>
      <c r="I176" s="245" t="e">
        <f t="shared" si="29"/>
        <v>#DIV/0!</v>
      </c>
      <c r="J176" s="246" t="e">
        <f t="shared" si="30"/>
        <v>#DIV/0!</v>
      </c>
      <c r="K176" s="246" t="e">
        <f t="shared" si="31"/>
        <v>#DIV/0!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 t="e">
        <f t="shared" si="24"/>
        <v>#DIV/0!</v>
      </c>
      <c r="E177" s="244">
        <f t="shared" si="25"/>
        <v>-0.5</v>
      </c>
      <c r="F177" s="206">
        <f t="shared" si="26"/>
        <v>0.25</v>
      </c>
      <c r="G177" s="844" t="e">
        <f t="shared" si="27"/>
        <v>#DIV/0!</v>
      </c>
      <c r="H177" s="259" t="e">
        <f t="shared" si="28"/>
        <v>#DIV/0!</v>
      </c>
      <c r="I177" s="245" t="e">
        <f t="shared" si="29"/>
        <v>#DIV/0!</v>
      </c>
      <c r="J177" s="246" t="e">
        <f t="shared" si="30"/>
        <v>#DIV/0!</v>
      </c>
      <c r="K177" s="246" t="e">
        <f t="shared" si="31"/>
        <v>#DIV/0!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 t="e">
        <f t="shared" si="24"/>
        <v>#DIV/0!</v>
      </c>
      <c r="E178" s="244">
        <f t="shared" si="25"/>
        <v>0.5</v>
      </c>
      <c r="F178" s="206">
        <f t="shared" si="26"/>
        <v>0.25</v>
      </c>
      <c r="G178" s="844" t="e">
        <f t="shared" si="27"/>
        <v>#DIV/0!</v>
      </c>
      <c r="H178" s="259" t="e">
        <f t="shared" si="28"/>
        <v>#DIV/0!</v>
      </c>
      <c r="I178" s="245" t="e">
        <f t="shared" si="29"/>
        <v>#DIV/0!</v>
      </c>
      <c r="J178" s="246" t="e">
        <f t="shared" si="30"/>
        <v>#DIV/0!</v>
      </c>
      <c r="K178" s="246" t="e">
        <f t="shared" si="31"/>
        <v>#DIV/0!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 t="e">
        <f t="shared" si="24"/>
        <v>#DIV/0!</v>
      </c>
      <c r="E179" s="244">
        <f t="shared" si="25"/>
        <v>1.5</v>
      </c>
      <c r="F179" s="206">
        <f t="shared" si="26"/>
        <v>2.25</v>
      </c>
      <c r="G179" s="844" t="e">
        <f t="shared" si="27"/>
        <v>#DIV/0!</v>
      </c>
      <c r="H179" s="259" t="e">
        <f t="shared" si="28"/>
        <v>#DIV/0!</v>
      </c>
      <c r="I179" s="245" t="e">
        <f t="shared" si="29"/>
        <v>#DIV/0!</v>
      </c>
      <c r="J179" s="246" t="e">
        <f t="shared" si="30"/>
        <v>#DIV/0!</v>
      </c>
      <c r="K179" s="246" t="e">
        <f t="shared" si="31"/>
        <v>#DIV/0!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 t="e">
        <f t="shared" si="24"/>
        <v>#DIV/0!</v>
      </c>
      <c r="E180" s="244">
        <f t="shared" si="25"/>
        <v>2.5</v>
      </c>
      <c r="F180" s="206">
        <f t="shared" si="26"/>
        <v>6.25</v>
      </c>
      <c r="G180" s="844" t="e">
        <f t="shared" si="27"/>
        <v>#DIV/0!</v>
      </c>
      <c r="H180" s="259" t="e">
        <f t="shared" si="28"/>
        <v>#DIV/0!</v>
      </c>
      <c r="I180" s="245" t="e">
        <f t="shared" si="29"/>
        <v>#DIV/0!</v>
      </c>
      <c r="J180" s="246" t="e">
        <f t="shared" si="30"/>
        <v>#DIV/0!</v>
      </c>
      <c r="K180" s="246" t="e">
        <f t="shared" si="31"/>
        <v>#DIV/0!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1056</v>
      </c>
      <c r="C181" s="212"/>
      <c r="D181" s="260" t="e">
        <f>SUM(D175:D180)</f>
        <v>#DIV/0!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 t="e">
        <f>SUM(J175:J180)</f>
        <v>#DIV/0!</v>
      </c>
      <c r="K181" s="263" t="e">
        <f>SUM(K175:K180)</f>
        <v>#DIV/0!</v>
      </c>
      <c r="L181" s="203"/>
      <c r="M181" s="203"/>
      <c r="N181" s="203"/>
      <c r="O181" s="203"/>
    </row>
    <row r="182" spans="1:15" ht="15" customHeight="1">
      <c r="A182" s="203"/>
      <c r="B182" s="208" t="s">
        <v>1142</v>
      </c>
      <c r="C182" s="208"/>
      <c r="D182" s="201" t="s">
        <v>1143</v>
      </c>
      <c r="E182" s="236" t="s">
        <v>1144</v>
      </c>
      <c r="F182" s="203"/>
      <c r="G182" s="219" t="str">
        <f>"X = x × LOG e = "&amp;E181&amp;" 이고,"</f>
        <v>X = x × LOG e = 0 이고,</v>
      </c>
      <c r="H182" s="219"/>
      <c r="I182" s="219" t="s">
        <v>1145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1146</v>
      </c>
      <c r="E183" s="219"/>
      <c r="F183" s="219"/>
      <c r="G183" s="219"/>
      <c r="H183" s="254" t="e">
        <f>ROUND(((E$181*K$181-F$181*J$181)/(COUNT(B$175:B$180)*F$181-E$181*E$181))/LOG(EXP(1)),5)</f>
        <v>#DIV/0!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1147</v>
      </c>
      <c r="E184" s="219"/>
      <c r="F184" s="219"/>
      <c r="G184" s="264" t="s">
        <v>1148</v>
      </c>
      <c r="H184" s="219"/>
      <c r="I184" s="219"/>
      <c r="J184" s="219"/>
      <c r="K184" s="265" t="e">
        <f>ROUND((COUNT(B$175:B$180)*K181-E181*J181)/(LOG(EXP(1))*(COUNT(B$175:B$180)*F181-E181*E181)),6)</f>
        <v>#DIV/0!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1061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1010</v>
      </c>
      <c r="C187" s="202"/>
      <c r="D187" s="202" t="s">
        <v>1025</v>
      </c>
      <c r="E187" s="202"/>
      <c r="F187" s="202" t="s">
        <v>1026</v>
      </c>
      <c r="G187" s="202"/>
      <c r="H187" s="202" t="s">
        <v>1027</v>
      </c>
      <c r="I187" s="202"/>
      <c r="J187" s="202" t="s">
        <v>1014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 t="e">
        <f t="shared" ref="D188:D207" si="32">ROUNDUP(E$172/(1+EXP(1)^(H$183-K$184*(B188-B$176+0.5))),0)</f>
        <v>#DIV/0!</v>
      </c>
      <c r="E188" s="221"/>
      <c r="F188" s="221">
        <v>0</v>
      </c>
      <c r="G188" s="221"/>
      <c r="H188" s="221" t="e">
        <f t="shared" ref="H188:H202" si="33">ROUND(D188*(1+F188),0)</f>
        <v>#DIV/0!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 t="e">
        <f t="shared" si="32"/>
        <v>#DIV/0!</v>
      </c>
      <c r="E189" s="221"/>
      <c r="F189" s="221">
        <v>0</v>
      </c>
      <c r="G189" s="221"/>
      <c r="H189" s="221" t="e">
        <f t="shared" si="33"/>
        <v>#DIV/0!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 t="e">
        <f t="shared" si="32"/>
        <v>#DIV/0!</v>
      </c>
      <c r="E190" s="221"/>
      <c r="F190" s="221">
        <v>0</v>
      </c>
      <c r="G190" s="221"/>
      <c r="H190" s="221" t="e">
        <f t="shared" si="33"/>
        <v>#DIV/0!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 t="e">
        <f t="shared" si="32"/>
        <v>#DIV/0!</v>
      </c>
      <c r="E191" s="221"/>
      <c r="F191" s="221">
        <v>0</v>
      </c>
      <c r="G191" s="221"/>
      <c r="H191" s="221" t="e">
        <f t="shared" si="33"/>
        <v>#DIV/0!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 t="e">
        <f t="shared" si="32"/>
        <v>#DIV/0!</v>
      </c>
      <c r="E192" s="269"/>
      <c r="F192" s="269">
        <v>0</v>
      </c>
      <c r="G192" s="269"/>
      <c r="H192" s="269" t="e">
        <f t="shared" si="33"/>
        <v>#DIV/0!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 t="e">
        <f t="shared" si="32"/>
        <v>#DIV/0!</v>
      </c>
      <c r="E193" s="221"/>
      <c r="F193" s="221">
        <v>0</v>
      </c>
      <c r="G193" s="221"/>
      <c r="H193" s="221" t="e">
        <f t="shared" si="33"/>
        <v>#DIV/0!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 t="e">
        <f t="shared" si="32"/>
        <v>#DIV/0!</v>
      </c>
      <c r="E194" s="221"/>
      <c r="F194" s="221">
        <v>0</v>
      </c>
      <c r="G194" s="221"/>
      <c r="H194" s="221" t="e">
        <f t="shared" si="33"/>
        <v>#DIV/0!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 t="e">
        <f t="shared" si="32"/>
        <v>#DIV/0!</v>
      </c>
      <c r="E195" s="221"/>
      <c r="F195" s="221">
        <v>0</v>
      </c>
      <c r="G195" s="221"/>
      <c r="H195" s="221" t="e">
        <f t="shared" si="33"/>
        <v>#DIV/0!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 t="e">
        <f t="shared" si="32"/>
        <v>#DIV/0!</v>
      </c>
      <c r="E196" s="221"/>
      <c r="F196" s="221">
        <v>0</v>
      </c>
      <c r="G196" s="221"/>
      <c r="H196" s="221" t="e">
        <f t="shared" si="33"/>
        <v>#DIV/0!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 t="e">
        <f t="shared" si="32"/>
        <v>#DIV/0!</v>
      </c>
      <c r="E197" s="269"/>
      <c r="F197" s="269">
        <v>0</v>
      </c>
      <c r="G197" s="269"/>
      <c r="H197" s="269" t="e">
        <f t="shared" si="33"/>
        <v>#DIV/0!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 t="e">
        <f t="shared" si="32"/>
        <v>#DIV/0!</v>
      </c>
      <c r="E198" s="221"/>
      <c r="F198" s="221">
        <v>0</v>
      </c>
      <c r="G198" s="221"/>
      <c r="H198" s="221" t="e">
        <f t="shared" si="33"/>
        <v>#DIV/0!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 t="e">
        <f t="shared" si="32"/>
        <v>#DIV/0!</v>
      </c>
      <c r="E199" s="221"/>
      <c r="F199" s="221">
        <v>0</v>
      </c>
      <c r="G199" s="221"/>
      <c r="H199" s="221" t="e">
        <f t="shared" si="33"/>
        <v>#DIV/0!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 t="e">
        <f t="shared" si="32"/>
        <v>#DIV/0!</v>
      </c>
      <c r="E200" s="221"/>
      <c r="F200" s="221">
        <v>0</v>
      </c>
      <c r="G200" s="221"/>
      <c r="H200" s="221" t="e">
        <f t="shared" si="33"/>
        <v>#DIV/0!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 t="e">
        <f t="shared" si="32"/>
        <v>#DIV/0!</v>
      </c>
      <c r="E201" s="221"/>
      <c r="F201" s="221">
        <v>0</v>
      </c>
      <c r="G201" s="221"/>
      <c r="H201" s="221" t="e">
        <f t="shared" si="33"/>
        <v>#DIV/0!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 t="e">
        <f t="shared" si="32"/>
        <v>#DIV/0!</v>
      </c>
      <c r="E202" s="269"/>
      <c r="F202" s="269">
        <v>0</v>
      </c>
      <c r="G202" s="269"/>
      <c r="H202" s="269" t="e">
        <f t="shared" si="33"/>
        <v>#DIV/0!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 t="e">
        <f t="shared" si="32"/>
        <v>#DIV/0!</v>
      </c>
      <c r="E203" s="221"/>
      <c r="F203" s="221">
        <v>0</v>
      </c>
      <c r="G203" s="221"/>
      <c r="H203" s="221" t="e">
        <f>ROUND(D203*(1+F203),0)</f>
        <v>#DIV/0!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 t="e">
        <f t="shared" si="32"/>
        <v>#DIV/0!</v>
      </c>
      <c r="E204" s="221"/>
      <c r="F204" s="221">
        <v>0</v>
      </c>
      <c r="G204" s="221"/>
      <c r="H204" s="221" t="e">
        <f>ROUND(D204*(1+F204),0)</f>
        <v>#DIV/0!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 t="e">
        <f t="shared" si="32"/>
        <v>#DIV/0!</v>
      </c>
      <c r="E205" s="221"/>
      <c r="F205" s="221">
        <v>0</v>
      </c>
      <c r="G205" s="221"/>
      <c r="H205" s="221" t="e">
        <f>ROUND(D205*(1+F205),0)</f>
        <v>#DIV/0!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 t="e">
        <f t="shared" si="32"/>
        <v>#DIV/0!</v>
      </c>
      <c r="E206" s="221"/>
      <c r="F206" s="221">
        <v>0</v>
      </c>
      <c r="G206" s="221"/>
      <c r="H206" s="221" t="e">
        <f>ROUND(D206*(1+F206),0)</f>
        <v>#DIV/0!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 t="e">
        <f t="shared" si="32"/>
        <v>#DIV/0!</v>
      </c>
      <c r="E207" s="269"/>
      <c r="F207" s="269">
        <v>0</v>
      </c>
      <c r="G207" s="269"/>
      <c r="H207" s="269" t="e">
        <f>ROUND(D207*(1+F207),0)</f>
        <v>#DIV/0!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1149</v>
      </c>
      <c r="G213" s="208"/>
      <c r="H213" s="203"/>
      <c r="I213" s="203"/>
      <c r="J213" s="203"/>
      <c r="K213" s="228" t="s">
        <v>1150</v>
      </c>
      <c r="L213" s="203"/>
      <c r="M213" s="203"/>
      <c r="N213" s="203"/>
      <c r="O213" s="203"/>
    </row>
    <row r="214" spans="1:15" ht="15" customHeight="1">
      <c r="A214" s="203"/>
      <c r="B214" s="202" t="s">
        <v>1010</v>
      </c>
      <c r="C214" s="202"/>
      <c r="D214" s="202" t="s">
        <v>1151</v>
      </c>
      <c r="E214" s="202" t="s">
        <v>1152</v>
      </c>
      <c r="F214" s="202" t="s">
        <v>1153</v>
      </c>
      <c r="G214" s="202" t="s">
        <v>992</v>
      </c>
      <c r="H214" s="202" t="s">
        <v>1154</v>
      </c>
      <c r="I214" s="202" t="s">
        <v>1155</v>
      </c>
      <c r="J214" s="202" t="s">
        <v>1156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 t="e">
        <f t="array" ref="D215">IF(B22=B215,H22)</f>
        <v>#DIV/0!</v>
      </c>
      <c r="E215" s="257" t="e">
        <f t="array" ref="E215">IF(B54=B215,H54)</f>
        <v>#DIV/0!</v>
      </c>
      <c r="F215" s="257" t="e">
        <f t="array" ref="F215">IF(B103=B215,H103)</f>
        <v>#DIV/0!</v>
      </c>
      <c r="G215" s="257" t="e">
        <f t="array" ref="G215">IF(B144=B215,H144)</f>
        <v>#DIV/0!</v>
      </c>
      <c r="H215" s="257" t="e">
        <f t="array" ref="H215">IF(B188=B215,H188)</f>
        <v>#DIV/0!</v>
      </c>
      <c r="I215" s="257" t="e">
        <f t="shared" ref="I215:I229" si="34">IF(G215=0,AVERAGE(D215,E215,F215,H215),AVERAGE(D215:H215))</f>
        <v>#DIV/0!</v>
      </c>
      <c r="J215" s="266" t="e">
        <f t="shared" ref="J215:J229" si="35">ROUND(AVERAGE(D215,F215:G215),0)</f>
        <v>#DIV/0!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 t="e">
        <f t="array" ref="D216">IF(B23=B216,H23)</f>
        <v>#DIV/0!</v>
      </c>
      <c r="E216" s="257" t="e">
        <f t="array" ref="E216">IF(B55=B216,H55)</f>
        <v>#DIV/0!</v>
      </c>
      <c r="F216" s="257" t="e">
        <f t="array" ref="F216">IF(B104=B216,H104)</f>
        <v>#DIV/0!</v>
      </c>
      <c r="G216" s="257" t="e">
        <f t="array" ref="G216">IF(B145=B216,H145)</f>
        <v>#DIV/0!</v>
      </c>
      <c r="H216" s="257" t="e">
        <f t="array" ref="H216">IF(B189=B216,H189)</f>
        <v>#DIV/0!</v>
      </c>
      <c r="I216" s="257" t="e">
        <f t="shared" si="34"/>
        <v>#DIV/0!</v>
      </c>
      <c r="J216" s="266" t="e">
        <f t="shared" si="35"/>
        <v>#DIV/0!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 t="e">
        <f t="array" ref="D217">IF(B24=B217,H24)</f>
        <v>#DIV/0!</v>
      </c>
      <c r="E217" s="257" t="e">
        <f t="array" ref="E217">IF(B56=B217,H56)</f>
        <v>#DIV/0!</v>
      </c>
      <c r="F217" s="257" t="e">
        <f t="array" ref="F217">IF(B105=B217,H105)</f>
        <v>#DIV/0!</v>
      </c>
      <c r="G217" s="257" t="e">
        <f t="array" ref="G217">IF(B146=B217,H146)</f>
        <v>#DIV/0!</v>
      </c>
      <c r="H217" s="257" t="e">
        <f t="array" ref="H217">IF(B190=B217,H190)</f>
        <v>#DIV/0!</v>
      </c>
      <c r="I217" s="257" t="e">
        <f t="shared" si="34"/>
        <v>#DIV/0!</v>
      </c>
      <c r="J217" s="266" t="e">
        <f t="shared" si="35"/>
        <v>#DIV/0!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 t="e">
        <f t="array" ref="D218">IF(B25=B218,H25)</f>
        <v>#DIV/0!</v>
      </c>
      <c r="E218" s="257" t="e">
        <f t="array" ref="E218">IF(B57=B218,H57)</f>
        <v>#DIV/0!</v>
      </c>
      <c r="F218" s="257" t="e">
        <f t="array" ref="F218">IF(B106=B218,H106)</f>
        <v>#DIV/0!</v>
      </c>
      <c r="G218" s="257" t="e">
        <f t="array" ref="G218">IF(B147=B218,H147)</f>
        <v>#DIV/0!</v>
      </c>
      <c r="H218" s="257" t="e">
        <f t="array" ref="H218">IF(B191=B218,H191)</f>
        <v>#DIV/0!</v>
      </c>
      <c r="I218" s="257" t="e">
        <f t="shared" si="34"/>
        <v>#DIV/0!</v>
      </c>
      <c r="J218" s="266" t="e">
        <f t="shared" si="35"/>
        <v>#DIV/0!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 t="e">
        <f t="array" ref="D219">IF(B26=B219,H26)</f>
        <v>#DIV/0!</v>
      </c>
      <c r="E219" s="271" t="e">
        <f t="array" ref="E219">IF(B58=B219,H58)</f>
        <v>#DIV/0!</v>
      </c>
      <c r="F219" s="271" t="e">
        <f t="array" ref="F219">IF(B107=B219,H107)</f>
        <v>#DIV/0!</v>
      </c>
      <c r="G219" s="271" t="e">
        <f t="array" ref="G219">IF(B148=B219,H148)</f>
        <v>#DIV/0!</v>
      </c>
      <c r="H219" s="271" t="e">
        <f t="array" ref="H219">IF(B192=B219,H192)</f>
        <v>#DIV/0!</v>
      </c>
      <c r="I219" s="271" t="e">
        <f t="shared" si="34"/>
        <v>#DIV/0!</v>
      </c>
      <c r="J219" s="273" t="e">
        <f t="shared" si="35"/>
        <v>#DIV/0!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 t="e">
        <f t="array" ref="D220">IF(B27=B220,H27)</f>
        <v>#DIV/0!</v>
      </c>
      <c r="E220" s="257" t="e">
        <f t="array" ref="E220">IF(B59=B220,H59)</f>
        <v>#DIV/0!</v>
      </c>
      <c r="F220" s="257" t="e">
        <f t="array" ref="F220">IF(B108=B220,H108)</f>
        <v>#DIV/0!</v>
      </c>
      <c r="G220" s="257" t="e">
        <f t="array" ref="G220">IF(B149=B220,H149)</f>
        <v>#DIV/0!</v>
      </c>
      <c r="H220" s="257" t="e">
        <f t="array" ref="H220">IF(B193=B220,H193)</f>
        <v>#DIV/0!</v>
      </c>
      <c r="I220" s="257" t="e">
        <f t="shared" si="34"/>
        <v>#DIV/0!</v>
      </c>
      <c r="J220" s="266" t="e">
        <f t="shared" si="35"/>
        <v>#DIV/0!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 t="e">
        <f t="array" ref="D221">IF(B28=B221,H28)</f>
        <v>#DIV/0!</v>
      </c>
      <c r="E221" s="257" t="e">
        <f t="array" ref="E221">IF(B60=B221,H60)</f>
        <v>#DIV/0!</v>
      </c>
      <c r="F221" s="257" t="e">
        <f t="array" ref="F221">IF(B109=B221,H109)</f>
        <v>#DIV/0!</v>
      </c>
      <c r="G221" s="257" t="e">
        <f t="array" ref="G221">IF(B150=B221,H150)</f>
        <v>#DIV/0!</v>
      </c>
      <c r="H221" s="257" t="e">
        <f t="array" ref="H221">IF(B194=B221,H194)</f>
        <v>#DIV/0!</v>
      </c>
      <c r="I221" s="257" t="e">
        <f t="shared" si="34"/>
        <v>#DIV/0!</v>
      </c>
      <c r="J221" s="266" t="e">
        <f t="shared" si="35"/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 t="e">
        <f t="array" ref="D222">IF(B29=B222,H29)</f>
        <v>#DIV/0!</v>
      </c>
      <c r="E222" s="257" t="e">
        <f t="array" ref="E222">IF(B61=B222,H61)</f>
        <v>#DIV/0!</v>
      </c>
      <c r="F222" s="257" t="e">
        <f t="array" ref="F222">IF(B110=B222,H110)</f>
        <v>#DIV/0!</v>
      </c>
      <c r="G222" s="257" t="e">
        <f t="array" ref="G222">IF(B151=B222,H151)</f>
        <v>#DIV/0!</v>
      </c>
      <c r="H222" s="257" t="e">
        <f t="array" ref="H222">IF(B195=B222,H195)</f>
        <v>#DIV/0!</v>
      </c>
      <c r="I222" s="257" t="e">
        <f t="shared" si="34"/>
        <v>#DIV/0!</v>
      </c>
      <c r="J222" s="266" t="e">
        <f t="shared" si="35"/>
        <v>#DIV/0!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 t="e">
        <f t="array" ref="D223">IF(B30=B223,H30)</f>
        <v>#DIV/0!</v>
      </c>
      <c r="E223" s="257" t="e">
        <f t="array" ref="E223">IF(B62=B223,H62)</f>
        <v>#DIV/0!</v>
      </c>
      <c r="F223" s="257" t="e">
        <f t="array" ref="F223">IF(B111=B223,H111)</f>
        <v>#DIV/0!</v>
      </c>
      <c r="G223" s="257" t="e">
        <f t="array" ref="G223">IF(B152=B223,H152)</f>
        <v>#DIV/0!</v>
      </c>
      <c r="H223" s="257" t="e">
        <f t="array" ref="H223">IF(B196=B223,H196)</f>
        <v>#DIV/0!</v>
      </c>
      <c r="I223" s="257" t="e">
        <f t="shared" si="34"/>
        <v>#DIV/0!</v>
      </c>
      <c r="J223" s="266" t="e">
        <f t="shared" si="35"/>
        <v>#DIV/0!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 t="e">
        <f t="array" ref="D224">IF(B31=B224,H31)</f>
        <v>#DIV/0!</v>
      </c>
      <c r="E224" s="271" t="e">
        <f t="array" ref="E224">IF(B63=B224,H63)</f>
        <v>#DIV/0!</v>
      </c>
      <c r="F224" s="271" t="e">
        <f t="array" ref="F224">IF(B112=B224,H112)</f>
        <v>#DIV/0!</v>
      </c>
      <c r="G224" s="271" t="e">
        <f t="array" ref="G224">IF(B153=B224,H153)</f>
        <v>#DIV/0!</v>
      </c>
      <c r="H224" s="271" t="e">
        <f t="array" ref="H224">IF(B197=B224,H197)</f>
        <v>#DIV/0!</v>
      </c>
      <c r="I224" s="271" t="e">
        <f t="shared" si="34"/>
        <v>#DIV/0!</v>
      </c>
      <c r="J224" s="273" t="e">
        <f t="shared" si="35"/>
        <v>#DIV/0!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 t="e">
        <f t="array" ref="D225">IF(B32=B225,H32)</f>
        <v>#DIV/0!</v>
      </c>
      <c r="E225" s="257" t="e">
        <f t="array" ref="E225">IF(B64=B225,H64)</f>
        <v>#DIV/0!</v>
      </c>
      <c r="F225" s="257" t="e">
        <f t="array" ref="F225">IF(B113=B225,H113)</f>
        <v>#DIV/0!</v>
      </c>
      <c r="G225" s="257" t="e">
        <f t="array" ref="G225">IF(B154=B225,H154)</f>
        <v>#DIV/0!</v>
      </c>
      <c r="H225" s="257" t="e">
        <f t="array" ref="H225">IF(B198=B225,H198)</f>
        <v>#DIV/0!</v>
      </c>
      <c r="I225" s="257" t="e">
        <f t="shared" si="34"/>
        <v>#DIV/0!</v>
      </c>
      <c r="J225" s="266" t="e">
        <f t="shared" si="35"/>
        <v>#DIV/0!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 t="e">
        <f t="array" ref="D226">IF(B33=B226,H33)</f>
        <v>#DIV/0!</v>
      </c>
      <c r="E226" s="257" t="e">
        <f t="array" ref="E226">IF(B65=B226,H65)</f>
        <v>#DIV/0!</v>
      </c>
      <c r="F226" s="257" t="e">
        <f t="array" ref="F226">IF(B114=B226,H114)</f>
        <v>#DIV/0!</v>
      </c>
      <c r="G226" s="257" t="e">
        <f t="array" ref="G226">IF(B155=B226,H155)</f>
        <v>#DIV/0!</v>
      </c>
      <c r="H226" s="257" t="e">
        <f t="array" ref="H226">IF(B199=B226,H199)</f>
        <v>#DIV/0!</v>
      </c>
      <c r="I226" s="257" t="e">
        <f t="shared" si="34"/>
        <v>#DIV/0!</v>
      </c>
      <c r="J226" s="266" t="e">
        <f t="shared" si="35"/>
        <v>#DIV/0!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 t="e">
        <f t="array" ref="D227">IF(B34=B227,H34)</f>
        <v>#DIV/0!</v>
      </c>
      <c r="E227" s="257" t="e">
        <f t="array" ref="E227">IF(B66=B227,H66)</f>
        <v>#DIV/0!</v>
      </c>
      <c r="F227" s="257" t="e">
        <f t="array" ref="F227">IF(B115=B227,H115)</f>
        <v>#DIV/0!</v>
      </c>
      <c r="G227" s="257" t="e">
        <f t="array" ref="G227">IF(B156=B227,H156)</f>
        <v>#DIV/0!</v>
      </c>
      <c r="H227" s="257" t="e">
        <f t="array" ref="H227">IF(B200=B227,H200)</f>
        <v>#DIV/0!</v>
      </c>
      <c r="I227" s="257" t="e">
        <f t="shared" si="34"/>
        <v>#DIV/0!</v>
      </c>
      <c r="J227" s="266" t="e">
        <f t="shared" si="35"/>
        <v>#DIV/0!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 t="e">
        <f t="array" ref="D228">IF(B35=B228,H35)</f>
        <v>#DIV/0!</v>
      </c>
      <c r="E228" s="257" t="e">
        <f t="array" ref="E228">IF(B67=B228,H67)</f>
        <v>#DIV/0!</v>
      </c>
      <c r="F228" s="257" t="e">
        <f t="array" ref="F228">IF(B116=B228,H116)</f>
        <v>#DIV/0!</v>
      </c>
      <c r="G228" s="257" t="e">
        <f t="array" ref="G228">IF(B157=B228,H157)</f>
        <v>#DIV/0!</v>
      </c>
      <c r="H228" s="257" t="e">
        <f t="array" ref="H228">IF(B201=B228,H201)</f>
        <v>#DIV/0!</v>
      </c>
      <c r="I228" s="257" t="e">
        <f t="shared" si="34"/>
        <v>#DIV/0!</v>
      </c>
      <c r="J228" s="266" t="e">
        <f t="shared" si="35"/>
        <v>#DIV/0!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 t="e">
        <f t="array" ref="D229">IF(B36=B229,H36)</f>
        <v>#DIV/0!</v>
      </c>
      <c r="E229" s="271" t="e">
        <f t="array" ref="E229">IF(B68=B229,H68)</f>
        <v>#DIV/0!</v>
      </c>
      <c r="F229" s="271" t="e">
        <f t="array" ref="F229">IF(B117=B229,H117)</f>
        <v>#DIV/0!</v>
      </c>
      <c r="G229" s="271" t="e">
        <f t="array" ref="G229">IF(B158=B229,H158)</f>
        <v>#DIV/0!</v>
      </c>
      <c r="H229" s="271" t="e">
        <f t="array" ref="H229">IF(B202=B229,H202)</f>
        <v>#DIV/0!</v>
      </c>
      <c r="I229" s="271" t="e">
        <f t="shared" si="34"/>
        <v>#DIV/0!</v>
      </c>
      <c r="J229" s="273" t="e">
        <f t="shared" si="35"/>
        <v>#DIV/0!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 t="e">
        <f t="array" ref="D230">IF(B37=B230,H37)</f>
        <v>#DIV/0!</v>
      </c>
      <c r="E230" s="257" t="e">
        <f t="array" ref="E230">IF(B69=B230,H69)</f>
        <v>#DIV/0!</v>
      </c>
      <c r="F230" s="257" t="e">
        <f t="array" ref="F230">IF(B118=B230,H118)</f>
        <v>#DIV/0!</v>
      </c>
      <c r="G230" s="257" t="e">
        <f t="array" ref="G230">IF(B159=B230,H159)</f>
        <v>#DIV/0!</v>
      </c>
      <c r="H230" s="257" t="e">
        <f t="array" ref="H230">IF(B203=B230,H203)</f>
        <v>#DIV/0!</v>
      </c>
      <c r="I230" s="257" t="e">
        <f>IF(G230=0,AVERAGE(D230,E230,F230,H230),AVERAGE(D230:H230))</f>
        <v>#DIV/0!</v>
      </c>
      <c r="J230" s="266" t="e">
        <f>ROUND(AVERAGE(D230,F230:G230),0)</f>
        <v>#DIV/0!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 t="e">
        <f t="array" ref="D231">IF(B38=B231,H38)</f>
        <v>#DIV/0!</v>
      </c>
      <c r="E231" s="257" t="e">
        <f t="array" ref="E231">IF(B70=B231,H70)</f>
        <v>#DIV/0!</v>
      </c>
      <c r="F231" s="257" t="e">
        <f t="array" ref="F231">IF(B119=B231,H119)</f>
        <v>#DIV/0!</v>
      </c>
      <c r="G231" s="257" t="e">
        <f t="array" ref="G231">IF(B160=B231,H160)</f>
        <v>#DIV/0!</v>
      </c>
      <c r="H231" s="257" t="e">
        <f t="array" ref="H231">IF(B204=B231,H204)</f>
        <v>#DIV/0!</v>
      </c>
      <c r="I231" s="257" t="e">
        <f>IF(G231=0,AVERAGE(D231,E231,F231,H231),AVERAGE(D231:H231))</f>
        <v>#DIV/0!</v>
      </c>
      <c r="J231" s="266" t="e">
        <f>ROUND(AVERAGE(D231,F231:G231),0)</f>
        <v>#DIV/0!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 t="e">
        <f t="array" ref="D232">IF(B39=B232,H39)</f>
        <v>#DIV/0!</v>
      </c>
      <c r="E232" s="257" t="e">
        <f t="array" ref="E232">IF(B71=B232,H71)</f>
        <v>#DIV/0!</v>
      </c>
      <c r="F232" s="257" t="e">
        <f t="array" ref="F232">IF(B120=B232,H120)</f>
        <v>#DIV/0!</v>
      </c>
      <c r="G232" s="257" t="e">
        <f t="array" ref="G232">IF(B161=B232,H161)</f>
        <v>#DIV/0!</v>
      </c>
      <c r="H232" s="257" t="e">
        <f t="array" ref="H232">IF(B205=B232,H205)</f>
        <v>#DIV/0!</v>
      </c>
      <c r="I232" s="257" t="e">
        <f>IF(G232=0,AVERAGE(D232,E232,F232,H232),AVERAGE(D232:H232))</f>
        <v>#DIV/0!</v>
      </c>
      <c r="J232" s="266" t="e">
        <f>ROUND(AVERAGE(D232,F232:G232),0)</f>
        <v>#DIV/0!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 t="e">
        <f t="array" ref="D233">IF(B40=B233,H40)</f>
        <v>#DIV/0!</v>
      </c>
      <c r="E233" s="257" t="e">
        <f t="array" ref="E233">IF(B72=B233,H72)</f>
        <v>#DIV/0!</v>
      </c>
      <c r="F233" s="257" t="e">
        <f t="array" ref="F233">IF(B121=B233,H121)</f>
        <v>#DIV/0!</v>
      </c>
      <c r="G233" s="257" t="e">
        <f t="array" ref="G233">IF(B162=B233,H162)</f>
        <v>#DIV/0!</v>
      </c>
      <c r="H233" s="257" t="e">
        <f t="array" ref="H233">IF(B206=B233,H206)</f>
        <v>#DIV/0!</v>
      </c>
      <c r="I233" s="257" t="e">
        <f>IF(G233=0,AVERAGE(D233,E233,F233,H233),AVERAGE(D233:H233))</f>
        <v>#DIV/0!</v>
      </c>
      <c r="J233" s="266" t="e">
        <f>ROUND(AVERAGE(D233,F233:G233),0)</f>
        <v>#DIV/0!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 t="e">
        <f t="array" ref="D234">IF(B41=B234,H41)</f>
        <v>#DIV/0!</v>
      </c>
      <c r="E234" s="271" t="e">
        <f t="array" ref="E234">IF(B73=B234,H73)</f>
        <v>#DIV/0!</v>
      </c>
      <c r="F234" s="271" t="e">
        <f t="array" ref="F234">IF(B122=B234,H122)</f>
        <v>#DIV/0!</v>
      </c>
      <c r="G234" s="271" t="e">
        <f t="array" ref="G234">IF(B163=B234,H163)</f>
        <v>#DIV/0!</v>
      </c>
      <c r="H234" s="271" t="e">
        <f t="array" ref="H234">IF(B207=B234,H207)</f>
        <v>#DIV/0!</v>
      </c>
      <c r="I234" s="271" t="e">
        <f>IF(G234=0,AVERAGE(D234,E234,F234,H234),AVERAGE(D234:H234))</f>
        <v>#DIV/0!</v>
      </c>
      <c r="J234" s="273" t="e">
        <f>ROUND(AVERAGE(D234,F234:G234),0)</f>
        <v>#DIV/0!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1245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1778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 t="e">
        <f>+'원남면(10년) (물)'!D8</f>
        <v>#DIV/0!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 t="e">
        <f>+'원남면(10년) (물)'!D9</f>
        <v>#DIV/0!</v>
      </c>
      <c r="E8" s="844"/>
      <c r="F8" s="206" t="e">
        <f>D8-D7</f>
        <v>#DIV/0!</v>
      </c>
      <c r="G8" s="206"/>
      <c r="H8" s="207" t="e">
        <f>ROUND(F8/D7*100,2)</f>
        <v>#DIV/0!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 t="e">
        <f>+'원남면(10년) (물)'!D10</f>
        <v>#DIV/0!</v>
      </c>
      <c r="E9" s="844"/>
      <c r="F9" s="206" t="e">
        <f>D9-D8</f>
        <v>#DIV/0!</v>
      </c>
      <c r="G9" s="206"/>
      <c r="H9" s="207" t="e">
        <f>ROUND(F9/D8*100,2)</f>
        <v>#DIV/0!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 t="e">
        <f>+'원남면(10년) (물)'!D11</f>
        <v>#DIV/0!</v>
      </c>
      <c r="E10" s="844"/>
      <c r="F10" s="206" t="e">
        <f>D10-D9</f>
        <v>#DIV/0!</v>
      </c>
      <c r="G10" s="206"/>
      <c r="H10" s="207" t="e">
        <f>ROUND(F10/D9*100,2)</f>
        <v>#DIV/0!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 t="e">
        <f>+'원남면(10년) (물)'!D12</f>
        <v>#DIV/0!</v>
      </c>
      <c r="E11" s="844"/>
      <c r="F11" s="206" t="e">
        <f>D11-D10</f>
        <v>#DIV/0!</v>
      </c>
      <c r="G11" s="206"/>
      <c r="H11" s="207" t="e">
        <f>ROUND(F11/D10*100,2)</f>
        <v>#DIV/0!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1248</v>
      </c>
      <c r="C12" s="212"/>
      <c r="D12" s="213" t="e">
        <f>SUM(D7:D11)</f>
        <v>#DIV/0!</v>
      </c>
      <c r="E12" s="214"/>
      <c r="F12" s="215"/>
      <c r="G12" s="215"/>
      <c r="H12" s="216" t="e">
        <f>SUM(H7:H11)</f>
        <v>#DIV/0!</v>
      </c>
      <c r="I12" s="216"/>
      <c r="J12" s="217" t="e">
        <f>ROUND(AVERAGE(H7:H11),1)</f>
        <v>#DIV/0!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144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 t="e">
        <f t="shared" ref="D21:D40" si="0">ROUND(E$41+H$41*(B21-$C$4),0)</f>
        <v>#DIV/0!</v>
      </c>
      <c r="E21" s="221"/>
      <c r="F21" s="221">
        <v>0</v>
      </c>
      <c r="G21" s="221"/>
      <c r="H21" s="221" t="e">
        <f t="shared" ref="H21:H40" si="1">ROUND(D21*(1+F21),0)</f>
        <v>#DIV/0!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 t="e">
        <f t="shared" si="0"/>
        <v>#DIV/0!</v>
      </c>
      <c r="E22" s="221"/>
      <c r="F22" s="221">
        <v>0</v>
      </c>
      <c r="G22" s="221"/>
      <c r="H22" s="221" t="e">
        <f t="shared" si="1"/>
        <v>#DIV/0!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 t="e">
        <f t="shared" si="0"/>
        <v>#DIV/0!</v>
      </c>
      <c r="E23" s="221"/>
      <c r="F23" s="221">
        <v>0</v>
      </c>
      <c r="G23" s="221"/>
      <c r="H23" s="221" t="e">
        <f t="shared" si="1"/>
        <v>#DIV/0!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 t="e">
        <f t="shared" si="0"/>
        <v>#DIV/0!</v>
      </c>
      <c r="E24" s="221"/>
      <c r="F24" s="221">
        <v>0</v>
      </c>
      <c r="G24" s="221"/>
      <c r="H24" s="221" t="e">
        <f t="shared" si="1"/>
        <v>#DIV/0!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 t="e">
        <f t="shared" si="0"/>
        <v>#DIV/0!</v>
      </c>
      <c r="E25" s="269"/>
      <c r="F25" s="269">
        <v>0</v>
      </c>
      <c r="G25" s="269"/>
      <c r="H25" s="269" t="e">
        <f t="shared" si="1"/>
        <v>#DIV/0!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 t="e">
        <f t="shared" si="0"/>
        <v>#DIV/0!</v>
      </c>
      <c r="E26" s="221"/>
      <c r="F26" s="221">
        <v>0</v>
      </c>
      <c r="G26" s="221"/>
      <c r="H26" s="221" t="e">
        <f t="shared" si="1"/>
        <v>#DIV/0!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 t="e">
        <f t="shared" si="0"/>
        <v>#DIV/0!</v>
      </c>
      <c r="E27" s="221"/>
      <c r="F27" s="221">
        <v>0</v>
      </c>
      <c r="G27" s="221"/>
      <c r="H27" s="221" t="e">
        <f t="shared" si="1"/>
        <v>#DIV/0!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 t="e">
        <f t="shared" si="0"/>
        <v>#DIV/0!</v>
      </c>
      <c r="E28" s="221"/>
      <c r="F28" s="221">
        <v>0</v>
      </c>
      <c r="G28" s="221"/>
      <c r="H28" s="221" t="e">
        <f t="shared" si="1"/>
        <v>#DIV/0!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 t="e">
        <f t="shared" si="0"/>
        <v>#DIV/0!</v>
      </c>
      <c r="E29" s="221"/>
      <c r="F29" s="221">
        <v>0</v>
      </c>
      <c r="G29" s="221"/>
      <c r="H29" s="221" t="e">
        <f t="shared" si="1"/>
        <v>#DIV/0!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 t="e">
        <f t="shared" si="0"/>
        <v>#DIV/0!</v>
      </c>
      <c r="E30" s="269"/>
      <c r="F30" s="269">
        <v>0</v>
      </c>
      <c r="G30" s="269"/>
      <c r="H30" s="269" t="e">
        <f t="shared" si="1"/>
        <v>#DIV/0!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 t="e">
        <f t="shared" si="0"/>
        <v>#DIV/0!</v>
      </c>
      <c r="E31" s="221"/>
      <c r="F31" s="221">
        <v>0</v>
      </c>
      <c r="G31" s="221"/>
      <c r="H31" s="221" t="e">
        <f t="shared" si="1"/>
        <v>#DIV/0!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 t="e">
        <f t="shared" si="0"/>
        <v>#DIV/0!</v>
      </c>
      <c r="E32" s="221"/>
      <c r="F32" s="221">
        <v>0</v>
      </c>
      <c r="G32" s="221"/>
      <c r="H32" s="221" t="e">
        <f t="shared" si="1"/>
        <v>#DIV/0!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 t="e">
        <f t="shared" si="0"/>
        <v>#DIV/0!</v>
      </c>
      <c r="E33" s="221"/>
      <c r="F33" s="221">
        <v>0</v>
      </c>
      <c r="G33" s="221"/>
      <c r="H33" s="221" t="e">
        <f t="shared" si="1"/>
        <v>#DIV/0!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 t="e">
        <f t="shared" si="0"/>
        <v>#DIV/0!</v>
      </c>
      <c r="E34" s="221"/>
      <c r="F34" s="221">
        <v>0</v>
      </c>
      <c r="G34" s="221"/>
      <c r="H34" s="221" t="e">
        <f t="shared" si="1"/>
        <v>#DIV/0!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 t="e">
        <f t="shared" si="0"/>
        <v>#DIV/0!</v>
      </c>
      <c r="E35" s="269"/>
      <c r="F35" s="269">
        <v>0</v>
      </c>
      <c r="G35" s="269"/>
      <c r="H35" s="269" t="e">
        <f t="shared" si="1"/>
        <v>#DIV/0!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 t="e">
        <f t="shared" si="0"/>
        <v>#DIV/0!</v>
      </c>
      <c r="E36" s="221"/>
      <c r="F36" s="221">
        <v>0</v>
      </c>
      <c r="G36" s="221"/>
      <c r="H36" s="221" t="e">
        <f t="shared" si="1"/>
        <v>#DIV/0!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 t="e">
        <f t="shared" si="0"/>
        <v>#DIV/0!</v>
      </c>
      <c r="E37" s="221"/>
      <c r="F37" s="221">
        <v>0</v>
      </c>
      <c r="G37" s="221"/>
      <c r="H37" s="221" t="e">
        <f t="shared" si="1"/>
        <v>#DIV/0!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 t="e">
        <f t="shared" si="0"/>
        <v>#DIV/0!</v>
      </c>
      <c r="E38" s="221"/>
      <c r="F38" s="221">
        <v>0</v>
      </c>
      <c r="G38" s="221"/>
      <c r="H38" s="221" t="e">
        <f t="shared" si="1"/>
        <v>#DIV/0!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 t="e">
        <f t="shared" si="0"/>
        <v>#DIV/0!</v>
      </c>
      <c r="E39" s="221"/>
      <c r="F39" s="221">
        <v>0</v>
      </c>
      <c r="G39" s="221"/>
      <c r="H39" s="221" t="e">
        <f t="shared" si="1"/>
        <v>#DIV/0!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 t="e">
        <f t="shared" si="0"/>
        <v>#DIV/0!</v>
      </c>
      <c r="E40" s="269"/>
      <c r="F40" s="269">
        <v>0</v>
      </c>
      <c r="G40" s="269"/>
      <c r="H40" s="269" t="e">
        <f t="shared" si="1"/>
        <v>#DIV/0!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 t="e">
        <f>D$11</f>
        <v>#DIV/0!</v>
      </c>
      <c r="F41" s="226"/>
      <c r="G41" s="224" t="s">
        <v>1030</v>
      </c>
      <c r="H41" s="224" t="e">
        <f>ROUND((D$11-D$7)/(COUNT(D$7:D$11)-1),1)</f>
        <v>#DIV/0!</v>
      </c>
      <c r="I41" s="224"/>
      <c r="J41" s="224" t="s">
        <v>1031</v>
      </c>
      <c r="K41" s="227" t="s">
        <v>1032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1033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1018</v>
      </c>
      <c r="D46" s="219" t="s">
        <v>1034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1020</v>
      </c>
      <c r="D47" s="219" t="s">
        <v>1021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1022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1035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1036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1010</v>
      </c>
      <c r="C52" s="202"/>
      <c r="D52" s="202" t="s">
        <v>1025</v>
      </c>
      <c r="E52" s="202"/>
      <c r="F52" s="202" t="s">
        <v>1026</v>
      </c>
      <c r="G52" s="202"/>
      <c r="H52" s="202" t="s">
        <v>1027</v>
      </c>
      <c r="I52" s="202"/>
      <c r="J52" s="202" t="s">
        <v>1014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 t="e">
        <f t="shared" ref="D53:D72" si="2">ROUND(E$73*H$73^(B53-$C$4),0)</f>
        <v>#DIV/0!</v>
      </c>
      <c r="E53" s="221"/>
      <c r="F53" s="221">
        <v>0</v>
      </c>
      <c r="G53" s="221"/>
      <c r="H53" s="221" t="e">
        <f t="shared" ref="H53:H72" si="3">ROUND(D53*(1+F53),0)</f>
        <v>#DIV/0!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 t="e">
        <f t="shared" si="2"/>
        <v>#DIV/0!</v>
      </c>
      <c r="E54" s="221"/>
      <c r="F54" s="221">
        <v>0</v>
      </c>
      <c r="G54" s="221"/>
      <c r="H54" s="221" t="e">
        <f t="shared" si="3"/>
        <v>#DIV/0!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 t="e">
        <f t="shared" si="2"/>
        <v>#DIV/0!</v>
      </c>
      <c r="E55" s="221"/>
      <c r="F55" s="221">
        <v>0</v>
      </c>
      <c r="G55" s="221"/>
      <c r="H55" s="221" t="e">
        <f t="shared" si="3"/>
        <v>#DIV/0!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 t="e">
        <f t="shared" si="2"/>
        <v>#DIV/0!</v>
      </c>
      <c r="E56" s="221"/>
      <c r="F56" s="221">
        <v>0</v>
      </c>
      <c r="G56" s="221"/>
      <c r="H56" s="221" t="e">
        <f t="shared" si="3"/>
        <v>#DIV/0!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 t="e">
        <f t="shared" si="2"/>
        <v>#DIV/0!</v>
      </c>
      <c r="E57" s="269"/>
      <c r="F57" s="269">
        <v>0</v>
      </c>
      <c r="G57" s="269"/>
      <c r="H57" s="269" t="e">
        <f t="shared" si="3"/>
        <v>#DIV/0!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 t="e">
        <f t="shared" si="2"/>
        <v>#DIV/0!</v>
      </c>
      <c r="E58" s="221"/>
      <c r="F58" s="221">
        <v>0</v>
      </c>
      <c r="G58" s="221"/>
      <c r="H58" s="221" t="e">
        <f t="shared" si="3"/>
        <v>#DIV/0!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 t="e">
        <f t="shared" si="2"/>
        <v>#DIV/0!</v>
      </c>
      <c r="E59" s="221"/>
      <c r="F59" s="221">
        <v>0</v>
      </c>
      <c r="G59" s="221"/>
      <c r="H59" s="221" t="e">
        <f t="shared" si="3"/>
        <v>#DIV/0!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 t="e">
        <f t="shared" si="2"/>
        <v>#DIV/0!</v>
      </c>
      <c r="E60" s="221"/>
      <c r="F60" s="221">
        <v>0</v>
      </c>
      <c r="G60" s="221"/>
      <c r="H60" s="221" t="e">
        <f t="shared" si="3"/>
        <v>#DIV/0!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 t="e">
        <f t="shared" si="2"/>
        <v>#DIV/0!</v>
      </c>
      <c r="E61" s="221"/>
      <c r="F61" s="221">
        <v>0</v>
      </c>
      <c r="G61" s="221"/>
      <c r="H61" s="221" t="e">
        <f t="shared" si="3"/>
        <v>#DIV/0!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 t="e">
        <f t="shared" si="2"/>
        <v>#DIV/0!</v>
      </c>
      <c r="E62" s="269"/>
      <c r="F62" s="269">
        <v>0</v>
      </c>
      <c r="G62" s="269"/>
      <c r="H62" s="269" t="e">
        <f t="shared" si="3"/>
        <v>#DIV/0!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 t="e">
        <f t="shared" si="2"/>
        <v>#DIV/0!</v>
      </c>
      <c r="E63" s="221"/>
      <c r="F63" s="221">
        <v>0</v>
      </c>
      <c r="G63" s="221"/>
      <c r="H63" s="221" t="e">
        <f t="shared" si="3"/>
        <v>#DIV/0!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 t="e">
        <f t="shared" si="2"/>
        <v>#DIV/0!</v>
      </c>
      <c r="E64" s="221"/>
      <c r="F64" s="221">
        <v>0</v>
      </c>
      <c r="G64" s="221"/>
      <c r="H64" s="221" t="e">
        <f t="shared" si="3"/>
        <v>#DIV/0!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 t="e">
        <f t="shared" si="2"/>
        <v>#DIV/0!</v>
      </c>
      <c r="E65" s="221"/>
      <c r="F65" s="221">
        <v>0</v>
      </c>
      <c r="G65" s="221"/>
      <c r="H65" s="221" t="e">
        <f t="shared" si="3"/>
        <v>#DIV/0!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 t="e">
        <f t="shared" si="2"/>
        <v>#DIV/0!</v>
      </c>
      <c r="E66" s="221"/>
      <c r="F66" s="221">
        <v>0</v>
      </c>
      <c r="G66" s="221"/>
      <c r="H66" s="221" t="e">
        <f t="shared" si="3"/>
        <v>#DIV/0!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 t="e">
        <f t="shared" si="2"/>
        <v>#DIV/0!</v>
      </c>
      <c r="E67" s="269"/>
      <c r="F67" s="269">
        <v>0</v>
      </c>
      <c r="G67" s="269"/>
      <c r="H67" s="269" t="e">
        <f t="shared" si="3"/>
        <v>#DIV/0!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 t="e">
        <f t="shared" si="2"/>
        <v>#DIV/0!</v>
      </c>
      <c r="E68" s="221"/>
      <c r="F68" s="221">
        <v>0</v>
      </c>
      <c r="G68" s="221"/>
      <c r="H68" s="221" t="e">
        <f t="shared" si="3"/>
        <v>#DIV/0!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 t="e">
        <f t="shared" si="2"/>
        <v>#DIV/0!</v>
      </c>
      <c r="E69" s="221"/>
      <c r="F69" s="221">
        <v>0</v>
      </c>
      <c r="G69" s="221"/>
      <c r="H69" s="221" t="e">
        <f t="shared" si="3"/>
        <v>#DIV/0!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 t="e">
        <f t="shared" si="2"/>
        <v>#DIV/0!</v>
      </c>
      <c r="E70" s="221"/>
      <c r="F70" s="221">
        <v>0</v>
      </c>
      <c r="G70" s="221"/>
      <c r="H70" s="221" t="e">
        <f t="shared" si="3"/>
        <v>#DIV/0!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 t="e">
        <f t="shared" si="2"/>
        <v>#DIV/0!</v>
      </c>
      <c r="E71" s="221"/>
      <c r="F71" s="221">
        <v>0</v>
      </c>
      <c r="G71" s="221"/>
      <c r="H71" s="221" t="e">
        <f t="shared" si="3"/>
        <v>#DIV/0!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 t="e">
        <f t="shared" si="2"/>
        <v>#DIV/0!</v>
      </c>
      <c r="E72" s="269"/>
      <c r="F72" s="269">
        <v>0</v>
      </c>
      <c r="G72" s="269"/>
      <c r="H72" s="269" t="e">
        <f t="shared" si="3"/>
        <v>#DIV/0!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1037</v>
      </c>
      <c r="C73" s="223"/>
      <c r="D73" s="224" t="s">
        <v>1038</v>
      </c>
      <c r="E73" s="225" t="e">
        <f>D$11</f>
        <v>#DIV/0!</v>
      </c>
      <c r="F73" s="226"/>
      <c r="G73" s="224" t="s">
        <v>179</v>
      </c>
      <c r="H73" s="224" t="e">
        <f>ROUND((E$73/D$7)^(1/(COUNT(D$7:D$11)-1)),6)</f>
        <v>#DIV/0!</v>
      </c>
      <c r="I73" s="224"/>
      <c r="J73" s="224" t="s">
        <v>163</v>
      </c>
      <c r="K73" s="227" t="s">
        <v>164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182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148</v>
      </c>
      <c r="D84" s="219" t="s">
        <v>184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185</v>
      </c>
      <c r="D85" s="219" t="s">
        <v>186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187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188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189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141</v>
      </c>
      <c r="C89" s="202"/>
      <c r="D89" s="202" t="s">
        <v>191</v>
      </c>
      <c r="E89" s="202" t="s">
        <v>192</v>
      </c>
      <c r="F89" s="202" t="s">
        <v>193</v>
      </c>
      <c r="G89" s="202"/>
      <c r="H89" s="202" t="s">
        <v>194</v>
      </c>
      <c r="I89" s="202"/>
      <c r="J89" s="202" t="s">
        <v>144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 t="e">
        <f>VLOOKUP(B90,B$7:E$11,3,FALSE)</f>
        <v>#DIV/0!</v>
      </c>
      <c r="E90" s="840">
        <f>((COUNT(B$90:B$94)-1)/2)+(B90-$C$4)</f>
        <v>-2</v>
      </c>
      <c r="F90" s="208">
        <f>E90^2</f>
        <v>4</v>
      </c>
      <c r="G90" s="206"/>
      <c r="H90" s="230" t="e">
        <f>ROUND(D90*E90,2)</f>
        <v>#DIV/0!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 t="e">
        <f>VLOOKUP(B91,B$7:E$11,3,FALSE)</f>
        <v>#DIV/0!</v>
      </c>
      <c r="E91" s="840">
        <f>((COUNT(B$90:B$94)-1)/2)+(B91-$C$4)</f>
        <v>-1</v>
      </c>
      <c r="F91" s="208">
        <f>E91^2</f>
        <v>1</v>
      </c>
      <c r="G91" s="206"/>
      <c r="H91" s="230" t="e">
        <f>ROUND(D91*E91,2)</f>
        <v>#DIV/0!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 t="e">
        <f>VLOOKUP(B92,B$7:E$11,3,FALSE)</f>
        <v>#DIV/0!</v>
      </c>
      <c r="E92" s="840">
        <f>((COUNT(B$90:B$94)-1)/2)+(B92-$C$4)</f>
        <v>0</v>
      </c>
      <c r="F92" s="208">
        <f>E92^2</f>
        <v>0</v>
      </c>
      <c r="G92" s="206"/>
      <c r="H92" s="230" t="e">
        <f>ROUND(D92*E92,2)</f>
        <v>#DIV/0!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 t="e">
        <f>VLOOKUP(B93,B$7:E$11,3,FALSE)</f>
        <v>#DIV/0!</v>
      </c>
      <c r="E93" s="840">
        <f>((COUNT(B$90:B$94)-1)/2)+(B93-$C$4)</f>
        <v>1</v>
      </c>
      <c r="F93" s="208">
        <f>E93^2</f>
        <v>1</v>
      </c>
      <c r="G93" s="206"/>
      <c r="H93" s="230" t="e">
        <f>ROUND(D93*E93,2)</f>
        <v>#DIV/0!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 t="e">
        <f>VLOOKUP(B94,B$7:E$11,3,FALSE)</f>
        <v>#DIV/0!</v>
      </c>
      <c r="E94" s="840">
        <f>((COUNT(B$90:B$94)-1)/2)+(B94-$C$4)</f>
        <v>2</v>
      </c>
      <c r="F94" s="208">
        <f>E94^2</f>
        <v>4</v>
      </c>
      <c r="G94" s="206"/>
      <c r="H94" s="230" t="e">
        <f>ROUND(D94*E94,2)</f>
        <v>#DIV/0!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 t="e">
        <f>SUM(D90:D94)</f>
        <v>#DIV/0!</v>
      </c>
      <c r="E95" s="215"/>
      <c r="F95" s="233">
        <f>ROUND(SUM(F90:F94),0)</f>
        <v>10</v>
      </c>
      <c r="G95" s="212"/>
      <c r="H95" s="211" t="e">
        <f>SUM(H90:H94)</f>
        <v>#DIV/0!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 t="e">
        <f>((COUNT(B$90:B$94))*H$95-D$95*E$95)/((COUNT(B$90:B$94))*F$95-E$95*E$95)</f>
        <v>#DIV/0!</v>
      </c>
      <c r="H96" s="236" t="s">
        <v>199</v>
      </c>
      <c r="I96" s="201"/>
      <c r="J96" s="201"/>
      <c r="K96" s="201" t="e">
        <f>ROUND((F95*D95-H95*E95)/(COUNT(B$90:B$94)*F95-E95*E95),0)</f>
        <v>#DIV/0!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 t="e">
        <f t="shared" ref="D101:D120" si="4">ROUNDUP(G$96*(B101-B$94+E$94)+K$96,0)</f>
        <v>#DIV/0!</v>
      </c>
      <c r="E101" s="221"/>
      <c r="F101" s="221">
        <v>0</v>
      </c>
      <c r="G101" s="221"/>
      <c r="H101" s="221" t="e">
        <f t="shared" ref="H101:H120" si="5">ROUND(D101*(1+F101),0)</f>
        <v>#DIV/0!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 t="e">
        <f t="shared" si="4"/>
        <v>#DIV/0!</v>
      </c>
      <c r="E102" s="221"/>
      <c r="F102" s="221">
        <v>0</v>
      </c>
      <c r="G102" s="221"/>
      <c r="H102" s="221" t="e">
        <f t="shared" si="5"/>
        <v>#DIV/0!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 t="e">
        <f t="shared" si="4"/>
        <v>#DIV/0!</v>
      </c>
      <c r="E103" s="221"/>
      <c r="F103" s="221">
        <v>0</v>
      </c>
      <c r="G103" s="221"/>
      <c r="H103" s="221" t="e">
        <f t="shared" si="5"/>
        <v>#DIV/0!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 t="e">
        <f t="shared" si="4"/>
        <v>#DIV/0!</v>
      </c>
      <c r="E104" s="221"/>
      <c r="F104" s="221">
        <v>0</v>
      </c>
      <c r="G104" s="221"/>
      <c r="H104" s="221" t="e">
        <f t="shared" si="5"/>
        <v>#DIV/0!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 t="e">
        <f t="shared" si="4"/>
        <v>#DIV/0!</v>
      </c>
      <c r="E105" s="269"/>
      <c r="F105" s="269">
        <v>0</v>
      </c>
      <c r="G105" s="269"/>
      <c r="H105" s="269" t="e">
        <f t="shared" si="5"/>
        <v>#DIV/0!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 t="e">
        <f t="shared" si="4"/>
        <v>#DIV/0!</v>
      </c>
      <c r="E106" s="221"/>
      <c r="F106" s="221">
        <v>0</v>
      </c>
      <c r="G106" s="221"/>
      <c r="H106" s="221" t="e">
        <f t="shared" si="5"/>
        <v>#DIV/0!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 t="e">
        <f t="shared" si="4"/>
        <v>#DIV/0!</v>
      </c>
      <c r="E107" s="221"/>
      <c r="F107" s="221">
        <v>0</v>
      </c>
      <c r="G107" s="221"/>
      <c r="H107" s="221" t="e">
        <f t="shared" si="5"/>
        <v>#DIV/0!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 t="e">
        <f t="shared" si="4"/>
        <v>#DIV/0!</v>
      </c>
      <c r="E108" s="221"/>
      <c r="F108" s="221">
        <v>0</v>
      </c>
      <c r="G108" s="221"/>
      <c r="H108" s="221" t="e">
        <f t="shared" si="5"/>
        <v>#DIV/0!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 t="e">
        <f t="shared" si="4"/>
        <v>#DIV/0!</v>
      </c>
      <c r="E109" s="221"/>
      <c r="F109" s="221">
        <v>0</v>
      </c>
      <c r="G109" s="221"/>
      <c r="H109" s="221" t="e">
        <f t="shared" si="5"/>
        <v>#DIV/0!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 t="e">
        <f t="shared" si="4"/>
        <v>#DIV/0!</v>
      </c>
      <c r="E110" s="269"/>
      <c r="F110" s="269">
        <v>0</v>
      </c>
      <c r="G110" s="269"/>
      <c r="H110" s="269" t="e">
        <f t="shared" si="5"/>
        <v>#DIV/0!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 t="e">
        <f t="shared" si="4"/>
        <v>#DIV/0!</v>
      </c>
      <c r="E111" s="221"/>
      <c r="F111" s="221">
        <v>0</v>
      </c>
      <c r="G111" s="221"/>
      <c r="H111" s="221" t="e">
        <f t="shared" si="5"/>
        <v>#DIV/0!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 t="e">
        <f t="shared" si="4"/>
        <v>#DIV/0!</v>
      </c>
      <c r="E112" s="221"/>
      <c r="F112" s="221">
        <v>0</v>
      </c>
      <c r="G112" s="221"/>
      <c r="H112" s="221" t="e">
        <f t="shared" si="5"/>
        <v>#DIV/0!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 t="e">
        <f t="shared" si="4"/>
        <v>#DIV/0!</v>
      </c>
      <c r="E113" s="221"/>
      <c r="F113" s="221">
        <v>0</v>
      </c>
      <c r="G113" s="221"/>
      <c r="H113" s="221" t="e">
        <f t="shared" si="5"/>
        <v>#DIV/0!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 t="e">
        <f t="shared" si="4"/>
        <v>#DIV/0!</v>
      </c>
      <c r="E114" s="221"/>
      <c r="F114" s="221">
        <v>0</v>
      </c>
      <c r="G114" s="221"/>
      <c r="H114" s="221" t="e">
        <f t="shared" si="5"/>
        <v>#DIV/0!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 t="e">
        <f t="shared" si="4"/>
        <v>#DIV/0!</v>
      </c>
      <c r="E115" s="269"/>
      <c r="F115" s="269">
        <v>0</v>
      </c>
      <c r="G115" s="269"/>
      <c r="H115" s="269" t="e">
        <f t="shared" si="5"/>
        <v>#DIV/0!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 t="e">
        <f t="shared" si="4"/>
        <v>#DIV/0!</v>
      </c>
      <c r="E116" s="221"/>
      <c r="F116" s="221">
        <v>0</v>
      </c>
      <c r="G116" s="221"/>
      <c r="H116" s="221" t="e">
        <f t="shared" si="5"/>
        <v>#DIV/0!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 t="e">
        <f t="shared" si="4"/>
        <v>#DIV/0!</v>
      </c>
      <c r="E117" s="221"/>
      <c r="F117" s="221">
        <v>0</v>
      </c>
      <c r="G117" s="221"/>
      <c r="H117" s="221" t="e">
        <f t="shared" si="5"/>
        <v>#DIV/0!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 t="e">
        <f t="shared" si="4"/>
        <v>#DIV/0!</v>
      </c>
      <c r="E118" s="221"/>
      <c r="F118" s="221">
        <v>0</v>
      </c>
      <c r="G118" s="221"/>
      <c r="H118" s="221" t="e">
        <f t="shared" si="5"/>
        <v>#DIV/0!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 t="e">
        <f t="shared" si="4"/>
        <v>#DIV/0!</v>
      </c>
      <c r="E119" s="221"/>
      <c r="F119" s="221">
        <v>0</v>
      </c>
      <c r="G119" s="221"/>
      <c r="H119" s="221" t="e">
        <f t="shared" si="5"/>
        <v>#DIV/0!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 t="e">
        <f t="shared" si="4"/>
        <v>#DIV/0!</v>
      </c>
      <c r="E120" s="269"/>
      <c r="F120" s="269">
        <v>0</v>
      </c>
      <c r="G120" s="269"/>
      <c r="H120" s="269" t="e">
        <f t="shared" si="5"/>
        <v>#DIV/0!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 t="e">
        <f>VLOOKUP(B130,B$7:E$11,3,FALSE)</f>
        <v>#DIV/0!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 t="e">
        <f>IF(G130="","",ABS(D130-D$130))</f>
        <v>#DIV/0!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 t="e">
        <f>VLOOKUP(B131,B$7:E$11,3,FALSE)</f>
        <v>#DIV/0!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 t="e">
        <f>IF(G131="","",ABS(D131-D$130))</f>
        <v>#DIV/0!</v>
      </c>
      <c r="I131" s="231"/>
      <c r="J131" s="247" t="e">
        <f>IF(H131="","",LOG(H131))</f>
        <v>#DIV/0!</v>
      </c>
      <c r="K131" s="247" t="e">
        <f>IF(J131="","",J131*F131)</f>
        <v>#DIV/0!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 t="e">
        <f>VLOOKUP(B132,B$7:E$11,3,FALSE)</f>
        <v>#DIV/0!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 t="e">
        <f>IF(G132="","",ABS(D132-D$130))</f>
        <v>#DIV/0!</v>
      </c>
      <c r="I132" s="231"/>
      <c r="J132" s="247" t="e">
        <f>IF(H132="","",LOG(H132))</f>
        <v>#DIV/0!</v>
      </c>
      <c r="K132" s="247" t="e">
        <f>IF(J132="","",J132*F132)</f>
        <v>#DIV/0!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 t="e">
        <f>VLOOKUP(B133,B$7:E$11,3,FALSE)</f>
        <v>#DIV/0!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 t="e">
        <f>IF(G133="","",ABS(D133-D$130))</f>
        <v>#DIV/0!</v>
      </c>
      <c r="I133" s="231"/>
      <c r="J133" s="247" t="e">
        <f>IF(H133="","",LOG(H133))</f>
        <v>#DIV/0!</v>
      </c>
      <c r="K133" s="247" t="e">
        <f>IF(J133="","",J133*F133)</f>
        <v>#DIV/0!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 t="e">
        <f>VLOOKUP(B134,B$7:E$11,3,FALSE)</f>
        <v>#DIV/0!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 t="e">
        <f>IF(G134="","",ABS(D134-D$130))</f>
        <v>#DIV/0!</v>
      </c>
      <c r="I134" s="231"/>
      <c r="J134" s="247" t="e">
        <f>IF(H134="","",LOG(H134))</f>
        <v>#DIV/0!</v>
      </c>
      <c r="K134" s="247" t="e">
        <f>IF(J134="","",J134*F134)</f>
        <v>#DIV/0!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146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 t="e">
        <f>IF(J134="","",SUM(J130:J134))</f>
        <v>#DIV/0!</v>
      </c>
      <c r="K135" s="253" t="e">
        <f>IF(K134="","",SUM(K130:K134))</f>
        <v>#DIV/0!</v>
      </c>
      <c r="L135" s="203"/>
      <c r="M135" s="203"/>
      <c r="N135" s="203"/>
      <c r="O135" s="203"/>
    </row>
    <row r="136" spans="1:15" ht="15" customHeight="1">
      <c r="A136" s="203"/>
      <c r="B136" s="208" t="s">
        <v>219</v>
      </c>
      <c r="C136" s="208"/>
      <c r="D136" s="201" t="s">
        <v>162</v>
      </c>
      <c r="E136" s="201" t="e">
        <f>IF(G135="",0,5^ROUND((G135*J135-F135*K135)/((COUNT(B$130:B$134)-1)*G135-F135*F135),5))</f>
        <v>#DIV/0!</v>
      </c>
      <c r="F136" s="238" t="s">
        <v>220</v>
      </c>
      <c r="G136" s="203"/>
      <c r="H136" s="208"/>
      <c r="I136" s="203"/>
      <c r="J136" s="254" t="e">
        <f>IF(G135="",0,ROUND(((COUNT(B$130:B$134)-1)*K135-J135*F135)/((COUNT(B$130:B$134)-1)*G135-F135*F135),5))</f>
        <v>#DIV/0!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221</v>
      </c>
      <c r="E137" s="219"/>
      <c r="F137" s="219"/>
      <c r="G137" s="256"/>
      <c r="H137" s="201" t="s">
        <v>222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200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141</v>
      </c>
      <c r="C140" s="202"/>
      <c r="D140" s="202" t="s">
        <v>156</v>
      </c>
      <c r="E140" s="202"/>
      <c r="F140" s="202" t="s">
        <v>157</v>
      </c>
      <c r="G140" s="202"/>
      <c r="H140" s="202" t="s">
        <v>158</v>
      </c>
      <c r="I140" s="202"/>
      <c r="J140" s="202" t="s">
        <v>144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 t="e">
        <f t="shared" ref="D141:D160" si="6">IF(J$136=0,0,ROUNDUP(D$130+E$136*(B141-B$130)^J$136,0))</f>
        <v>#DIV/0!</v>
      </c>
      <c r="E141" s="257"/>
      <c r="F141" s="258">
        <v>0</v>
      </c>
      <c r="G141" s="258"/>
      <c r="H141" s="258" t="e">
        <f t="shared" ref="H141:H160" si="7">ROUND(D141*(1+F141),0)</f>
        <v>#DIV/0!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 t="e">
        <f t="shared" si="6"/>
        <v>#DIV/0!</v>
      </c>
      <c r="E142" s="257"/>
      <c r="F142" s="258">
        <v>0</v>
      </c>
      <c r="G142" s="258"/>
      <c r="H142" s="258" t="e">
        <f t="shared" si="7"/>
        <v>#DIV/0!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 t="e">
        <f t="shared" si="6"/>
        <v>#DIV/0!</v>
      </c>
      <c r="E143" s="257"/>
      <c r="F143" s="258">
        <v>0</v>
      </c>
      <c r="G143" s="258"/>
      <c r="H143" s="258" t="e">
        <f t="shared" si="7"/>
        <v>#DIV/0!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 t="e">
        <f t="shared" si="6"/>
        <v>#DIV/0!</v>
      </c>
      <c r="E144" s="257"/>
      <c r="F144" s="258">
        <v>0</v>
      </c>
      <c r="G144" s="258"/>
      <c r="H144" s="258" t="e">
        <f t="shared" si="7"/>
        <v>#DIV/0!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 t="e">
        <f t="shared" si="6"/>
        <v>#DIV/0!</v>
      </c>
      <c r="E145" s="271"/>
      <c r="F145" s="272">
        <v>0</v>
      </c>
      <c r="G145" s="272"/>
      <c r="H145" s="272" t="e">
        <f t="shared" si="7"/>
        <v>#DIV/0!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 t="e">
        <f t="shared" si="6"/>
        <v>#DIV/0!</v>
      </c>
      <c r="E146" s="257"/>
      <c r="F146" s="258">
        <v>0</v>
      </c>
      <c r="G146" s="258"/>
      <c r="H146" s="258" t="e">
        <f t="shared" si="7"/>
        <v>#DIV/0!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 t="e">
        <f t="shared" si="6"/>
        <v>#DIV/0!</v>
      </c>
      <c r="E147" s="257"/>
      <c r="F147" s="258">
        <v>0</v>
      </c>
      <c r="G147" s="258"/>
      <c r="H147" s="258" t="e">
        <f t="shared" si="7"/>
        <v>#DIV/0!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 t="e">
        <f t="shared" si="6"/>
        <v>#DIV/0!</v>
      </c>
      <c r="E148" s="257"/>
      <c r="F148" s="258">
        <v>0</v>
      </c>
      <c r="G148" s="258"/>
      <c r="H148" s="258" t="e">
        <f t="shared" si="7"/>
        <v>#DIV/0!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 t="e">
        <f t="shared" si="6"/>
        <v>#DIV/0!</v>
      </c>
      <c r="E149" s="257"/>
      <c r="F149" s="258">
        <v>0</v>
      </c>
      <c r="G149" s="258"/>
      <c r="H149" s="258" t="e">
        <f t="shared" si="7"/>
        <v>#DIV/0!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 t="e">
        <f t="shared" si="6"/>
        <v>#DIV/0!</v>
      </c>
      <c r="E150" s="271"/>
      <c r="F150" s="272">
        <v>0</v>
      </c>
      <c r="G150" s="272"/>
      <c r="H150" s="272" t="e">
        <f t="shared" si="7"/>
        <v>#DIV/0!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 t="e">
        <f t="shared" si="6"/>
        <v>#DIV/0!</v>
      </c>
      <c r="E151" s="257"/>
      <c r="F151" s="258">
        <v>0</v>
      </c>
      <c r="G151" s="258"/>
      <c r="H151" s="258" t="e">
        <f t="shared" si="7"/>
        <v>#DIV/0!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 t="e">
        <f t="shared" si="6"/>
        <v>#DIV/0!</v>
      </c>
      <c r="E152" s="257"/>
      <c r="F152" s="258">
        <v>0</v>
      </c>
      <c r="G152" s="258"/>
      <c r="H152" s="258" t="e">
        <f t="shared" si="7"/>
        <v>#DIV/0!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 t="e">
        <f t="shared" si="6"/>
        <v>#DIV/0!</v>
      </c>
      <c r="E153" s="257"/>
      <c r="F153" s="258">
        <v>0</v>
      </c>
      <c r="G153" s="258"/>
      <c r="H153" s="258" t="e">
        <f t="shared" si="7"/>
        <v>#DIV/0!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 t="e">
        <f t="shared" si="6"/>
        <v>#DIV/0!</v>
      </c>
      <c r="E154" s="257"/>
      <c r="F154" s="258">
        <v>0</v>
      </c>
      <c r="G154" s="258"/>
      <c r="H154" s="258" t="e">
        <f t="shared" si="7"/>
        <v>#DIV/0!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 t="e">
        <f t="shared" si="6"/>
        <v>#DIV/0!</v>
      </c>
      <c r="E155" s="271"/>
      <c r="F155" s="272">
        <v>0</v>
      </c>
      <c r="G155" s="272"/>
      <c r="H155" s="272" t="e">
        <f t="shared" si="7"/>
        <v>#DIV/0!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 t="e">
        <f t="shared" si="6"/>
        <v>#DIV/0!</v>
      </c>
      <c r="E156" s="257"/>
      <c r="F156" s="258">
        <v>0</v>
      </c>
      <c r="G156" s="258"/>
      <c r="H156" s="258" t="e">
        <f t="shared" si="7"/>
        <v>#DIV/0!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 t="e">
        <f t="shared" si="6"/>
        <v>#DIV/0!</v>
      </c>
      <c r="E157" s="257"/>
      <c r="F157" s="258">
        <v>0</v>
      </c>
      <c r="G157" s="258"/>
      <c r="H157" s="258" t="e">
        <f t="shared" si="7"/>
        <v>#DIV/0!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 t="e">
        <f t="shared" si="6"/>
        <v>#DIV/0!</v>
      </c>
      <c r="E158" s="257"/>
      <c r="F158" s="258">
        <v>0</v>
      </c>
      <c r="G158" s="258"/>
      <c r="H158" s="258" t="e">
        <f t="shared" si="7"/>
        <v>#DIV/0!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 t="e">
        <f t="shared" si="6"/>
        <v>#DIV/0!</v>
      </c>
      <c r="E159" s="257"/>
      <c r="F159" s="258">
        <v>0</v>
      </c>
      <c r="G159" s="258"/>
      <c r="H159" s="258" t="e">
        <f t="shared" si="7"/>
        <v>#DIV/0!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 t="e">
        <f t="shared" si="6"/>
        <v>#DIV/0!</v>
      </c>
      <c r="E160" s="271"/>
      <c r="F160" s="272">
        <v>0</v>
      </c>
      <c r="G160" s="272"/>
      <c r="H160" s="272" t="e">
        <f t="shared" si="7"/>
        <v>#DIV/0!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229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148</v>
      </c>
      <c r="D167" s="219" t="s">
        <v>231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185</v>
      </c>
      <c r="D168" s="219" t="s">
        <v>207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234</v>
      </c>
      <c r="E169" s="2250">
        <f>K7</f>
        <v>600</v>
      </c>
      <c r="F169" s="2250"/>
      <c r="G169" s="219" t="s">
        <v>235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236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141</v>
      </c>
      <c r="C171" s="202"/>
      <c r="D171" s="202" t="s">
        <v>191</v>
      </c>
      <c r="E171" s="202" t="s">
        <v>192</v>
      </c>
      <c r="F171" s="202" t="s">
        <v>193</v>
      </c>
      <c r="G171" s="202" t="s">
        <v>241</v>
      </c>
      <c r="H171" s="202" t="s">
        <v>242</v>
      </c>
      <c r="I171" s="202" t="s">
        <v>243</v>
      </c>
      <c r="J171" s="202" t="s">
        <v>216</v>
      </c>
      <c r="K171" s="202" t="s">
        <v>245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 t="e">
        <f>VLOOKUP(B172,B$7:E$11,3,FALSE)</f>
        <v>#DIV/0!</v>
      </c>
      <c r="E172" s="244">
        <f>((COUNT(B$172:B$176)-1)/2)+(B172-$C$4)</f>
        <v>-2</v>
      </c>
      <c r="F172" s="206">
        <f>E172^2</f>
        <v>4</v>
      </c>
      <c r="G172" s="844" t="e">
        <f>E$169-D172</f>
        <v>#DIV/0!</v>
      </c>
      <c r="H172" s="259" t="e">
        <f>LOG(D172)</f>
        <v>#DIV/0!</v>
      </c>
      <c r="I172" s="245" t="e">
        <f>LOG(G172)</f>
        <v>#DIV/0!</v>
      </c>
      <c r="J172" s="246" t="e">
        <f>H172-I172</f>
        <v>#DIV/0!</v>
      </c>
      <c r="K172" s="246" t="e">
        <f>E172*J172</f>
        <v>#DIV/0!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 t="e">
        <f>VLOOKUP(B173,B$7:E$11,3,FALSE)</f>
        <v>#DIV/0!</v>
      </c>
      <c r="E173" s="244">
        <f>((COUNT(B$172:B$176)-1)/2)+(B173-$C$4)</f>
        <v>-1</v>
      </c>
      <c r="F173" s="206">
        <f>E173^2</f>
        <v>1</v>
      </c>
      <c r="G173" s="844" t="e">
        <f>E$169-D173</f>
        <v>#DIV/0!</v>
      </c>
      <c r="H173" s="259" t="e">
        <f>LOG(D173)</f>
        <v>#DIV/0!</v>
      </c>
      <c r="I173" s="245" t="e">
        <f>LOG(G173)</f>
        <v>#DIV/0!</v>
      </c>
      <c r="J173" s="246" t="e">
        <f>H173-I173</f>
        <v>#DIV/0!</v>
      </c>
      <c r="K173" s="246" t="e">
        <f>E173*J173</f>
        <v>#DIV/0!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 t="e">
        <f>VLOOKUP(B174,B$7:E$11,3,FALSE)</f>
        <v>#DIV/0!</v>
      </c>
      <c r="E174" s="244">
        <f>((COUNT(B$172:B$176)-1)/2)+(B174-$C$4)</f>
        <v>0</v>
      </c>
      <c r="F174" s="206">
        <f>E174^2</f>
        <v>0</v>
      </c>
      <c r="G174" s="844" t="e">
        <f>E$169-D174</f>
        <v>#DIV/0!</v>
      </c>
      <c r="H174" s="259" t="e">
        <f>LOG(D174)</f>
        <v>#DIV/0!</v>
      </c>
      <c r="I174" s="245" t="e">
        <f>LOG(G174)</f>
        <v>#DIV/0!</v>
      </c>
      <c r="J174" s="246" t="e">
        <f>H174-I174</f>
        <v>#DIV/0!</v>
      </c>
      <c r="K174" s="246" t="e">
        <f>E174*J174</f>
        <v>#DIV/0!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 t="e">
        <f>VLOOKUP(B175,B$7:E$11,3,FALSE)</f>
        <v>#DIV/0!</v>
      </c>
      <c r="E175" s="244">
        <f>((COUNT(B$172:B$176)-1)/2)+(B175-$C$4)</f>
        <v>1</v>
      </c>
      <c r="F175" s="206">
        <f>E175^2</f>
        <v>1</v>
      </c>
      <c r="G175" s="844" t="e">
        <f>E$169-D175</f>
        <v>#DIV/0!</v>
      </c>
      <c r="H175" s="259" t="e">
        <f>LOG(D175)</f>
        <v>#DIV/0!</v>
      </c>
      <c r="I175" s="245" t="e">
        <f>LOG(G175)</f>
        <v>#DIV/0!</v>
      </c>
      <c r="J175" s="246" t="e">
        <f>H175-I175</f>
        <v>#DIV/0!</v>
      </c>
      <c r="K175" s="246" t="e">
        <f>E175*J175</f>
        <v>#DIV/0!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 t="e">
        <f>VLOOKUP(B176,B$7:E$11,3,FALSE)</f>
        <v>#DIV/0!</v>
      </c>
      <c r="E176" s="244">
        <f>((COUNT(B$172:B$176)-1)/2)+(B176-$C$4)</f>
        <v>2</v>
      </c>
      <c r="F176" s="206">
        <f>E176^2</f>
        <v>4</v>
      </c>
      <c r="G176" s="844" t="e">
        <f>E$169-D176</f>
        <v>#DIV/0!</v>
      </c>
      <c r="H176" s="259" t="e">
        <f>LOG(D176)</f>
        <v>#DIV/0!</v>
      </c>
      <c r="I176" s="245" t="e">
        <f>LOG(G176)</f>
        <v>#DIV/0!</v>
      </c>
      <c r="J176" s="246" t="e">
        <f>H176-I176</f>
        <v>#DIV/0!</v>
      </c>
      <c r="K176" s="246" t="e">
        <f>E176*J176</f>
        <v>#DIV/0!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146</v>
      </c>
      <c r="C177" s="212"/>
      <c r="D177" s="260" t="e">
        <f>SUM(D172:D176)</f>
        <v>#DIV/0!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 t="e">
        <f>SUM(J172:J176)</f>
        <v>#DIV/0!</v>
      </c>
      <c r="K177" s="263" t="e">
        <f>SUM(K172:K176)</f>
        <v>#DIV/0!</v>
      </c>
      <c r="L177" s="203"/>
      <c r="M177" s="203"/>
      <c r="N177" s="203"/>
      <c r="O177" s="203"/>
    </row>
    <row r="178" spans="1:15" ht="15" customHeight="1">
      <c r="A178" s="203"/>
      <c r="B178" s="208" t="s">
        <v>246</v>
      </c>
      <c r="C178" s="208"/>
      <c r="D178" s="201" t="s">
        <v>247</v>
      </c>
      <c r="E178" s="236" t="s">
        <v>248</v>
      </c>
      <c r="F178" s="203"/>
      <c r="G178" s="219" t="str">
        <f>"X = x × LOG e = "&amp;E177&amp;" 이고,"</f>
        <v>X = x × LOG e = 0 이고,</v>
      </c>
      <c r="H178" s="219"/>
      <c r="I178" s="219" t="s">
        <v>249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250</v>
      </c>
      <c r="E179" s="219"/>
      <c r="F179" s="219"/>
      <c r="G179" s="219"/>
      <c r="H179" s="254" t="e">
        <f>ROUND(((E$177*K$177-F$177*J$177)/(COUNT(B$172:B$176)*F$177-E$177*E$177))/LOG(EXP(1)),5)</f>
        <v>#DIV/0!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251</v>
      </c>
      <c r="E180" s="219"/>
      <c r="F180" s="219"/>
      <c r="G180" s="264" t="s">
        <v>252</v>
      </c>
      <c r="H180" s="219"/>
      <c r="I180" s="219"/>
      <c r="J180" s="219"/>
      <c r="K180" s="265" t="e">
        <f>ROUND((COUNT(B$172:B$176)*K177-E177*J177)/(LOG(EXP(1))*(COUNT(B$172:B$176)*F177-E177*E177)),6)</f>
        <v>#DIV/0!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200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141</v>
      </c>
      <c r="C183" s="202"/>
      <c r="D183" s="202" t="s">
        <v>156</v>
      </c>
      <c r="E183" s="202"/>
      <c r="F183" s="202" t="s">
        <v>157</v>
      </c>
      <c r="G183" s="202"/>
      <c r="H183" s="202" t="s">
        <v>158</v>
      </c>
      <c r="I183" s="202"/>
      <c r="J183" s="202" t="s">
        <v>144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 t="e">
        <f t="shared" ref="D184:D203" si="8">ROUNDUP(E$169/(1+EXP(1)^(H$179-K$180*(B184-B$172+0.5))),0)</f>
        <v>#DIV/0!</v>
      </c>
      <c r="E184" s="221"/>
      <c r="F184" s="221">
        <v>0</v>
      </c>
      <c r="G184" s="221"/>
      <c r="H184" s="221" t="e">
        <f t="shared" ref="H184:H203" si="9">ROUND(D184*(1+F184),0)</f>
        <v>#DIV/0!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 t="e">
        <f t="shared" si="8"/>
        <v>#DIV/0!</v>
      </c>
      <c r="E185" s="221"/>
      <c r="F185" s="221">
        <v>0</v>
      </c>
      <c r="G185" s="221"/>
      <c r="H185" s="221" t="e">
        <f t="shared" si="9"/>
        <v>#DIV/0!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 t="e">
        <f t="shared" si="8"/>
        <v>#DIV/0!</v>
      </c>
      <c r="E186" s="221"/>
      <c r="F186" s="221">
        <v>0</v>
      </c>
      <c r="G186" s="221"/>
      <c r="H186" s="221" t="e">
        <f t="shared" si="9"/>
        <v>#DIV/0!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 t="e">
        <f t="shared" si="8"/>
        <v>#DIV/0!</v>
      </c>
      <c r="E187" s="221"/>
      <c r="F187" s="221">
        <v>0</v>
      </c>
      <c r="G187" s="221"/>
      <c r="H187" s="221" t="e">
        <f t="shared" si="9"/>
        <v>#DIV/0!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 t="e">
        <f t="shared" si="8"/>
        <v>#DIV/0!</v>
      </c>
      <c r="E188" s="269"/>
      <c r="F188" s="269">
        <v>0</v>
      </c>
      <c r="G188" s="269"/>
      <c r="H188" s="269" t="e">
        <f t="shared" si="9"/>
        <v>#DIV/0!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 t="e">
        <f t="shared" si="8"/>
        <v>#DIV/0!</v>
      </c>
      <c r="E189" s="221"/>
      <c r="F189" s="221">
        <v>0</v>
      </c>
      <c r="G189" s="221"/>
      <c r="H189" s="221" t="e">
        <f t="shared" si="9"/>
        <v>#DIV/0!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 t="e">
        <f t="shared" si="8"/>
        <v>#DIV/0!</v>
      </c>
      <c r="E190" s="221"/>
      <c r="F190" s="221">
        <v>0</v>
      </c>
      <c r="G190" s="221"/>
      <c r="H190" s="221" t="e">
        <f t="shared" si="9"/>
        <v>#DIV/0!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 t="e">
        <f t="shared" si="8"/>
        <v>#DIV/0!</v>
      </c>
      <c r="E191" s="221"/>
      <c r="F191" s="221">
        <v>0</v>
      </c>
      <c r="G191" s="221"/>
      <c r="H191" s="221" t="e">
        <f t="shared" si="9"/>
        <v>#DIV/0!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 t="e">
        <f t="shared" si="8"/>
        <v>#DIV/0!</v>
      </c>
      <c r="E192" s="221"/>
      <c r="F192" s="221">
        <v>0</v>
      </c>
      <c r="G192" s="221"/>
      <c r="H192" s="221" t="e">
        <f t="shared" si="9"/>
        <v>#DIV/0!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 t="e">
        <f t="shared" si="8"/>
        <v>#DIV/0!</v>
      </c>
      <c r="E193" s="269"/>
      <c r="F193" s="269">
        <v>0</v>
      </c>
      <c r="G193" s="269"/>
      <c r="H193" s="269" t="e">
        <f t="shared" si="9"/>
        <v>#DIV/0!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 t="e">
        <f t="shared" si="8"/>
        <v>#DIV/0!</v>
      </c>
      <c r="E194" s="221"/>
      <c r="F194" s="221">
        <v>0</v>
      </c>
      <c r="G194" s="221"/>
      <c r="H194" s="221" t="e">
        <f t="shared" si="9"/>
        <v>#DIV/0!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 t="e">
        <f t="shared" si="8"/>
        <v>#DIV/0!</v>
      </c>
      <c r="E195" s="221"/>
      <c r="F195" s="221">
        <v>0</v>
      </c>
      <c r="G195" s="221"/>
      <c r="H195" s="221" t="e">
        <f t="shared" si="9"/>
        <v>#DIV/0!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 t="e">
        <f t="shared" si="8"/>
        <v>#DIV/0!</v>
      </c>
      <c r="E196" s="221"/>
      <c r="F196" s="221">
        <v>0</v>
      </c>
      <c r="G196" s="221"/>
      <c r="H196" s="221" t="e">
        <f t="shared" si="9"/>
        <v>#DIV/0!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 t="e">
        <f t="shared" si="8"/>
        <v>#DIV/0!</v>
      </c>
      <c r="E197" s="221"/>
      <c r="F197" s="221">
        <v>0</v>
      </c>
      <c r="G197" s="221"/>
      <c r="H197" s="221" t="e">
        <f t="shared" si="9"/>
        <v>#DIV/0!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 t="e">
        <f t="shared" si="8"/>
        <v>#DIV/0!</v>
      </c>
      <c r="E198" s="269"/>
      <c r="F198" s="269">
        <v>0</v>
      </c>
      <c r="G198" s="269"/>
      <c r="H198" s="269" t="e">
        <f t="shared" si="9"/>
        <v>#DIV/0!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 t="e">
        <f t="shared" si="8"/>
        <v>#DIV/0!</v>
      </c>
      <c r="E199" s="221"/>
      <c r="F199" s="221">
        <v>0</v>
      </c>
      <c r="G199" s="221"/>
      <c r="H199" s="221" t="e">
        <f t="shared" si="9"/>
        <v>#DIV/0!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 t="e">
        <f t="shared" si="8"/>
        <v>#DIV/0!</v>
      </c>
      <c r="E200" s="221"/>
      <c r="F200" s="221">
        <v>0</v>
      </c>
      <c r="G200" s="221"/>
      <c r="H200" s="221" t="e">
        <f t="shared" si="9"/>
        <v>#DIV/0!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 t="e">
        <f t="shared" si="8"/>
        <v>#DIV/0!</v>
      </c>
      <c r="E201" s="221"/>
      <c r="F201" s="221">
        <v>0</v>
      </c>
      <c r="G201" s="221"/>
      <c r="H201" s="221" t="e">
        <f t="shared" si="9"/>
        <v>#DIV/0!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 t="e">
        <f t="shared" si="8"/>
        <v>#DIV/0!</v>
      </c>
      <c r="E202" s="221"/>
      <c r="F202" s="221">
        <v>0</v>
      </c>
      <c r="G202" s="221"/>
      <c r="H202" s="221" t="e">
        <f t="shared" si="9"/>
        <v>#DIV/0!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 t="e">
        <f t="shared" si="8"/>
        <v>#DIV/0!</v>
      </c>
      <c r="E203" s="269"/>
      <c r="F203" s="269">
        <v>0</v>
      </c>
      <c r="G203" s="269"/>
      <c r="H203" s="269" t="e">
        <f t="shared" si="9"/>
        <v>#DIV/0!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259</v>
      </c>
      <c r="G209" s="208"/>
      <c r="H209" s="203"/>
      <c r="I209" s="203"/>
      <c r="J209" s="203"/>
      <c r="K209" s="228" t="s">
        <v>260</v>
      </c>
      <c r="L209" s="203"/>
      <c r="M209" s="203"/>
      <c r="N209" s="203"/>
      <c r="O209" s="203"/>
    </row>
    <row r="210" spans="1:15" ht="15" customHeight="1">
      <c r="A210" s="203"/>
      <c r="B210" s="202" t="s">
        <v>141</v>
      </c>
      <c r="C210" s="202"/>
      <c r="D210" s="202" t="s">
        <v>261</v>
      </c>
      <c r="E210" s="202" t="s">
        <v>262</v>
      </c>
      <c r="F210" s="202" t="s">
        <v>263</v>
      </c>
      <c r="G210" s="202" t="s">
        <v>279</v>
      </c>
      <c r="H210" s="202" t="s">
        <v>264</v>
      </c>
      <c r="I210" s="202" t="s">
        <v>54</v>
      </c>
      <c r="J210" s="202" t="s">
        <v>266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 t="e">
        <f t="array" ref="D211">IF(B21=B211,H21)</f>
        <v>#DIV/0!</v>
      </c>
      <c r="E211" s="257" t="e">
        <f t="array" ref="E211">IF(B53=B211,H53)</f>
        <v>#DIV/0!</v>
      </c>
      <c r="F211" s="257" t="e">
        <f t="array" ref="F211">IF(B101=B211,H101)</f>
        <v>#DIV/0!</v>
      </c>
      <c r="G211" s="257" t="e">
        <f t="array" ref="G211">IF(B141=B211,H141)</f>
        <v>#DIV/0!</v>
      </c>
      <c r="H211" s="257" t="e">
        <f t="array" ref="H211">IF(B184=B211,H184)</f>
        <v>#DIV/0!</v>
      </c>
      <c r="I211" s="257" t="e">
        <f t="shared" ref="I211:I230" si="10">IF(G211=0,AVERAGE(D211,E211,F211,H211),AVERAGE(D211:H211))</f>
        <v>#DIV/0!</v>
      </c>
      <c r="J211" s="266" t="e">
        <f t="shared" ref="J211:J230" si="11">ROUND(AVERAGE(D211,F211:G211),0)</f>
        <v>#DIV/0!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 t="e">
        <f t="array" ref="D212">IF(B22=B212,H22)</f>
        <v>#DIV/0!</v>
      </c>
      <c r="E212" s="257" t="e">
        <f t="array" ref="E212">IF(B54=B212,H54)</f>
        <v>#DIV/0!</v>
      </c>
      <c r="F212" s="257" t="e">
        <f t="array" ref="F212">IF(B102=B212,H102)</f>
        <v>#DIV/0!</v>
      </c>
      <c r="G212" s="257" t="e">
        <f t="array" ref="G212">IF(B142=B212,H142)</f>
        <v>#DIV/0!</v>
      </c>
      <c r="H212" s="257" t="e">
        <f t="array" ref="H212">IF(B185=B212,H185)</f>
        <v>#DIV/0!</v>
      </c>
      <c r="I212" s="257" t="e">
        <f t="shared" si="10"/>
        <v>#DIV/0!</v>
      </c>
      <c r="J212" s="266" t="e">
        <f t="shared" si="11"/>
        <v>#DIV/0!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 t="e">
        <f t="array" ref="D213">IF(B23=B213,H23)</f>
        <v>#DIV/0!</v>
      </c>
      <c r="E213" s="257" t="e">
        <f t="array" ref="E213">IF(B55=B213,H55)</f>
        <v>#DIV/0!</v>
      </c>
      <c r="F213" s="257" t="e">
        <f t="array" ref="F213">IF(B103=B213,H103)</f>
        <v>#DIV/0!</v>
      </c>
      <c r="G213" s="257" t="e">
        <f t="array" ref="G213">IF(B143=B213,H143)</f>
        <v>#DIV/0!</v>
      </c>
      <c r="H213" s="257" t="e">
        <f t="array" ref="H213">IF(B186=B213,H186)</f>
        <v>#DIV/0!</v>
      </c>
      <c r="I213" s="257" t="e">
        <f t="shared" si="10"/>
        <v>#DIV/0!</v>
      </c>
      <c r="J213" s="266" t="e">
        <f t="shared" si="11"/>
        <v>#DIV/0!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 t="e">
        <f t="array" ref="D214">IF(B24=B214,H24)</f>
        <v>#DIV/0!</v>
      </c>
      <c r="E214" s="257" t="e">
        <f t="array" ref="E214">IF(B56=B214,H56)</f>
        <v>#DIV/0!</v>
      </c>
      <c r="F214" s="257" t="e">
        <f t="array" ref="F214">IF(B104=B214,H104)</f>
        <v>#DIV/0!</v>
      </c>
      <c r="G214" s="257" t="e">
        <f t="array" ref="G214">IF(B144=B214,H144)</f>
        <v>#DIV/0!</v>
      </c>
      <c r="H214" s="257" t="e">
        <f t="array" ref="H214">IF(B187=B214,H187)</f>
        <v>#DIV/0!</v>
      </c>
      <c r="I214" s="257" t="e">
        <f t="shared" si="10"/>
        <v>#DIV/0!</v>
      </c>
      <c r="J214" s="266" t="e">
        <f t="shared" si="11"/>
        <v>#DIV/0!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 t="e">
        <f t="array" ref="D215">IF(B25=B215,H25)</f>
        <v>#DIV/0!</v>
      </c>
      <c r="E215" s="271" t="e">
        <f t="array" ref="E215">IF(B57=B215,H57)</f>
        <v>#DIV/0!</v>
      </c>
      <c r="F215" s="271" t="e">
        <f t="array" ref="F215">IF(B105=B215,H105)</f>
        <v>#DIV/0!</v>
      </c>
      <c r="G215" s="271" t="e">
        <f t="array" ref="G215">IF(B145=B215,H145)</f>
        <v>#DIV/0!</v>
      </c>
      <c r="H215" s="271" t="e">
        <f t="array" ref="H215">IF(B188=B215,H188)</f>
        <v>#DIV/0!</v>
      </c>
      <c r="I215" s="271" t="e">
        <f t="shared" si="10"/>
        <v>#DIV/0!</v>
      </c>
      <c r="J215" s="273" t="e">
        <f t="shared" si="11"/>
        <v>#DIV/0!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 t="e">
        <f t="array" ref="D216">IF(B26=B216,H26)</f>
        <v>#DIV/0!</v>
      </c>
      <c r="E216" s="257" t="e">
        <f t="array" ref="E216">IF(B58=B216,H58)</f>
        <v>#DIV/0!</v>
      </c>
      <c r="F216" s="257" t="e">
        <f t="array" ref="F216">IF(B106=B216,H106)</f>
        <v>#DIV/0!</v>
      </c>
      <c r="G216" s="257" t="e">
        <f t="array" ref="G216">IF(B146=B216,H146)</f>
        <v>#DIV/0!</v>
      </c>
      <c r="H216" s="257" t="e">
        <f t="array" ref="H216">IF(B189=B216,H189)</f>
        <v>#DIV/0!</v>
      </c>
      <c r="I216" s="257" t="e">
        <f t="shared" si="10"/>
        <v>#DIV/0!</v>
      </c>
      <c r="J216" s="266" t="e">
        <f t="shared" si="11"/>
        <v>#DIV/0!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 t="e">
        <f t="array" ref="D217">IF(B27=B217,H27)</f>
        <v>#DIV/0!</v>
      </c>
      <c r="E217" s="257" t="e">
        <f t="array" ref="E217">IF(B59=B217,H59)</f>
        <v>#DIV/0!</v>
      </c>
      <c r="F217" s="257" t="e">
        <f t="array" ref="F217">IF(B107=B217,H107)</f>
        <v>#DIV/0!</v>
      </c>
      <c r="G217" s="257" t="e">
        <f t="array" ref="G217">IF(B147=B217,H147)</f>
        <v>#DIV/0!</v>
      </c>
      <c r="H217" s="257" t="e">
        <f t="array" ref="H217">IF(B190=B217,H190)</f>
        <v>#DIV/0!</v>
      </c>
      <c r="I217" s="257" t="e">
        <f t="shared" si="10"/>
        <v>#DIV/0!</v>
      </c>
      <c r="J217" s="266" t="e">
        <f t="shared" si="11"/>
        <v>#DIV/0!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 t="e">
        <f t="array" ref="D218">IF(B28=B218,H28)</f>
        <v>#DIV/0!</v>
      </c>
      <c r="E218" s="257" t="e">
        <f t="array" ref="E218">IF(B60=B218,H60)</f>
        <v>#DIV/0!</v>
      </c>
      <c r="F218" s="257" t="e">
        <f t="array" ref="F218">IF(B108=B218,H108)</f>
        <v>#DIV/0!</v>
      </c>
      <c r="G218" s="257" t="e">
        <f t="array" ref="G218">IF(B148=B218,H148)</f>
        <v>#DIV/0!</v>
      </c>
      <c r="H218" s="257" t="e">
        <f t="array" ref="H218">IF(B191=B218,H191)</f>
        <v>#DIV/0!</v>
      </c>
      <c r="I218" s="257" t="e">
        <f t="shared" si="10"/>
        <v>#DIV/0!</v>
      </c>
      <c r="J218" s="266" t="e">
        <f t="shared" si="11"/>
        <v>#DIV/0!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 t="e">
        <f t="array" ref="D219">IF(B29=B219,H29)</f>
        <v>#DIV/0!</v>
      </c>
      <c r="E219" s="257" t="e">
        <f t="array" ref="E219">IF(B61=B219,H61)</f>
        <v>#DIV/0!</v>
      </c>
      <c r="F219" s="257" t="e">
        <f t="array" ref="F219">IF(B109=B219,H109)</f>
        <v>#DIV/0!</v>
      </c>
      <c r="G219" s="257" t="e">
        <f t="array" ref="G219">IF(B149=B219,H149)</f>
        <v>#DIV/0!</v>
      </c>
      <c r="H219" s="257" t="e">
        <f t="array" ref="H219">IF(B192=B219,H192)</f>
        <v>#DIV/0!</v>
      </c>
      <c r="I219" s="257" t="e">
        <f t="shared" si="10"/>
        <v>#DIV/0!</v>
      </c>
      <c r="J219" s="266" t="e">
        <f t="shared" si="11"/>
        <v>#DIV/0!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 t="e">
        <f t="array" ref="D220">IF(B30=B220,H30)</f>
        <v>#DIV/0!</v>
      </c>
      <c r="E220" s="271" t="e">
        <f t="array" ref="E220">IF(B62=B220,H62)</f>
        <v>#DIV/0!</v>
      </c>
      <c r="F220" s="271" t="e">
        <f t="array" ref="F220">IF(B110=B220,H110)</f>
        <v>#DIV/0!</v>
      </c>
      <c r="G220" s="271" t="e">
        <f t="array" ref="G220">IF(B150=B220,H150)</f>
        <v>#DIV/0!</v>
      </c>
      <c r="H220" s="271" t="e">
        <f t="array" ref="H220">IF(B193=B220,H193)</f>
        <v>#DIV/0!</v>
      </c>
      <c r="I220" s="271" t="e">
        <f t="shared" si="10"/>
        <v>#DIV/0!</v>
      </c>
      <c r="J220" s="273" t="e">
        <f t="shared" si="11"/>
        <v>#DIV/0!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 t="e">
        <f t="array" ref="D221">IF(B31=B221,H31)</f>
        <v>#DIV/0!</v>
      </c>
      <c r="E221" s="257" t="e">
        <f t="array" ref="E221">IF(B63=B221,H63)</f>
        <v>#DIV/0!</v>
      </c>
      <c r="F221" s="257" t="e">
        <f t="array" ref="F221">IF(B111=B221,H111)</f>
        <v>#DIV/0!</v>
      </c>
      <c r="G221" s="257" t="e">
        <f t="array" ref="G221">IF(B151=B221,H151)</f>
        <v>#DIV/0!</v>
      </c>
      <c r="H221" s="257" t="e">
        <f t="array" ref="H221">IF(B194=B221,H194)</f>
        <v>#DIV/0!</v>
      </c>
      <c r="I221" s="257" t="e">
        <f t="shared" si="10"/>
        <v>#DIV/0!</v>
      </c>
      <c r="J221" s="266" t="e">
        <f t="shared" si="11"/>
        <v>#DIV/0!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 t="e">
        <f t="array" ref="D222">IF(B32=B222,H32)</f>
        <v>#DIV/0!</v>
      </c>
      <c r="E222" s="257" t="e">
        <f t="array" ref="E222">IF(B64=B222,H64)</f>
        <v>#DIV/0!</v>
      </c>
      <c r="F222" s="257" t="e">
        <f t="array" ref="F222">IF(B112=B222,H112)</f>
        <v>#DIV/0!</v>
      </c>
      <c r="G222" s="257" t="e">
        <f t="array" ref="G222">IF(B152=B222,H152)</f>
        <v>#DIV/0!</v>
      </c>
      <c r="H222" s="257" t="e">
        <f t="array" ref="H222">IF(B195=B222,H195)</f>
        <v>#DIV/0!</v>
      </c>
      <c r="I222" s="257" t="e">
        <f t="shared" si="10"/>
        <v>#DIV/0!</v>
      </c>
      <c r="J222" s="266" t="e">
        <f t="shared" si="11"/>
        <v>#DIV/0!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 t="e">
        <f t="array" ref="D223">IF(B33=B223,H33)</f>
        <v>#DIV/0!</v>
      </c>
      <c r="E223" s="257" t="e">
        <f t="array" ref="E223">IF(B65=B223,H65)</f>
        <v>#DIV/0!</v>
      </c>
      <c r="F223" s="257" t="e">
        <f t="array" ref="F223">IF(B113=B223,H113)</f>
        <v>#DIV/0!</v>
      </c>
      <c r="G223" s="257" t="e">
        <f t="array" ref="G223">IF(B153=B223,H153)</f>
        <v>#DIV/0!</v>
      </c>
      <c r="H223" s="257" t="e">
        <f t="array" ref="H223">IF(B196=B223,H196)</f>
        <v>#DIV/0!</v>
      </c>
      <c r="I223" s="257" t="e">
        <f t="shared" si="10"/>
        <v>#DIV/0!</v>
      </c>
      <c r="J223" s="266" t="e">
        <f t="shared" si="11"/>
        <v>#DIV/0!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 t="e">
        <f t="array" ref="D224">IF(B34=B224,H34)</f>
        <v>#DIV/0!</v>
      </c>
      <c r="E224" s="257" t="e">
        <f t="array" ref="E224">IF(B66=B224,H66)</f>
        <v>#DIV/0!</v>
      </c>
      <c r="F224" s="257" t="e">
        <f t="array" ref="F224">IF(B114=B224,H114)</f>
        <v>#DIV/0!</v>
      </c>
      <c r="G224" s="257" t="e">
        <f t="array" ref="G224">IF(B154=B224,H154)</f>
        <v>#DIV/0!</v>
      </c>
      <c r="H224" s="257" t="e">
        <f t="array" ref="H224">IF(B197=B224,H197)</f>
        <v>#DIV/0!</v>
      </c>
      <c r="I224" s="257" t="e">
        <f t="shared" si="10"/>
        <v>#DIV/0!</v>
      </c>
      <c r="J224" s="266" t="e">
        <f t="shared" si="11"/>
        <v>#DIV/0!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 t="e">
        <f t="array" ref="D225">IF(B35=B225,H35)</f>
        <v>#DIV/0!</v>
      </c>
      <c r="E225" s="271" t="e">
        <f t="array" ref="E225">IF(B67=B225,H67)</f>
        <v>#DIV/0!</v>
      </c>
      <c r="F225" s="271" t="e">
        <f t="array" ref="F225">IF(B115=B225,H115)</f>
        <v>#DIV/0!</v>
      </c>
      <c r="G225" s="271" t="e">
        <f t="array" ref="G225">IF(B155=B225,H155)</f>
        <v>#DIV/0!</v>
      </c>
      <c r="H225" s="271" t="e">
        <f t="array" ref="H225">IF(B198=B225,H198)</f>
        <v>#DIV/0!</v>
      </c>
      <c r="I225" s="271" t="e">
        <f t="shared" si="10"/>
        <v>#DIV/0!</v>
      </c>
      <c r="J225" s="273" t="e">
        <f t="shared" si="11"/>
        <v>#DIV/0!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 t="e">
        <f t="array" ref="D226">IF(B36=B226,H36)</f>
        <v>#DIV/0!</v>
      </c>
      <c r="E226" s="257" t="e">
        <f t="array" ref="E226">IF(B68=B226,H68)</f>
        <v>#DIV/0!</v>
      </c>
      <c r="F226" s="257" t="e">
        <f t="array" ref="F226">IF(B116=B226,H116)</f>
        <v>#DIV/0!</v>
      </c>
      <c r="G226" s="257" t="e">
        <f t="array" ref="G226">IF(B156=B226,H156)</f>
        <v>#DIV/0!</v>
      </c>
      <c r="H226" s="257" t="e">
        <f t="array" ref="H226">IF(B199=B226,H199)</f>
        <v>#DIV/0!</v>
      </c>
      <c r="I226" s="257" t="e">
        <f t="shared" si="10"/>
        <v>#DIV/0!</v>
      </c>
      <c r="J226" s="266" t="e">
        <f t="shared" si="11"/>
        <v>#DIV/0!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 t="e">
        <f t="array" ref="D227">IF(B37=B227,H37)</f>
        <v>#DIV/0!</v>
      </c>
      <c r="E227" s="257" t="e">
        <f t="array" ref="E227">IF(B69=B227,H69)</f>
        <v>#DIV/0!</v>
      </c>
      <c r="F227" s="257" t="e">
        <f t="array" ref="F227">IF(B117=B227,H117)</f>
        <v>#DIV/0!</v>
      </c>
      <c r="G227" s="257" t="e">
        <f t="array" ref="G227">IF(B157=B227,H157)</f>
        <v>#DIV/0!</v>
      </c>
      <c r="H227" s="257" t="e">
        <f t="array" ref="H227">IF(B200=B227,H200)</f>
        <v>#DIV/0!</v>
      </c>
      <c r="I227" s="257" t="e">
        <f t="shared" si="10"/>
        <v>#DIV/0!</v>
      </c>
      <c r="J227" s="266" t="e">
        <f t="shared" si="11"/>
        <v>#DIV/0!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 t="e">
        <f t="array" ref="D228">IF(B38=B228,H38)</f>
        <v>#DIV/0!</v>
      </c>
      <c r="E228" s="257" t="e">
        <f t="array" ref="E228">IF(B70=B228,H70)</f>
        <v>#DIV/0!</v>
      </c>
      <c r="F228" s="257" t="e">
        <f t="array" ref="F228">IF(B118=B228,H118)</f>
        <v>#DIV/0!</v>
      </c>
      <c r="G228" s="257" t="e">
        <f t="array" ref="G228">IF(B158=B228,H158)</f>
        <v>#DIV/0!</v>
      </c>
      <c r="H228" s="257" t="e">
        <f t="array" ref="H228">IF(B201=B228,H201)</f>
        <v>#DIV/0!</v>
      </c>
      <c r="I228" s="257" t="e">
        <f t="shared" si="10"/>
        <v>#DIV/0!</v>
      </c>
      <c r="J228" s="266" t="e">
        <f t="shared" si="11"/>
        <v>#DIV/0!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 t="e">
        <f t="array" ref="D229">IF(B39=B229,H39)</f>
        <v>#DIV/0!</v>
      </c>
      <c r="E229" s="257" t="e">
        <f t="array" ref="E229">IF(B71=B229,H71)</f>
        <v>#DIV/0!</v>
      </c>
      <c r="F229" s="257" t="e">
        <f t="array" ref="F229">IF(B119=B229,H119)</f>
        <v>#DIV/0!</v>
      </c>
      <c r="G229" s="257" t="e">
        <f t="array" ref="G229">IF(B159=B229,H159)</f>
        <v>#DIV/0!</v>
      </c>
      <c r="H229" s="257" t="e">
        <f t="array" ref="H229">IF(B202=B229,H202)</f>
        <v>#DIV/0!</v>
      </c>
      <c r="I229" s="257" t="e">
        <f t="shared" si="10"/>
        <v>#DIV/0!</v>
      </c>
      <c r="J229" s="266" t="e">
        <f t="shared" si="11"/>
        <v>#DIV/0!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 t="e">
        <f t="array" ref="D230">IF(B40=B230,H40)</f>
        <v>#DIV/0!</v>
      </c>
      <c r="E230" s="271" t="e">
        <f t="array" ref="E230">IF(B72=B230,H72)</f>
        <v>#DIV/0!</v>
      </c>
      <c r="F230" s="271" t="e">
        <f t="array" ref="F230">IF(B120=B230,H120)</f>
        <v>#DIV/0!</v>
      </c>
      <c r="G230" s="271" t="e">
        <f t="array" ref="G230">IF(B160=B230,H160)</f>
        <v>#DIV/0!</v>
      </c>
      <c r="H230" s="271" t="e">
        <f t="array" ref="H230">IF(B203=B230,H203)</f>
        <v>#DIV/0!</v>
      </c>
      <c r="I230" s="271" t="e">
        <f t="shared" si="10"/>
        <v>#DIV/0!</v>
      </c>
      <c r="J230" s="273" t="e">
        <f t="shared" si="11"/>
        <v>#DIV/0!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1249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1779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실적산정'!I39</f>
        <v>108.52363861748952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실적산정'!I40</f>
        <v>84.587686912890391</v>
      </c>
      <c r="E8" s="844"/>
      <c r="F8" s="206">
        <f t="shared" ref="F8:F12" si="1">D8-D7</f>
        <v>-23.935951704599134</v>
      </c>
      <c r="G8" s="206"/>
      <c r="H8" s="207">
        <f t="shared" ref="H8:H12" si="2">ROUND(F8/D7*100,2)</f>
        <v>-22.06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실적산정'!I41</f>
        <v>97.232108564844452</v>
      </c>
      <c r="E9" s="844"/>
      <c r="F9" s="206">
        <f t="shared" si="1"/>
        <v>12.644421651954062</v>
      </c>
      <c r="G9" s="206"/>
      <c r="H9" s="207">
        <f t="shared" si="2"/>
        <v>14.95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실적산정'!I42</f>
        <v>118.05352243708408</v>
      </c>
      <c r="E10" s="844"/>
      <c r="F10" s="206">
        <f t="shared" si="1"/>
        <v>20.821413872239631</v>
      </c>
      <c r="G10" s="206"/>
      <c r="H10" s="207">
        <f t="shared" si="2"/>
        <v>21.41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실적산정'!I43</f>
        <v>181.41940845270432</v>
      </c>
      <c r="E11" s="844"/>
      <c r="F11" s="206">
        <f t="shared" si="1"/>
        <v>63.365886015620234</v>
      </c>
      <c r="G11" s="206"/>
      <c r="H11" s="207">
        <f t="shared" si="2"/>
        <v>53.68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실적산정'!I44</f>
        <v>232.32646178466499</v>
      </c>
      <c r="E12" s="844"/>
      <c r="F12" s="206">
        <f t="shared" si="1"/>
        <v>50.907053331960668</v>
      </c>
      <c r="G12" s="206"/>
      <c r="H12" s="207">
        <f t="shared" si="2"/>
        <v>28.06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>
        <f>SUM(D7:D12)</f>
        <v>822.14282676967775</v>
      </c>
      <c r="E13" s="214"/>
      <c r="F13" s="215"/>
      <c r="G13" s="215"/>
      <c r="H13" s="918">
        <f>SUM(H7:H12)</f>
        <v>96.04</v>
      </c>
      <c r="I13" s="216"/>
      <c r="J13" s="217">
        <f>ROUND(AVERAGE(H7:H12),1)</f>
        <v>16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1017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1018</v>
      </c>
      <c r="D16" s="219" t="s">
        <v>1019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1020</v>
      </c>
      <c r="D17" s="219" t="s">
        <v>1021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1022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1023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1024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1010</v>
      </c>
      <c r="C21" s="202"/>
      <c r="D21" s="202" t="s">
        <v>1025</v>
      </c>
      <c r="E21" s="202"/>
      <c r="F21" s="202" t="s">
        <v>1026</v>
      </c>
      <c r="G21" s="202"/>
      <c r="H21" s="202" t="s">
        <v>1027</v>
      </c>
      <c r="I21" s="202"/>
      <c r="J21" s="202" t="s">
        <v>1014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232</v>
      </c>
      <c r="E22" s="221"/>
      <c r="F22" s="221">
        <v>0</v>
      </c>
      <c r="G22" s="221"/>
      <c r="H22" s="221">
        <f t="shared" ref="H22:H36" si="4">ROUND(D22*(1+F22),0)</f>
        <v>232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257</v>
      </c>
      <c r="E23" s="221"/>
      <c r="F23" s="221">
        <v>0</v>
      </c>
      <c r="G23" s="221"/>
      <c r="H23" s="221">
        <f t="shared" si="4"/>
        <v>257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282</v>
      </c>
      <c r="E24" s="221"/>
      <c r="F24" s="221">
        <v>0</v>
      </c>
      <c r="G24" s="221"/>
      <c r="H24" s="221">
        <f t="shared" si="4"/>
        <v>282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307</v>
      </c>
      <c r="E25" s="221"/>
      <c r="F25" s="221">
        <v>0</v>
      </c>
      <c r="G25" s="221"/>
      <c r="H25" s="221">
        <f t="shared" si="4"/>
        <v>307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332</v>
      </c>
      <c r="E26" s="269"/>
      <c r="F26" s="269">
        <v>0</v>
      </c>
      <c r="G26" s="269"/>
      <c r="H26" s="269">
        <f t="shared" si="4"/>
        <v>332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356</v>
      </c>
      <c r="E27" s="221"/>
      <c r="F27" s="221">
        <v>0</v>
      </c>
      <c r="G27" s="221"/>
      <c r="H27" s="221">
        <f t="shared" si="4"/>
        <v>356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381</v>
      </c>
      <c r="E28" s="221"/>
      <c r="F28" s="221">
        <v>0</v>
      </c>
      <c r="G28" s="221"/>
      <c r="H28" s="221">
        <f t="shared" si="4"/>
        <v>381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406</v>
      </c>
      <c r="E29" s="221"/>
      <c r="F29" s="221">
        <v>0</v>
      </c>
      <c r="G29" s="221"/>
      <c r="H29" s="221">
        <f t="shared" si="4"/>
        <v>406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431</v>
      </c>
      <c r="E30" s="221"/>
      <c r="F30" s="221">
        <v>0</v>
      </c>
      <c r="G30" s="221"/>
      <c r="H30" s="221">
        <f t="shared" si="4"/>
        <v>431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456</v>
      </c>
      <c r="E31" s="269"/>
      <c r="F31" s="269">
        <v>0</v>
      </c>
      <c r="G31" s="269"/>
      <c r="H31" s="269">
        <f t="shared" si="4"/>
        <v>456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480</v>
      </c>
      <c r="E32" s="221"/>
      <c r="F32" s="221">
        <v>0</v>
      </c>
      <c r="G32" s="221"/>
      <c r="H32" s="221">
        <f t="shared" si="4"/>
        <v>480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505</v>
      </c>
      <c r="E33" s="221"/>
      <c r="F33" s="221">
        <v>0</v>
      </c>
      <c r="G33" s="221"/>
      <c r="H33" s="221">
        <f t="shared" si="4"/>
        <v>505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530</v>
      </c>
      <c r="E34" s="221"/>
      <c r="F34" s="221">
        <v>0</v>
      </c>
      <c r="G34" s="221"/>
      <c r="H34" s="221">
        <f t="shared" si="4"/>
        <v>530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555</v>
      </c>
      <c r="E35" s="221"/>
      <c r="F35" s="221">
        <v>0</v>
      </c>
      <c r="G35" s="221"/>
      <c r="H35" s="221">
        <f t="shared" si="4"/>
        <v>555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580</v>
      </c>
      <c r="E36" s="269"/>
      <c r="F36" s="269">
        <v>0</v>
      </c>
      <c r="G36" s="269"/>
      <c r="H36" s="269">
        <f t="shared" si="4"/>
        <v>580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604</v>
      </c>
      <c r="E37" s="221"/>
      <c r="F37" s="221">
        <v>0</v>
      </c>
      <c r="G37" s="221"/>
      <c r="H37" s="221">
        <f>ROUND(D37*(1+F37),0)</f>
        <v>604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629</v>
      </c>
      <c r="E38" s="221"/>
      <c r="F38" s="221">
        <v>0</v>
      </c>
      <c r="G38" s="221"/>
      <c r="H38" s="221">
        <f>ROUND(D38*(1+F38),0)</f>
        <v>629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654</v>
      </c>
      <c r="E39" s="221"/>
      <c r="F39" s="221">
        <v>0</v>
      </c>
      <c r="G39" s="221"/>
      <c r="H39" s="221">
        <f>ROUND(D39*(1+F39),0)</f>
        <v>654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679</v>
      </c>
      <c r="E40" s="221"/>
      <c r="F40" s="221">
        <v>0</v>
      </c>
      <c r="G40" s="221"/>
      <c r="H40" s="221">
        <f>ROUND(D40*(1+F40),0)</f>
        <v>679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704</v>
      </c>
      <c r="E41" s="269"/>
      <c r="F41" s="269">
        <v>0</v>
      </c>
      <c r="G41" s="269"/>
      <c r="H41" s="269">
        <f>ROUND(D41*(1+F41),0)</f>
        <v>704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1250</v>
      </c>
      <c r="C42" s="223"/>
      <c r="D42" s="224" t="s">
        <v>1251</v>
      </c>
      <c r="E42" s="225">
        <f>D$12</f>
        <v>232.32646178466499</v>
      </c>
      <c r="F42" s="226"/>
      <c r="G42" s="224" t="s">
        <v>1030</v>
      </c>
      <c r="H42" s="224">
        <f>ROUND((D$12-D7)/(COUNT(D$7:D$12)-1),1)</f>
        <v>24.8</v>
      </c>
      <c r="I42" s="224"/>
      <c r="J42" s="224" t="s">
        <v>1031</v>
      </c>
      <c r="K42" s="227" t="s">
        <v>1032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1033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1018</v>
      </c>
      <c r="D47" s="219" t="s">
        <v>1034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1020</v>
      </c>
      <c r="D48" s="219" t="s">
        <v>1021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1022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1035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1036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1010</v>
      </c>
      <c r="C53" s="202"/>
      <c r="D53" s="202" t="s">
        <v>1025</v>
      </c>
      <c r="E53" s="202"/>
      <c r="F53" s="202" t="s">
        <v>1026</v>
      </c>
      <c r="G53" s="202"/>
      <c r="H53" s="202" t="s">
        <v>1027</v>
      </c>
      <c r="I53" s="202"/>
      <c r="J53" s="202" t="s">
        <v>1014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232</v>
      </c>
      <c r="E54" s="221"/>
      <c r="F54" s="221">
        <v>0</v>
      </c>
      <c r="G54" s="221"/>
      <c r="H54" s="221">
        <f t="shared" ref="H54:H68" si="6">ROUND(D54*(1+F54),0)</f>
        <v>232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271</v>
      </c>
      <c r="E55" s="221"/>
      <c r="F55" s="221">
        <v>0</v>
      </c>
      <c r="G55" s="221"/>
      <c r="H55" s="221">
        <f t="shared" si="6"/>
        <v>271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315</v>
      </c>
      <c r="E56" s="221"/>
      <c r="F56" s="221">
        <v>0</v>
      </c>
      <c r="G56" s="221"/>
      <c r="H56" s="221">
        <f t="shared" si="6"/>
        <v>315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367</v>
      </c>
      <c r="E57" s="221"/>
      <c r="F57" s="221">
        <v>0</v>
      </c>
      <c r="G57" s="221"/>
      <c r="H57" s="221">
        <f t="shared" si="6"/>
        <v>367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427</v>
      </c>
      <c r="E58" s="269"/>
      <c r="F58" s="269">
        <v>0</v>
      </c>
      <c r="G58" s="269"/>
      <c r="H58" s="269">
        <f t="shared" si="6"/>
        <v>427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497</v>
      </c>
      <c r="E59" s="221"/>
      <c r="F59" s="221">
        <v>0</v>
      </c>
      <c r="G59" s="221"/>
      <c r="H59" s="221">
        <f t="shared" si="6"/>
        <v>497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579</v>
      </c>
      <c r="E60" s="221"/>
      <c r="F60" s="221">
        <v>0</v>
      </c>
      <c r="G60" s="221"/>
      <c r="H60" s="221">
        <f t="shared" si="6"/>
        <v>579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674</v>
      </c>
      <c r="E61" s="221"/>
      <c r="F61" s="221">
        <v>0</v>
      </c>
      <c r="G61" s="221"/>
      <c r="H61" s="221">
        <f t="shared" si="6"/>
        <v>674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785</v>
      </c>
      <c r="E62" s="221"/>
      <c r="F62" s="221">
        <v>0</v>
      </c>
      <c r="G62" s="221"/>
      <c r="H62" s="221">
        <f t="shared" si="6"/>
        <v>785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914</v>
      </c>
      <c r="E63" s="269"/>
      <c r="F63" s="269">
        <v>0</v>
      </c>
      <c r="G63" s="269"/>
      <c r="H63" s="269">
        <f t="shared" si="6"/>
        <v>914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1065</v>
      </c>
      <c r="E64" s="221"/>
      <c r="F64" s="221">
        <v>0</v>
      </c>
      <c r="G64" s="221"/>
      <c r="H64" s="221">
        <f t="shared" si="6"/>
        <v>1065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1240</v>
      </c>
      <c r="E65" s="221"/>
      <c r="F65" s="221">
        <v>0</v>
      </c>
      <c r="G65" s="221"/>
      <c r="H65" s="221">
        <f t="shared" si="6"/>
        <v>1240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1444</v>
      </c>
      <c r="E66" s="221"/>
      <c r="F66" s="221">
        <v>0</v>
      </c>
      <c r="G66" s="221"/>
      <c r="H66" s="221">
        <f t="shared" si="6"/>
        <v>1444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1681</v>
      </c>
      <c r="E67" s="221"/>
      <c r="F67" s="221">
        <v>0</v>
      </c>
      <c r="G67" s="221"/>
      <c r="H67" s="221">
        <f t="shared" si="6"/>
        <v>1681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1958</v>
      </c>
      <c r="E68" s="269"/>
      <c r="F68" s="269">
        <v>0</v>
      </c>
      <c r="G68" s="269"/>
      <c r="H68" s="269">
        <f t="shared" si="6"/>
        <v>1958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2279</v>
      </c>
      <c r="E69" s="221"/>
      <c r="F69" s="221">
        <v>0</v>
      </c>
      <c r="G69" s="221"/>
      <c r="H69" s="221">
        <f>ROUND(D69*(1+F69),0)</f>
        <v>2279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2654</v>
      </c>
      <c r="E70" s="221"/>
      <c r="F70" s="221">
        <v>0</v>
      </c>
      <c r="G70" s="221"/>
      <c r="H70" s="221">
        <f>ROUND(D70*(1+F70),0)</f>
        <v>2654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3091</v>
      </c>
      <c r="E71" s="221"/>
      <c r="F71" s="221">
        <v>0</v>
      </c>
      <c r="G71" s="221"/>
      <c r="H71" s="221">
        <f>ROUND(D71*(1+F71),0)</f>
        <v>3091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3599</v>
      </c>
      <c r="E72" s="221"/>
      <c r="F72" s="221">
        <v>0</v>
      </c>
      <c r="G72" s="221"/>
      <c r="H72" s="221">
        <f>ROUND(D72*(1+F72),0)</f>
        <v>3599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4191</v>
      </c>
      <c r="E73" s="269"/>
      <c r="F73" s="269">
        <v>0</v>
      </c>
      <c r="G73" s="269"/>
      <c r="H73" s="269">
        <f>ROUND(D73*(1+F73),0)</f>
        <v>4191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1037</v>
      </c>
      <c r="C74" s="223"/>
      <c r="D74" s="224" t="s">
        <v>1038</v>
      </c>
      <c r="E74" s="225">
        <f>D$12</f>
        <v>232.32646178466499</v>
      </c>
      <c r="F74" s="226"/>
      <c r="G74" s="224" t="s">
        <v>179</v>
      </c>
      <c r="H74" s="224">
        <f>ROUND((E$74/D$7)^(1/(COUNT(D$7:D$12)-1)),6)</f>
        <v>1.164434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108.52363861748952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-271.31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84.587686912890391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-126.88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97.232108564844452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-48.62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118.05352243708408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59.03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181.41940845270432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272.13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232.32646178466499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580.82000000000005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146</v>
      </c>
      <c r="C97" s="212"/>
      <c r="D97" s="232">
        <f>SUM(D91:D96)</f>
        <v>822.14282676967775</v>
      </c>
      <c r="E97" s="215"/>
      <c r="F97" s="233">
        <f>ROUND(SUM(F91:F96),0)</f>
        <v>18</v>
      </c>
      <c r="G97" s="212"/>
      <c r="H97" s="234">
        <f>SUM(H91:H96)</f>
        <v>465.17000000000007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197</v>
      </c>
      <c r="C98" s="208"/>
      <c r="D98" s="236" t="s">
        <v>198</v>
      </c>
      <c r="E98" s="203"/>
      <c r="F98" s="203"/>
      <c r="G98" s="201">
        <f>((COUNT(B$91:B$96))*H$97-D$97*E$97)/((COUNT(B$91:B$96))*F$97-E$97*E$97)</f>
        <v>25.842777777777783</v>
      </c>
      <c r="H98" s="236" t="s">
        <v>199</v>
      </c>
      <c r="I98" s="201"/>
      <c r="J98" s="201"/>
      <c r="K98" s="201">
        <f>ROUND((F97*D97-H97*E97)/(COUNT(B$91:B$96)*F97-E97*E97),0)</f>
        <v>137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200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141</v>
      </c>
      <c r="C102" s="202"/>
      <c r="D102" s="202" t="s">
        <v>156</v>
      </c>
      <c r="E102" s="202"/>
      <c r="F102" s="202" t="s">
        <v>157</v>
      </c>
      <c r="G102" s="202"/>
      <c r="H102" s="202" t="s">
        <v>158</v>
      </c>
      <c r="I102" s="202"/>
      <c r="J102" s="202" t="s">
        <v>144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202</v>
      </c>
      <c r="E103" s="221"/>
      <c r="F103" s="221">
        <v>0</v>
      </c>
      <c r="G103" s="221"/>
      <c r="H103" s="221">
        <f t="shared" ref="H103:H117" si="13">ROUND(D103*(1+F103),0)</f>
        <v>202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228</v>
      </c>
      <c r="E104" s="221"/>
      <c r="F104" s="221">
        <v>0</v>
      </c>
      <c r="G104" s="221"/>
      <c r="H104" s="221">
        <f t="shared" si="13"/>
        <v>228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254</v>
      </c>
      <c r="E105" s="221"/>
      <c r="F105" s="221">
        <v>0</v>
      </c>
      <c r="G105" s="221"/>
      <c r="H105" s="221">
        <f t="shared" si="13"/>
        <v>254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280</v>
      </c>
      <c r="E106" s="221"/>
      <c r="F106" s="221">
        <v>0</v>
      </c>
      <c r="G106" s="221"/>
      <c r="H106" s="221">
        <f t="shared" si="13"/>
        <v>280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305</v>
      </c>
      <c r="E107" s="269"/>
      <c r="F107" s="269">
        <v>0</v>
      </c>
      <c r="G107" s="269"/>
      <c r="H107" s="269">
        <f t="shared" si="13"/>
        <v>305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331</v>
      </c>
      <c r="E108" s="221"/>
      <c r="F108" s="221">
        <v>0</v>
      </c>
      <c r="G108" s="221"/>
      <c r="H108" s="221">
        <f t="shared" si="13"/>
        <v>331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357</v>
      </c>
      <c r="E109" s="221"/>
      <c r="F109" s="221">
        <v>0</v>
      </c>
      <c r="G109" s="221"/>
      <c r="H109" s="221">
        <f t="shared" si="13"/>
        <v>357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383</v>
      </c>
      <c r="E110" s="221"/>
      <c r="F110" s="221">
        <v>0</v>
      </c>
      <c r="G110" s="221"/>
      <c r="H110" s="221">
        <f t="shared" si="13"/>
        <v>383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409</v>
      </c>
      <c r="E111" s="221"/>
      <c r="F111" s="221">
        <v>0</v>
      </c>
      <c r="G111" s="221"/>
      <c r="H111" s="221">
        <f t="shared" si="13"/>
        <v>409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435</v>
      </c>
      <c r="E112" s="269"/>
      <c r="F112" s="269">
        <v>0</v>
      </c>
      <c r="G112" s="269"/>
      <c r="H112" s="269">
        <f t="shared" si="13"/>
        <v>435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461</v>
      </c>
      <c r="E113" s="221"/>
      <c r="F113" s="221">
        <v>0</v>
      </c>
      <c r="G113" s="221"/>
      <c r="H113" s="221">
        <f t="shared" si="13"/>
        <v>461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486</v>
      </c>
      <c r="E114" s="221"/>
      <c r="F114" s="221">
        <v>0</v>
      </c>
      <c r="G114" s="221"/>
      <c r="H114" s="221">
        <f t="shared" si="13"/>
        <v>486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512</v>
      </c>
      <c r="E115" s="221"/>
      <c r="F115" s="221">
        <v>0</v>
      </c>
      <c r="G115" s="221"/>
      <c r="H115" s="221">
        <f t="shared" si="13"/>
        <v>512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538</v>
      </c>
      <c r="E116" s="221"/>
      <c r="F116" s="221">
        <v>0</v>
      </c>
      <c r="G116" s="221"/>
      <c r="H116" s="221">
        <f t="shared" si="13"/>
        <v>538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564</v>
      </c>
      <c r="E117" s="269"/>
      <c r="F117" s="269">
        <v>0</v>
      </c>
      <c r="G117" s="269"/>
      <c r="H117" s="269">
        <f t="shared" si="13"/>
        <v>564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590</v>
      </c>
      <c r="E118" s="221"/>
      <c r="F118" s="221">
        <v>0</v>
      </c>
      <c r="G118" s="221"/>
      <c r="H118" s="221">
        <f>ROUND(D118*(1+F118),0)</f>
        <v>590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616</v>
      </c>
      <c r="E119" s="221"/>
      <c r="F119" s="221">
        <v>0</v>
      </c>
      <c r="G119" s="221"/>
      <c r="H119" s="221">
        <f>ROUND(D119*(1+F119),0)</f>
        <v>616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641</v>
      </c>
      <c r="E120" s="221"/>
      <c r="F120" s="221">
        <v>0</v>
      </c>
      <c r="G120" s="221"/>
      <c r="H120" s="221">
        <f>ROUND(D120*(1+F120),0)</f>
        <v>641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667</v>
      </c>
      <c r="E121" s="221"/>
      <c r="F121" s="221">
        <v>0</v>
      </c>
      <c r="G121" s="221"/>
      <c r="H121" s="221">
        <f>ROUND(D121*(1+F121),0)</f>
        <v>667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693</v>
      </c>
      <c r="E122" s="269"/>
      <c r="F122" s="269">
        <v>0</v>
      </c>
      <c r="G122" s="269"/>
      <c r="H122" s="269">
        <f>ROUND(D122*(1+F122),0)</f>
        <v>693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203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148</v>
      </c>
      <c r="D126" s="219" t="s">
        <v>205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185</v>
      </c>
      <c r="D127" s="219" t="s">
        <v>207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208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209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210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141</v>
      </c>
      <c r="C131" s="202"/>
      <c r="D131" s="202" t="s">
        <v>191</v>
      </c>
      <c r="E131" s="202" t="s">
        <v>192</v>
      </c>
      <c r="F131" s="202" t="s">
        <v>192</v>
      </c>
      <c r="G131" s="202" t="s">
        <v>193</v>
      </c>
      <c r="H131" s="202" t="s">
        <v>215</v>
      </c>
      <c r="I131" s="202"/>
      <c r="J131" s="202" t="s">
        <v>216</v>
      </c>
      <c r="K131" s="202" t="s">
        <v>217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108.52363861748952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84.587686912890391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23.935951704599134</v>
      </c>
      <c r="I133" s="231"/>
      <c r="J133" s="247">
        <f t="shared" ref="J133:J137" si="20">IF(H133="","",LOG(H133))</f>
        <v>1.3790506999123395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97.232108564844452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12.644421651954062</v>
      </c>
      <c r="I134" s="231"/>
      <c r="J134" s="247">
        <f t="shared" si="20"/>
        <v>1.1018989697730182</v>
      </c>
      <c r="K134" s="247">
        <f t="shared" si="17"/>
        <v>0.331704642092917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118.05352243708408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20.821413872239631</v>
      </c>
      <c r="I135" s="231"/>
      <c r="J135" s="247">
        <f t="shared" si="20"/>
        <v>1.3185102168202096</v>
      </c>
      <c r="K135" s="247">
        <f t="shared" si="17"/>
        <v>0.62908924900995256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181.41940845270432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63.365886015620234</v>
      </c>
      <c r="I136" s="231"/>
      <c r="J136" s="247">
        <f t="shared" si="20"/>
        <v>1.8018555117849684</v>
      </c>
      <c r="K136" s="247">
        <f t="shared" si="17"/>
        <v>1.0848251137994993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232.32646178466499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50.907053331960668</v>
      </c>
      <c r="I137" s="231"/>
      <c r="J137" s="247">
        <f t="shared" si="20"/>
        <v>1.7067779593687855</v>
      </c>
      <c r="K137" s="247">
        <f t="shared" si="17"/>
        <v>1.1929865976606213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1056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7.3080933576593221</v>
      </c>
      <c r="K138" s="253">
        <f>IF(K137="","",SUM(K132:K137))</f>
        <v>3.2386056025629899</v>
      </c>
      <c r="L138" s="203"/>
      <c r="M138" s="203"/>
      <c r="N138" s="203"/>
      <c r="O138" s="203"/>
    </row>
    <row r="139" spans="1:15" ht="15" customHeight="1">
      <c r="A139" s="203"/>
      <c r="B139" s="208" t="s">
        <v>1057</v>
      </c>
      <c r="C139" s="208"/>
      <c r="D139" s="201" t="s">
        <v>1030</v>
      </c>
      <c r="E139" s="201">
        <f>IF(G138="",0,10^ROUND((G138*J138-F138*K138)/((COUNT(B$132:B$137)-1)*G138-F138*F138),5))</f>
        <v>15.45859431511909</v>
      </c>
      <c r="F139" s="238" t="s">
        <v>1058</v>
      </c>
      <c r="G139" s="203"/>
      <c r="H139" s="208"/>
      <c r="I139" s="203"/>
      <c r="J139" s="254">
        <f>IF(G138="",0,ROUND(((COUNT(B$132:B$137)-1)*K138-J138*F138)/((COUNT(B$132:B$137)-1)*G138-F138*F138),5))</f>
        <v>0.65519000000000005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1059</v>
      </c>
      <c r="E140" s="219"/>
      <c r="F140" s="219"/>
      <c r="G140" s="256"/>
      <c r="H140" s="201" t="s">
        <v>1060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1061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1010</v>
      </c>
      <c r="C143" s="202"/>
      <c r="D143" s="202" t="s">
        <v>1025</v>
      </c>
      <c r="E143" s="202"/>
      <c r="F143" s="202" t="s">
        <v>1026</v>
      </c>
      <c r="G143" s="202"/>
      <c r="H143" s="202" t="s">
        <v>1027</v>
      </c>
      <c r="I143" s="202"/>
      <c r="J143" s="202" t="s">
        <v>1014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153</v>
      </c>
      <c r="E144" s="257"/>
      <c r="F144" s="258">
        <v>0</v>
      </c>
      <c r="G144" s="258"/>
      <c r="H144" s="258">
        <f t="shared" ref="H144:H158" si="21">ROUND(D144*(1+F144),0)</f>
        <v>153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159</v>
      </c>
      <c r="E145" s="257"/>
      <c r="F145" s="258">
        <v>0</v>
      </c>
      <c r="G145" s="258"/>
      <c r="H145" s="258">
        <f t="shared" si="21"/>
        <v>159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164</v>
      </c>
      <c r="E146" s="257"/>
      <c r="F146" s="258">
        <v>0</v>
      </c>
      <c r="G146" s="258"/>
      <c r="H146" s="258">
        <f t="shared" si="21"/>
        <v>164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169</v>
      </c>
      <c r="E147" s="257"/>
      <c r="F147" s="258">
        <v>0</v>
      </c>
      <c r="G147" s="258"/>
      <c r="H147" s="258">
        <f t="shared" si="21"/>
        <v>169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174</v>
      </c>
      <c r="E148" s="271"/>
      <c r="F148" s="272">
        <v>0</v>
      </c>
      <c r="G148" s="272"/>
      <c r="H148" s="272">
        <f t="shared" si="21"/>
        <v>174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179</v>
      </c>
      <c r="E149" s="257"/>
      <c r="F149" s="258">
        <v>0</v>
      </c>
      <c r="G149" s="258"/>
      <c r="H149" s="258">
        <f t="shared" si="21"/>
        <v>179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183</v>
      </c>
      <c r="E150" s="257"/>
      <c r="F150" s="258">
        <v>0</v>
      </c>
      <c r="G150" s="258"/>
      <c r="H150" s="258">
        <f t="shared" si="21"/>
        <v>183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188</v>
      </c>
      <c r="E151" s="257"/>
      <c r="F151" s="258">
        <v>0</v>
      </c>
      <c r="G151" s="258"/>
      <c r="H151" s="258">
        <f t="shared" si="21"/>
        <v>188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192</v>
      </c>
      <c r="E152" s="257"/>
      <c r="F152" s="258">
        <v>0</v>
      </c>
      <c r="G152" s="258"/>
      <c r="H152" s="258">
        <f t="shared" si="21"/>
        <v>192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196</v>
      </c>
      <c r="E153" s="271"/>
      <c r="F153" s="272">
        <v>0</v>
      </c>
      <c r="G153" s="272"/>
      <c r="H153" s="272">
        <f t="shared" si="21"/>
        <v>196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200</v>
      </c>
      <c r="E154" s="257"/>
      <c r="F154" s="258">
        <v>0</v>
      </c>
      <c r="G154" s="258"/>
      <c r="H154" s="258">
        <f t="shared" si="21"/>
        <v>200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204</v>
      </c>
      <c r="E155" s="257"/>
      <c r="F155" s="258">
        <v>0</v>
      </c>
      <c r="G155" s="258"/>
      <c r="H155" s="258">
        <f t="shared" si="21"/>
        <v>204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208</v>
      </c>
      <c r="E156" s="257"/>
      <c r="F156" s="258">
        <v>0</v>
      </c>
      <c r="G156" s="258"/>
      <c r="H156" s="258">
        <f t="shared" si="21"/>
        <v>208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212</v>
      </c>
      <c r="E157" s="257"/>
      <c r="F157" s="258">
        <v>0</v>
      </c>
      <c r="G157" s="258"/>
      <c r="H157" s="258">
        <f t="shared" si="21"/>
        <v>212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215</v>
      </c>
      <c r="E158" s="271"/>
      <c r="F158" s="272">
        <v>0</v>
      </c>
      <c r="G158" s="272"/>
      <c r="H158" s="272">
        <f t="shared" si="21"/>
        <v>215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219</v>
      </c>
      <c r="E159" s="257"/>
      <c r="F159" s="258">
        <v>0</v>
      </c>
      <c r="G159" s="258"/>
      <c r="H159" s="258">
        <f>ROUND(D159*(1+F159),0)</f>
        <v>219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223</v>
      </c>
      <c r="E160" s="257"/>
      <c r="F160" s="258">
        <v>0</v>
      </c>
      <c r="G160" s="258"/>
      <c r="H160" s="258">
        <f>ROUND(D160*(1+F160),0)</f>
        <v>223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226</v>
      </c>
      <c r="E161" s="257"/>
      <c r="F161" s="258">
        <v>0</v>
      </c>
      <c r="G161" s="258"/>
      <c r="H161" s="258">
        <f>ROUND(D161*(1+F161),0)</f>
        <v>226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230</v>
      </c>
      <c r="E162" s="257"/>
      <c r="F162" s="258">
        <v>0</v>
      </c>
      <c r="G162" s="258"/>
      <c r="H162" s="258">
        <f>ROUND(D162*(1+F162),0)</f>
        <v>230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233</v>
      </c>
      <c r="E163" s="271"/>
      <c r="F163" s="272">
        <v>0</v>
      </c>
      <c r="G163" s="272"/>
      <c r="H163" s="272">
        <f>ROUND(D163*(1+F163),0)</f>
        <v>233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1062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1018</v>
      </c>
      <c r="D170" s="219" t="s">
        <v>1063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1064</v>
      </c>
      <c r="D171" s="219" t="s">
        <v>1065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1066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108.52363861748952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491.4763613825105</v>
      </c>
      <c r="H175" s="259">
        <f t="shared" ref="H175:H180" si="28">LOG(D175)</f>
        <v>2.0355243465068629</v>
      </c>
      <c r="I175" s="245">
        <f t="shared" ref="I175:I180" si="29">LOG(G175)</f>
        <v>2.6915026343390247</v>
      </c>
      <c r="J175" s="246">
        <f t="shared" ref="J175:J180" si="30">H175-I175</f>
        <v>-0.65597828783216183</v>
      </c>
      <c r="K175" s="246">
        <f t="shared" ref="K175:K180" si="31">E175*J175</f>
        <v>1.6399457195804046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84.587686912890391</v>
      </c>
      <c r="E176" s="244">
        <f t="shared" si="25"/>
        <v>-1.5</v>
      </c>
      <c r="F176" s="206">
        <f t="shared" si="26"/>
        <v>2.25</v>
      </c>
      <c r="G176" s="844">
        <f t="shared" si="27"/>
        <v>515.41231308710962</v>
      </c>
      <c r="H176" s="259">
        <f t="shared" si="28"/>
        <v>1.9273071491504254</v>
      </c>
      <c r="I176" s="245">
        <f t="shared" si="29"/>
        <v>2.7121547895387335</v>
      </c>
      <c r="J176" s="246">
        <f t="shared" si="30"/>
        <v>-0.78484764038830801</v>
      </c>
      <c r="K176" s="246">
        <f t="shared" si="31"/>
        <v>1.1772714605824621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97.232108564844452</v>
      </c>
      <c r="E177" s="244">
        <f t="shared" si="25"/>
        <v>-0.5</v>
      </c>
      <c r="F177" s="206">
        <f t="shared" si="26"/>
        <v>0.25</v>
      </c>
      <c r="G177" s="844">
        <f t="shared" si="27"/>
        <v>502.76789143515555</v>
      </c>
      <c r="H177" s="259">
        <f t="shared" si="28"/>
        <v>1.9878097039165059</v>
      </c>
      <c r="I177" s="245">
        <f t="shared" si="29"/>
        <v>2.7013675342927597</v>
      </c>
      <c r="J177" s="246">
        <f t="shared" si="30"/>
        <v>-0.71355783037625375</v>
      </c>
      <c r="K177" s="246">
        <f t="shared" si="31"/>
        <v>0.35677891518812688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118.05352243708408</v>
      </c>
      <c r="E178" s="244">
        <f t="shared" si="25"/>
        <v>0.5</v>
      </c>
      <c r="F178" s="206">
        <f t="shared" si="26"/>
        <v>0.25</v>
      </c>
      <c r="G178" s="844">
        <f t="shared" si="27"/>
        <v>481.9464775629159</v>
      </c>
      <c r="H178" s="259">
        <f t="shared" si="28"/>
        <v>2.0720789499252565</v>
      </c>
      <c r="I178" s="245">
        <f t="shared" si="29"/>
        <v>2.6829988104593023</v>
      </c>
      <c r="J178" s="246">
        <f t="shared" si="30"/>
        <v>-0.61091986053404579</v>
      </c>
      <c r="K178" s="246">
        <f t="shared" si="31"/>
        <v>-0.30545993026702289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181.41940845270432</v>
      </c>
      <c r="E179" s="244">
        <f t="shared" si="25"/>
        <v>1.5</v>
      </c>
      <c r="F179" s="206">
        <f t="shared" si="26"/>
        <v>2.25</v>
      </c>
      <c r="G179" s="844">
        <f t="shared" si="27"/>
        <v>418.58059154729568</v>
      </c>
      <c r="H179" s="259">
        <f t="shared" si="28"/>
        <v>2.2586837465224479</v>
      </c>
      <c r="I179" s="245">
        <f t="shared" si="29"/>
        <v>2.6217790874060998</v>
      </c>
      <c r="J179" s="246">
        <f t="shared" si="30"/>
        <v>-0.36309534088365192</v>
      </c>
      <c r="K179" s="246">
        <f t="shared" si="31"/>
        <v>-0.54464301132547788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232.32646178466499</v>
      </c>
      <c r="E180" s="244">
        <f t="shared" si="25"/>
        <v>2.5</v>
      </c>
      <c r="F180" s="206">
        <f t="shared" si="26"/>
        <v>6.25</v>
      </c>
      <c r="G180" s="844">
        <f t="shared" si="27"/>
        <v>367.67353821533504</v>
      </c>
      <c r="H180" s="259">
        <f t="shared" si="28"/>
        <v>2.3660986783863751</v>
      </c>
      <c r="I180" s="245">
        <f t="shared" si="29"/>
        <v>2.5654623744416023</v>
      </c>
      <c r="J180" s="246">
        <f t="shared" si="30"/>
        <v>-0.19936369605522719</v>
      </c>
      <c r="K180" s="246">
        <f t="shared" si="31"/>
        <v>-0.49840924013806798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>
        <f>SUM(D175:D180)</f>
        <v>822.14282676967775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-3.3277626560696483</v>
      </c>
      <c r="K181" s="263">
        <f>SUM(K175:K180)</f>
        <v>1.8254839136204251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>
        <f>ROUND(((E$181*K$181-F$181*J$181)/(COUNT(B$175:B$180)*F$181-E$181*E$181))/LOG(EXP(1)),5)</f>
        <v>1.27708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>
        <f>ROUND((COUNT(B$175:B$180)*K181-E181*J181)/(LOG(EXP(1))*(COUNT(B$175:B$180)*F181-E181*E181)),6)</f>
        <v>0.233518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267</v>
      </c>
      <c r="E188" s="221"/>
      <c r="F188" s="221">
        <v>0</v>
      </c>
      <c r="G188" s="221"/>
      <c r="H188" s="221">
        <f t="shared" ref="H188:H202" si="33">ROUND(D188*(1+F188),0)</f>
        <v>267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302</v>
      </c>
      <c r="E189" s="221"/>
      <c r="F189" s="221">
        <v>0</v>
      </c>
      <c r="G189" s="221"/>
      <c r="H189" s="221">
        <f t="shared" si="33"/>
        <v>302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336</v>
      </c>
      <c r="E190" s="221"/>
      <c r="F190" s="221">
        <v>0</v>
      </c>
      <c r="G190" s="221"/>
      <c r="H190" s="221">
        <f t="shared" si="33"/>
        <v>336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370</v>
      </c>
      <c r="E191" s="221"/>
      <c r="F191" s="221">
        <v>0</v>
      </c>
      <c r="G191" s="221"/>
      <c r="H191" s="221">
        <f t="shared" si="33"/>
        <v>370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402</v>
      </c>
      <c r="E192" s="269"/>
      <c r="F192" s="269">
        <v>0</v>
      </c>
      <c r="G192" s="269"/>
      <c r="H192" s="269">
        <f t="shared" si="33"/>
        <v>402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432</v>
      </c>
      <c r="E193" s="221"/>
      <c r="F193" s="221">
        <v>0</v>
      </c>
      <c r="G193" s="221"/>
      <c r="H193" s="221">
        <f t="shared" si="33"/>
        <v>432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459</v>
      </c>
      <c r="E194" s="221"/>
      <c r="F194" s="221">
        <v>0</v>
      </c>
      <c r="G194" s="221"/>
      <c r="H194" s="221">
        <f t="shared" si="33"/>
        <v>459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483</v>
      </c>
      <c r="E195" s="221"/>
      <c r="F195" s="221">
        <v>0</v>
      </c>
      <c r="G195" s="221"/>
      <c r="H195" s="221">
        <f t="shared" si="33"/>
        <v>483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503</v>
      </c>
      <c r="E196" s="221"/>
      <c r="F196" s="221">
        <v>0</v>
      </c>
      <c r="G196" s="221"/>
      <c r="H196" s="221">
        <f t="shared" si="33"/>
        <v>503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521</v>
      </c>
      <c r="E197" s="269"/>
      <c r="F197" s="269">
        <v>0</v>
      </c>
      <c r="G197" s="269"/>
      <c r="H197" s="269">
        <f t="shared" si="33"/>
        <v>521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536</v>
      </c>
      <c r="E198" s="221"/>
      <c r="F198" s="221">
        <v>0</v>
      </c>
      <c r="G198" s="221"/>
      <c r="H198" s="221">
        <f t="shared" si="33"/>
        <v>536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548</v>
      </c>
      <c r="E199" s="221"/>
      <c r="F199" s="221">
        <v>0</v>
      </c>
      <c r="G199" s="221"/>
      <c r="H199" s="221">
        <f t="shared" si="33"/>
        <v>548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558</v>
      </c>
      <c r="E200" s="221"/>
      <c r="F200" s="221">
        <v>0</v>
      </c>
      <c r="G200" s="221"/>
      <c r="H200" s="221">
        <f t="shared" si="33"/>
        <v>558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566</v>
      </c>
      <c r="E201" s="221"/>
      <c r="F201" s="221">
        <v>0</v>
      </c>
      <c r="G201" s="221"/>
      <c r="H201" s="221">
        <f t="shared" si="33"/>
        <v>566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573</v>
      </c>
      <c r="E202" s="269"/>
      <c r="F202" s="269">
        <v>0</v>
      </c>
      <c r="G202" s="269"/>
      <c r="H202" s="269">
        <f t="shared" si="33"/>
        <v>573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579</v>
      </c>
      <c r="E203" s="221"/>
      <c r="F203" s="221">
        <v>0</v>
      </c>
      <c r="G203" s="221"/>
      <c r="H203" s="221">
        <f>ROUND(D203*(1+F203),0)</f>
        <v>579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583</v>
      </c>
      <c r="E204" s="221"/>
      <c r="F204" s="221">
        <v>0</v>
      </c>
      <c r="G204" s="221"/>
      <c r="H204" s="221">
        <f>ROUND(D204*(1+F204),0)</f>
        <v>583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587</v>
      </c>
      <c r="E205" s="221"/>
      <c r="F205" s="221">
        <v>0</v>
      </c>
      <c r="G205" s="221"/>
      <c r="H205" s="221">
        <f>ROUND(D205*(1+F205),0)</f>
        <v>587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589</v>
      </c>
      <c r="E206" s="221"/>
      <c r="F206" s="221">
        <v>0</v>
      </c>
      <c r="G206" s="221"/>
      <c r="H206" s="221">
        <f>ROUND(D206*(1+F206),0)</f>
        <v>589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592</v>
      </c>
      <c r="E207" s="269"/>
      <c r="F207" s="269">
        <v>0</v>
      </c>
      <c r="G207" s="269"/>
      <c r="H207" s="269">
        <f>ROUND(D207*(1+F207),0)</f>
        <v>592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232</v>
      </c>
      <c r="E215" s="257">
        <f t="array" ref="E215">IF(B54=B215,H54)</f>
        <v>232</v>
      </c>
      <c r="F215" s="257">
        <f t="array" ref="F215">IF(B103=B215,H103)</f>
        <v>202</v>
      </c>
      <c r="G215" s="257">
        <f t="array" ref="G215">IF(B144=B215,H144)</f>
        <v>153</v>
      </c>
      <c r="H215" s="257">
        <f t="array" ref="H215">IF(B188=B215,H188)</f>
        <v>267</v>
      </c>
      <c r="I215" s="257">
        <f t="shared" ref="I215:I229" si="34">IF(G215=0,AVERAGE(D215,E215,F215,H215),AVERAGE(D215:H215))</f>
        <v>217.2</v>
      </c>
      <c r="J215" s="266">
        <f t="shared" ref="J215:J229" si="35">ROUND(AVERAGE(D215,F215:G215),0)</f>
        <v>196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257</v>
      </c>
      <c r="E216" s="257">
        <f t="array" ref="E216">IF(B55=B216,H55)</f>
        <v>271</v>
      </c>
      <c r="F216" s="257">
        <f t="array" ref="F216">IF(B104=B216,H104)</f>
        <v>228</v>
      </c>
      <c r="G216" s="257">
        <f t="array" ref="G216">IF(B145=B216,H145)</f>
        <v>159</v>
      </c>
      <c r="H216" s="257">
        <f t="array" ref="H216">IF(B189=B216,H189)</f>
        <v>302</v>
      </c>
      <c r="I216" s="257">
        <f t="shared" si="34"/>
        <v>243.4</v>
      </c>
      <c r="J216" s="266">
        <f t="shared" si="35"/>
        <v>215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282</v>
      </c>
      <c r="E217" s="257">
        <f t="array" ref="E217">IF(B56=B217,H56)</f>
        <v>315</v>
      </c>
      <c r="F217" s="257">
        <f t="array" ref="F217">IF(B105=B217,H105)</f>
        <v>254</v>
      </c>
      <c r="G217" s="257">
        <f t="array" ref="G217">IF(B146=B217,H146)</f>
        <v>164</v>
      </c>
      <c r="H217" s="257">
        <f t="array" ref="H217">IF(B190=B217,H190)</f>
        <v>336</v>
      </c>
      <c r="I217" s="257">
        <f t="shared" si="34"/>
        <v>270.2</v>
      </c>
      <c r="J217" s="266">
        <f t="shared" si="35"/>
        <v>233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307</v>
      </c>
      <c r="E218" s="257">
        <f t="array" ref="E218">IF(B57=B218,H57)</f>
        <v>367</v>
      </c>
      <c r="F218" s="257">
        <f t="array" ref="F218">IF(B106=B218,H106)</f>
        <v>280</v>
      </c>
      <c r="G218" s="257">
        <f t="array" ref="G218">IF(B147=B218,H147)</f>
        <v>169</v>
      </c>
      <c r="H218" s="257">
        <f t="array" ref="H218">IF(B191=B218,H191)</f>
        <v>370</v>
      </c>
      <c r="I218" s="257">
        <f t="shared" si="34"/>
        <v>298.60000000000002</v>
      </c>
      <c r="J218" s="266">
        <f t="shared" si="35"/>
        <v>252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332</v>
      </c>
      <c r="E219" s="271">
        <f t="array" ref="E219">IF(B58=B219,H58)</f>
        <v>427</v>
      </c>
      <c r="F219" s="271">
        <f t="array" ref="F219">IF(B107=B219,H107)</f>
        <v>305</v>
      </c>
      <c r="G219" s="271">
        <f t="array" ref="G219">IF(B148=B219,H148)</f>
        <v>174</v>
      </c>
      <c r="H219" s="271">
        <f t="array" ref="H219">IF(B192=B219,H192)</f>
        <v>402</v>
      </c>
      <c r="I219" s="271">
        <f t="shared" si="34"/>
        <v>328</v>
      </c>
      <c r="J219" s="273">
        <f t="shared" si="35"/>
        <v>270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356</v>
      </c>
      <c r="E220" s="257">
        <f t="array" ref="E220">IF(B59=B220,H59)</f>
        <v>497</v>
      </c>
      <c r="F220" s="257">
        <f t="array" ref="F220">IF(B108=B220,H108)</f>
        <v>331</v>
      </c>
      <c r="G220" s="257">
        <f t="array" ref="G220">IF(B149=B220,H149)</f>
        <v>179</v>
      </c>
      <c r="H220" s="257">
        <f t="array" ref="H220">IF(B193=B220,H193)</f>
        <v>432</v>
      </c>
      <c r="I220" s="257">
        <f t="shared" si="34"/>
        <v>359</v>
      </c>
      <c r="J220" s="266">
        <f t="shared" si="35"/>
        <v>289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381</v>
      </c>
      <c r="E221" s="257">
        <f t="array" ref="E221">IF(B60=B221,H60)</f>
        <v>579</v>
      </c>
      <c r="F221" s="257">
        <f t="array" ref="F221">IF(B109=B221,H109)</f>
        <v>357</v>
      </c>
      <c r="G221" s="257">
        <f t="array" ref="G221">IF(B150=B221,H150)</f>
        <v>183</v>
      </c>
      <c r="H221" s="257">
        <f t="array" ref="H221">IF(B194=B221,H194)</f>
        <v>459</v>
      </c>
      <c r="I221" s="257">
        <f t="shared" si="34"/>
        <v>391.8</v>
      </c>
      <c r="J221" s="266">
        <f t="shared" si="35"/>
        <v>307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406</v>
      </c>
      <c r="E222" s="257">
        <f t="array" ref="E222">IF(B61=B222,H61)</f>
        <v>674</v>
      </c>
      <c r="F222" s="257">
        <f t="array" ref="F222">IF(B110=B222,H110)</f>
        <v>383</v>
      </c>
      <c r="G222" s="257">
        <f t="array" ref="G222">IF(B151=B222,H151)</f>
        <v>188</v>
      </c>
      <c r="H222" s="257">
        <f t="array" ref="H222">IF(B195=B222,H195)</f>
        <v>483</v>
      </c>
      <c r="I222" s="257">
        <f t="shared" si="34"/>
        <v>426.8</v>
      </c>
      <c r="J222" s="266">
        <f t="shared" si="35"/>
        <v>326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431</v>
      </c>
      <c r="E223" s="257">
        <f t="array" ref="E223">IF(B62=B223,H62)</f>
        <v>785</v>
      </c>
      <c r="F223" s="257">
        <f t="array" ref="F223">IF(B111=B223,H111)</f>
        <v>409</v>
      </c>
      <c r="G223" s="257">
        <f t="array" ref="G223">IF(B152=B223,H152)</f>
        <v>192</v>
      </c>
      <c r="H223" s="257">
        <f t="array" ref="H223">IF(B196=B223,H196)</f>
        <v>503</v>
      </c>
      <c r="I223" s="257">
        <f t="shared" si="34"/>
        <v>464</v>
      </c>
      <c r="J223" s="266">
        <f t="shared" si="35"/>
        <v>344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456</v>
      </c>
      <c r="E224" s="271">
        <f t="array" ref="E224">IF(B63=B224,H63)</f>
        <v>914</v>
      </c>
      <c r="F224" s="271">
        <f t="array" ref="F224">IF(B112=B224,H112)</f>
        <v>435</v>
      </c>
      <c r="G224" s="271">
        <f t="array" ref="G224">IF(B153=B224,H153)</f>
        <v>196</v>
      </c>
      <c r="H224" s="271">
        <f t="array" ref="H224">IF(B197=B224,H197)</f>
        <v>521</v>
      </c>
      <c r="I224" s="271">
        <f t="shared" si="34"/>
        <v>504.4</v>
      </c>
      <c r="J224" s="273">
        <f t="shared" si="35"/>
        <v>362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480</v>
      </c>
      <c r="E225" s="257">
        <f t="array" ref="E225">IF(B64=B225,H64)</f>
        <v>1065</v>
      </c>
      <c r="F225" s="257">
        <f t="array" ref="F225">IF(B113=B225,H113)</f>
        <v>461</v>
      </c>
      <c r="G225" s="257">
        <f t="array" ref="G225">IF(B154=B225,H154)</f>
        <v>200</v>
      </c>
      <c r="H225" s="257">
        <f t="array" ref="H225">IF(B198=B225,H198)</f>
        <v>536</v>
      </c>
      <c r="I225" s="257">
        <f t="shared" si="34"/>
        <v>548.4</v>
      </c>
      <c r="J225" s="266">
        <f t="shared" si="35"/>
        <v>380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505</v>
      </c>
      <c r="E226" s="257">
        <f t="array" ref="E226">IF(B65=B226,H65)</f>
        <v>1240</v>
      </c>
      <c r="F226" s="257">
        <f t="array" ref="F226">IF(B114=B226,H114)</f>
        <v>486</v>
      </c>
      <c r="G226" s="257">
        <f t="array" ref="G226">IF(B155=B226,H155)</f>
        <v>204</v>
      </c>
      <c r="H226" s="257">
        <f t="array" ref="H226">IF(B199=B226,H199)</f>
        <v>548</v>
      </c>
      <c r="I226" s="257">
        <f t="shared" si="34"/>
        <v>596.6</v>
      </c>
      <c r="J226" s="266">
        <f t="shared" si="35"/>
        <v>398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530</v>
      </c>
      <c r="E227" s="257">
        <f t="array" ref="E227">IF(B66=B227,H66)</f>
        <v>1444</v>
      </c>
      <c r="F227" s="257">
        <f t="array" ref="F227">IF(B115=B227,H115)</f>
        <v>512</v>
      </c>
      <c r="G227" s="257">
        <f t="array" ref="G227">IF(B156=B227,H156)</f>
        <v>208</v>
      </c>
      <c r="H227" s="257">
        <f t="array" ref="H227">IF(B200=B227,H200)</f>
        <v>558</v>
      </c>
      <c r="I227" s="257">
        <f t="shared" si="34"/>
        <v>650.4</v>
      </c>
      <c r="J227" s="266">
        <f t="shared" si="35"/>
        <v>417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555</v>
      </c>
      <c r="E228" s="257">
        <f t="array" ref="E228">IF(B67=B228,H67)</f>
        <v>1681</v>
      </c>
      <c r="F228" s="257">
        <f t="array" ref="F228">IF(B116=B228,H116)</f>
        <v>538</v>
      </c>
      <c r="G228" s="257">
        <f t="array" ref="G228">IF(B157=B228,H157)</f>
        <v>212</v>
      </c>
      <c r="H228" s="257">
        <f t="array" ref="H228">IF(B201=B228,H201)</f>
        <v>566</v>
      </c>
      <c r="I228" s="257">
        <f t="shared" si="34"/>
        <v>710.4</v>
      </c>
      <c r="J228" s="266">
        <f t="shared" si="35"/>
        <v>435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580</v>
      </c>
      <c r="E229" s="271">
        <f t="array" ref="E229">IF(B68=B229,H68)</f>
        <v>1958</v>
      </c>
      <c r="F229" s="271">
        <f t="array" ref="F229">IF(B117=B229,H117)</f>
        <v>564</v>
      </c>
      <c r="G229" s="271">
        <f t="array" ref="G229">IF(B158=B229,H158)</f>
        <v>215</v>
      </c>
      <c r="H229" s="271">
        <f t="array" ref="H229">IF(B202=B229,H202)</f>
        <v>573</v>
      </c>
      <c r="I229" s="271">
        <f t="shared" si="34"/>
        <v>778</v>
      </c>
      <c r="J229" s="273">
        <f t="shared" si="35"/>
        <v>453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604</v>
      </c>
      <c r="E230" s="257">
        <f t="array" ref="E230">IF(B69=B230,H69)</f>
        <v>2279</v>
      </c>
      <c r="F230" s="257">
        <f t="array" ref="F230">IF(B118=B230,H118)</f>
        <v>590</v>
      </c>
      <c r="G230" s="257">
        <f t="array" ref="G230">IF(B159=B230,H159)</f>
        <v>219</v>
      </c>
      <c r="H230" s="257">
        <f t="array" ref="H230">IF(B203=B230,H203)</f>
        <v>579</v>
      </c>
      <c r="I230" s="257">
        <f>IF(G230=0,AVERAGE(D230,E230,F230,H230),AVERAGE(D230:H230))</f>
        <v>854.2</v>
      </c>
      <c r="J230" s="266">
        <f>ROUND(AVERAGE(D230,F230:G230),0)</f>
        <v>471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629</v>
      </c>
      <c r="E231" s="257">
        <f t="array" ref="E231">IF(B70=B231,H70)</f>
        <v>2654</v>
      </c>
      <c r="F231" s="257">
        <f t="array" ref="F231">IF(B119=B231,H119)</f>
        <v>616</v>
      </c>
      <c r="G231" s="257">
        <f t="array" ref="G231">IF(B160=B231,H160)</f>
        <v>223</v>
      </c>
      <c r="H231" s="257">
        <f t="array" ref="H231">IF(B204=B231,H204)</f>
        <v>583</v>
      </c>
      <c r="I231" s="257">
        <f>IF(G231=0,AVERAGE(D231,E231,F231,H231),AVERAGE(D231:H231))</f>
        <v>941</v>
      </c>
      <c r="J231" s="266">
        <f>ROUND(AVERAGE(D231,F231:G231),0)</f>
        <v>489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654</v>
      </c>
      <c r="E232" s="257">
        <f t="array" ref="E232">IF(B71=B232,H71)</f>
        <v>3091</v>
      </c>
      <c r="F232" s="257">
        <f t="array" ref="F232">IF(B120=B232,H120)</f>
        <v>641</v>
      </c>
      <c r="G232" s="257">
        <f t="array" ref="G232">IF(B161=B232,H161)</f>
        <v>226</v>
      </c>
      <c r="H232" s="257">
        <f t="array" ref="H232">IF(B205=B232,H205)</f>
        <v>587</v>
      </c>
      <c r="I232" s="257">
        <f>IF(G232=0,AVERAGE(D232,E232,F232,H232),AVERAGE(D232:H232))</f>
        <v>1039.8</v>
      </c>
      <c r="J232" s="266">
        <f>ROUND(AVERAGE(D232,F232:G232),0)</f>
        <v>507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679</v>
      </c>
      <c r="E233" s="257">
        <f t="array" ref="E233">IF(B72=B233,H72)</f>
        <v>3599</v>
      </c>
      <c r="F233" s="257">
        <f t="array" ref="F233">IF(B121=B233,H121)</f>
        <v>667</v>
      </c>
      <c r="G233" s="257">
        <f t="array" ref="G233">IF(B162=B233,H162)</f>
        <v>230</v>
      </c>
      <c r="H233" s="257">
        <f t="array" ref="H233">IF(B206=B233,H206)</f>
        <v>589</v>
      </c>
      <c r="I233" s="257">
        <f>IF(G233=0,AVERAGE(D233,E233,F233,H233),AVERAGE(D233:H233))</f>
        <v>1152.8</v>
      </c>
      <c r="J233" s="266">
        <f>ROUND(AVERAGE(D233,F233:G233),0)</f>
        <v>525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704</v>
      </c>
      <c r="E234" s="271">
        <f t="array" ref="E234">IF(B73=B234,H73)</f>
        <v>4191</v>
      </c>
      <c r="F234" s="271">
        <f t="array" ref="F234">IF(B122=B234,H122)</f>
        <v>693</v>
      </c>
      <c r="G234" s="271">
        <f t="array" ref="G234">IF(B163=B234,H163)</f>
        <v>233</v>
      </c>
      <c r="H234" s="271">
        <f t="array" ref="H234">IF(B207=B234,H207)</f>
        <v>592</v>
      </c>
      <c r="I234" s="271">
        <f>IF(G234=0,AVERAGE(D234,E234,F234,H234),AVERAGE(D234:H234))</f>
        <v>1282.5999999999999</v>
      </c>
      <c r="J234" s="273">
        <f>ROUND(AVERAGE(D234,F234:G234),0)</f>
        <v>543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1252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1007</v>
      </c>
      <c r="C4" s="197">
        <v>2016</v>
      </c>
    </row>
    <row r="5" spans="1:15" ht="15" customHeight="1" thickBot="1">
      <c r="A5" s="198"/>
      <c r="B5" s="196" t="s">
        <v>1008</v>
      </c>
      <c r="C5" s="199"/>
      <c r="D5" s="196" t="s">
        <v>1779</v>
      </c>
      <c r="F5" s="200" t="s">
        <v>1009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1010</v>
      </c>
      <c r="C6" s="202"/>
      <c r="D6" s="202" t="s">
        <v>1011</v>
      </c>
      <c r="E6" s="202"/>
      <c r="F6" s="202" t="s">
        <v>1012</v>
      </c>
      <c r="G6" s="202"/>
      <c r="H6" s="202" t="s">
        <v>1013</v>
      </c>
      <c r="I6" s="202"/>
      <c r="J6" s="202" t="s">
        <v>1014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+'맹동면(10년) (물)'!D8</f>
        <v>84.587686912890391</v>
      </c>
      <c r="E7" s="844"/>
      <c r="F7" s="206">
        <v>0</v>
      </c>
      <c r="G7" s="206"/>
      <c r="H7" s="207">
        <v>0</v>
      </c>
      <c r="I7" s="208"/>
      <c r="J7" s="209" t="s">
        <v>1015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+'맹동면(10년) (물)'!D9</f>
        <v>97.232108564844452</v>
      </c>
      <c r="E8" s="844"/>
      <c r="F8" s="206">
        <f>D8-D7</f>
        <v>12.644421651954062</v>
      </c>
      <c r="G8" s="206"/>
      <c r="H8" s="207">
        <f>ROUND(F8/D7*100,2)</f>
        <v>14.95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+'맹동면(10년) (물)'!D10</f>
        <v>118.05352243708408</v>
      </c>
      <c r="E9" s="844"/>
      <c r="F9" s="206">
        <f>D9-D8</f>
        <v>20.821413872239631</v>
      </c>
      <c r="G9" s="206"/>
      <c r="H9" s="207">
        <f>ROUND(F9/D8*100,2)</f>
        <v>21.41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+'맹동면(10년) (물)'!D11</f>
        <v>181.41940845270432</v>
      </c>
      <c r="E10" s="844"/>
      <c r="F10" s="206">
        <f>D10-D9</f>
        <v>63.365886015620234</v>
      </c>
      <c r="G10" s="206"/>
      <c r="H10" s="207">
        <f>ROUND(F10/D9*100,2)</f>
        <v>53.68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+'맹동면(10년) (물)'!D12</f>
        <v>232.32646178466499</v>
      </c>
      <c r="E11" s="844"/>
      <c r="F11" s="206">
        <f>D11-D10</f>
        <v>50.907053331960668</v>
      </c>
      <c r="G11" s="206"/>
      <c r="H11" s="207">
        <f>ROUND(F11/D10*100,2)</f>
        <v>28.06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1056</v>
      </c>
      <c r="C12" s="212"/>
      <c r="D12" s="213">
        <f>SUM(D7:D11)</f>
        <v>713.61918815218826</v>
      </c>
      <c r="E12" s="214"/>
      <c r="F12" s="215"/>
      <c r="G12" s="215"/>
      <c r="H12" s="216">
        <f>SUM(H7:H11)</f>
        <v>118.1</v>
      </c>
      <c r="I12" s="216"/>
      <c r="J12" s="217">
        <f>ROUND(AVERAGE(H7:H11),1)</f>
        <v>23.6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1017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1018</v>
      </c>
      <c r="D15" s="219" t="s">
        <v>1019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1020</v>
      </c>
      <c r="D16" s="219" t="s">
        <v>1021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1022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1023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1024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1010</v>
      </c>
      <c r="C20" s="202"/>
      <c r="D20" s="202" t="s">
        <v>1025</v>
      </c>
      <c r="E20" s="202"/>
      <c r="F20" s="202" t="s">
        <v>1026</v>
      </c>
      <c r="G20" s="202"/>
      <c r="H20" s="202" t="s">
        <v>1027</v>
      </c>
      <c r="I20" s="202"/>
      <c r="J20" s="202" t="s">
        <v>1014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232</v>
      </c>
      <c r="E21" s="221"/>
      <c r="F21" s="221">
        <v>0</v>
      </c>
      <c r="G21" s="221"/>
      <c r="H21" s="221">
        <f t="shared" ref="H21:H40" si="1">ROUND(D21*(1+F21),0)</f>
        <v>232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269</v>
      </c>
      <c r="E22" s="221"/>
      <c r="F22" s="221">
        <v>0</v>
      </c>
      <c r="G22" s="221"/>
      <c r="H22" s="221">
        <f t="shared" si="1"/>
        <v>269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306</v>
      </c>
      <c r="E23" s="221"/>
      <c r="F23" s="221">
        <v>0</v>
      </c>
      <c r="G23" s="221"/>
      <c r="H23" s="221">
        <f t="shared" si="1"/>
        <v>306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343</v>
      </c>
      <c r="E24" s="221"/>
      <c r="F24" s="221">
        <v>0</v>
      </c>
      <c r="G24" s="221"/>
      <c r="H24" s="221">
        <f t="shared" si="1"/>
        <v>343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380</v>
      </c>
      <c r="E25" s="269"/>
      <c r="F25" s="269">
        <v>0</v>
      </c>
      <c r="G25" s="269"/>
      <c r="H25" s="269">
        <f t="shared" si="1"/>
        <v>380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417</v>
      </c>
      <c r="E26" s="221"/>
      <c r="F26" s="221">
        <v>0</v>
      </c>
      <c r="G26" s="221"/>
      <c r="H26" s="221">
        <f t="shared" si="1"/>
        <v>417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454</v>
      </c>
      <c r="E27" s="221"/>
      <c r="F27" s="221">
        <v>0</v>
      </c>
      <c r="G27" s="221"/>
      <c r="H27" s="221">
        <f t="shared" si="1"/>
        <v>454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491</v>
      </c>
      <c r="E28" s="221"/>
      <c r="F28" s="221">
        <v>0</v>
      </c>
      <c r="G28" s="221"/>
      <c r="H28" s="221">
        <f t="shared" si="1"/>
        <v>491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528</v>
      </c>
      <c r="E29" s="221"/>
      <c r="F29" s="221">
        <v>0</v>
      </c>
      <c r="G29" s="221"/>
      <c r="H29" s="221">
        <f t="shared" si="1"/>
        <v>528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564</v>
      </c>
      <c r="E30" s="269"/>
      <c r="F30" s="269">
        <v>0</v>
      </c>
      <c r="G30" s="269"/>
      <c r="H30" s="269">
        <f t="shared" si="1"/>
        <v>564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601</v>
      </c>
      <c r="E31" s="221"/>
      <c r="F31" s="221">
        <v>0</v>
      </c>
      <c r="G31" s="221"/>
      <c r="H31" s="221">
        <f t="shared" si="1"/>
        <v>601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638</v>
      </c>
      <c r="E32" s="221"/>
      <c r="F32" s="221">
        <v>0</v>
      </c>
      <c r="G32" s="221"/>
      <c r="H32" s="221">
        <f t="shared" si="1"/>
        <v>638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675</v>
      </c>
      <c r="E33" s="221"/>
      <c r="F33" s="221">
        <v>0</v>
      </c>
      <c r="G33" s="221"/>
      <c r="H33" s="221">
        <f t="shared" si="1"/>
        <v>675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712</v>
      </c>
      <c r="E34" s="221"/>
      <c r="F34" s="221">
        <v>0</v>
      </c>
      <c r="G34" s="221"/>
      <c r="H34" s="221">
        <f t="shared" si="1"/>
        <v>712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749</v>
      </c>
      <c r="E35" s="269"/>
      <c r="F35" s="269">
        <v>0</v>
      </c>
      <c r="G35" s="269"/>
      <c r="H35" s="269">
        <f t="shared" si="1"/>
        <v>749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786</v>
      </c>
      <c r="E36" s="221"/>
      <c r="F36" s="221">
        <v>0</v>
      </c>
      <c r="G36" s="221"/>
      <c r="H36" s="221">
        <f t="shared" si="1"/>
        <v>786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823</v>
      </c>
      <c r="E37" s="221"/>
      <c r="F37" s="221">
        <v>0</v>
      </c>
      <c r="G37" s="221"/>
      <c r="H37" s="221">
        <f t="shared" si="1"/>
        <v>823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860</v>
      </c>
      <c r="E38" s="221"/>
      <c r="F38" s="221">
        <v>0</v>
      </c>
      <c r="G38" s="221"/>
      <c r="H38" s="221">
        <f t="shared" si="1"/>
        <v>860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897</v>
      </c>
      <c r="E39" s="221"/>
      <c r="F39" s="221">
        <v>0</v>
      </c>
      <c r="G39" s="221"/>
      <c r="H39" s="221">
        <f t="shared" si="1"/>
        <v>897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933</v>
      </c>
      <c r="E40" s="269"/>
      <c r="F40" s="269">
        <v>0</v>
      </c>
      <c r="G40" s="269"/>
      <c r="H40" s="269">
        <f t="shared" si="1"/>
        <v>933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232.32646178466499</v>
      </c>
      <c r="F41" s="226"/>
      <c r="G41" s="224" t="s">
        <v>1030</v>
      </c>
      <c r="H41" s="224">
        <f>ROUND((D$11-D$7)/(COUNT(D$7:D$11)-1),1)</f>
        <v>36.9</v>
      </c>
      <c r="I41" s="224"/>
      <c r="J41" s="224" t="s">
        <v>1031</v>
      </c>
      <c r="K41" s="227" t="s">
        <v>1032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1033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1018</v>
      </c>
      <c r="D46" s="219" t="s">
        <v>1034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1020</v>
      </c>
      <c r="D47" s="219" t="s">
        <v>1021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1022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1035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1036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1010</v>
      </c>
      <c r="C52" s="202"/>
      <c r="D52" s="202" t="s">
        <v>1025</v>
      </c>
      <c r="E52" s="202"/>
      <c r="F52" s="202" t="s">
        <v>1026</v>
      </c>
      <c r="G52" s="202"/>
      <c r="H52" s="202" t="s">
        <v>1027</v>
      </c>
      <c r="I52" s="202"/>
      <c r="J52" s="202" t="s">
        <v>1014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232</v>
      </c>
      <c r="E53" s="221"/>
      <c r="F53" s="221">
        <v>0</v>
      </c>
      <c r="G53" s="221"/>
      <c r="H53" s="221">
        <f t="shared" ref="H53:H72" si="3">ROUND(D53*(1+F53),0)</f>
        <v>232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299</v>
      </c>
      <c r="E54" s="221"/>
      <c r="F54" s="221">
        <v>0</v>
      </c>
      <c r="G54" s="221"/>
      <c r="H54" s="221">
        <f t="shared" si="3"/>
        <v>299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385</v>
      </c>
      <c r="E55" s="221"/>
      <c r="F55" s="221">
        <v>0</v>
      </c>
      <c r="G55" s="221"/>
      <c r="H55" s="221">
        <f t="shared" si="3"/>
        <v>385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496</v>
      </c>
      <c r="E56" s="221"/>
      <c r="F56" s="221">
        <v>0</v>
      </c>
      <c r="G56" s="221"/>
      <c r="H56" s="221">
        <f t="shared" si="3"/>
        <v>496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638</v>
      </c>
      <c r="E57" s="269"/>
      <c r="F57" s="269">
        <v>0</v>
      </c>
      <c r="G57" s="269"/>
      <c r="H57" s="269">
        <f t="shared" si="3"/>
        <v>638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821</v>
      </c>
      <c r="E58" s="221"/>
      <c r="F58" s="221">
        <v>0</v>
      </c>
      <c r="G58" s="221"/>
      <c r="H58" s="221">
        <f t="shared" si="3"/>
        <v>821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1058</v>
      </c>
      <c r="E59" s="221"/>
      <c r="F59" s="221">
        <v>0</v>
      </c>
      <c r="G59" s="221"/>
      <c r="H59" s="221">
        <f t="shared" si="3"/>
        <v>1058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1361</v>
      </c>
      <c r="E60" s="221"/>
      <c r="F60" s="221">
        <v>0</v>
      </c>
      <c r="G60" s="221"/>
      <c r="H60" s="221">
        <f t="shared" si="3"/>
        <v>1361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1753</v>
      </c>
      <c r="E61" s="221"/>
      <c r="F61" s="221">
        <v>0</v>
      </c>
      <c r="G61" s="221"/>
      <c r="H61" s="221">
        <f t="shared" si="3"/>
        <v>1753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2256</v>
      </c>
      <c r="E62" s="269"/>
      <c r="F62" s="269">
        <v>0</v>
      </c>
      <c r="G62" s="269"/>
      <c r="H62" s="269">
        <f t="shared" si="3"/>
        <v>2256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2905</v>
      </c>
      <c r="E63" s="221"/>
      <c r="F63" s="221">
        <v>0</v>
      </c>
      <c r="G63" s="221"/>
      <c r="H63" s="221">
        <f t="shared" si="3"/>
        <v>2905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3739</v>
      </c>
      <c r="E64" s="221"/>
      <c r="F64" s="221">
        <v>0</v>
      </c>
      <c r="G64" s="221"/>
      <c r="H64" s="221">
        <f t="shared" si="3"/>
        <v>3739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4814</v>
      </c>
      <c r="E65" s="221"/>
      <c r="F65" s="221">
        <v>0</v>
      </c>
      <c r="G65" s="221"/>
      <c r="H65" s="221">
        <f t="shared" si="3"/>
        <v>4814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6197</v>
      </c>
      <c r="E66" s="221"/>
      <c r="F66" s="221">
        <v>0</v>
      </c>
      <c r="G66" s="221"/>
      <c r="H66" s="221">
        <f t="shared" si="3"/>
        <v>6197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7978</v>
      </c>
      <c r="E67" s="269"/>
      <c r="F67" s="269">
        <v>0</v>
      </c>
      <c r="G67" s="269"/>
      <c r="H67" s="269">
        <f t="shared" si="3"/>
        <v>7978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10270</v>
      </c>
      <c r="E68" s="221"/>
      <c r="F68" s="221">
        <v>0</v>
      </c>
      <c r="G68" s="221"/>
      <c r="H68" s="221">
        <f t="shared" si="3"/>
        <v>10270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13221</v>
      </c>
      <c r="E69" s="221"/>
      <c r="F69" s="221">
        <v>0</v>
      </c>
      <c r="G69" s="221"/>
      <c r="H69" s="221">
        <f t="shared" si="3"/>
        <v>13221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17020</v>
      </c>
      <c r="E70" s="221"/>
      <c r="F70" s="221">
        <v>0</v>
      </c>
      <c r="G70" s="221"/>
      <c r="H70" s="221">
        <f t="shared" si="3"/>
        <v>17020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21911</v>
      </c>
      <c r="E71" s="221"/>
      <c r="F71" s="221">
        <v>0</v>
      </c>
      <c r="G71" s="221"/>
      <c r="H71" s="221">
        <f t="shared" si="3"/>
        <v>21911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28207</v>
      </c>
      <c r="E72" s="269"/>
      <c r="F72" s="269">
        <v>0</v>
      </c>
      <c r="G72" s="269"/>
      <c r="H72" s="269">
        <f t="shared" si="3"/>
        <v>28207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1037</v>
      </c>
      <c r="C73" s="223"/>
      <c r="D73" s="224" t="s">
        <v>1038</v>
      </c>
      <c r="E73" s="225">
        <f>D$11</f>
        <v>232.32646178466499</v>
      </c>
      <c r="F73" s="226"/>
      <c r="G73" s="224" t="s">
        <v>1114</v>
      </c>
      <c r="H73" s="224">
        <f>ROUND((E$73/D$7)^(1/(COUNT(D$7:D$11)-1)),6)</f>
        <v>1.2873540000000001</v>
      </c>
      <c r="I73" s="224"/>
      <c r="J73" s="224" t="s">
        <v>1031</v>
      </c>
      <c r="K73" s="227" t="s">
        <v>1032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1115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1018</v>
      </c>
      <c r="D84" s="219" t="s">
        <v>1116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1064</v>
      </c>
      <c r="D85" s="219" t="s">
        <v>1117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1118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1119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1120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1010</v>
      </c>
      <c r="C89" s="202"/>
      <c r="D89" s="202" t="s">
        <v>1121</v>
      </c>
      <c r="E89" s="202" t="s">
        <v>1122</v>
      </c>
      <c r="F89" s="202" t="s">
        <v>1123</v>
      </c>
      <c r="G89" s="202"/>
      <c r="H89" s="202" t="s">
        <v>1124</v>
      </c>
      <c r="I89" s="202"/>
      <c r="J89" s="202" t="s">
        <v>1014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84.587686912890391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-169.18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97.232108564844452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-97.23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118.05352243708408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181.41940845270432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181.42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232.32646178466499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464.65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>
        <f>SUM(D90:D94)</f>
        <v>713.61918815218826</v>
      </c>
      <c r="E95" s="215"/>
      <c r="F95" s="233">
        <f>ROUND(SUM(F90:F94),0)</f>
        <v>10</v>
      </c>
      <c r="G95" s="212"/>
      <c r="H95" s="211">
        <f>SUM(H90:H94)</f>
        <v>379.65999999999997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>
        <f>((COUNT(B$90:B$94))*H$95-D$95*E$95)/((COUNT(B$90:B$94))*F$95-E$95*E$95)</f>
        <v>37.965999999999994</v>
      </c>
      <c r="H96" s="236" t="s">
        <v>199</v>
      </c>
      <c r="I96" s="201"/>
      <c r="J96" s="201"/>
      <c r="K96" s="201">
        <f>ROUND((F95*D95-H95*E95)/(COUNT(B$90:B$94)*F95-E95*E95),0)</f>
        <v>143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219</v>
      </c>
      <c r="E101" s="221"/>
      <c r="F101" s="221">
        <v>0</v>
      </c>
      <c r="G101" s="221"/>
      <c r="H101" s="221">
        <f t="shared" ref="H101:H120" si="5">ROUND(D101*(1+F101),0)</f>
        <v>219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257</v>
      </c>
      <c r="E102" s="221"/>
      <c r="F102" s="221">
        <v>0</v>
      </c>
      <c r="G102" s="221"/>
      <c r="H102" s="221">
        <f t="shared" si="5"/>
        <v>257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295</v>
      </c>
      <c r="E103" s="221"/>
      <c r="F103" s="221">
        <v>0</v>
      </c>
      <c r="G103" s="221"/>
      <c r="H103" s="221">
        <f t="shared" si="5"/>
        <v>295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333</v>
      </c>
      <c r="E104" s="221"/>
      <c r="F104" s="221">
        <v>0</v>
      </c>
      <c r="G104" s="221"/>
      <c r="H104" s="221">
        <f t="shared" si="5"/>
        <v>333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371</v>
      </c>
      <c r="E105" s="269"/>
      <c r="F105" s="269">
        <v>0</v>
      </c>
      <c r="G105" s="269"/>
      <c r="H105" s="269">
        <f t="shared" si="5"/>
        <v>371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409</v>
      </c>
      <c r="E106" s="221"/>
      <c r="F106" s="221">
        <v>0</v>
      </c>
      <c r="G106" s="221"/>
      <c r="H106" s="221">
        <f t="shared" si="5"/>
        <v>409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447</v>
      </c>
      <c r="E107" s="221"/>
      <c r="F107" s="221">
        <v>0</v>
      </c>
      <c r="G107" s="221"/>
      <c r="H107" s="221">
        <f t="shared" si="5"/>
        <v>447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485</v>
      </c>
      <c r="E108" s="221"/>
      <c r="F108" s="221">
        <v>0</v>
      </c>
      <c r="G108" s="221"/>
      <c r="H108" s="221">
        <f t="shared" si="5"/>
        <v>485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523</v>
      </c>
      <c r="E109" s="221"/>
      <c r="F109" s="221">
        <v>0</v>
      </c>
      <c r="G109" s="221"/>
      <c r="H109" s="221">
        <f t="shared" si="5"/>
        <v>523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561</v>
      </c>
      <c r="E110" s="269"/>
      <c r="F110" s="269">
        <v>0</v>
      </c>
      <c r="G110" s="269"/>
      <c r="H110" s="269">
        <f t="shared" si="5"/>
        <v>561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599</v>
      </c>
      <c r="E111" s="221"/>
      <c r="F111" s="221">
        <v>0</v>
      </c>
      <c r="G111" s="221"/>
      <c r="H111" s="221">
        <f t="shared" si="5"/>
        <v>599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637</v>
      </c>
      <c r="E112" s="221"/>
      <c r="F112" s="221">
        <v>0</v>
      </c>
      <c r="G112" s="221"/>
      <c r="H112" s="221">
        <f t="shared" si="5"/>
        <v>637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675</v>
      </c>
      <c r="E113" s="221"/>
      <c r="F113" s="221">
        <v>0</v>
      </c>
      <c r="G113" s="221"/>
      <c r="H113" s="221">
        <f t="shared" si="5"/>
        <v>675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713</v>
      </c>
      <c r="E114" s="221"/>
      <c r="F114" s="221">
        <v>0</v>
      </c>
      <c r="G114" s="221"/>
      <c r="H114" s="221">
        <f t="shared" si="5"/>
        <v>713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751</v>
      </c>
      <c r="E115" s="269"/>
      <c r="F115" s="269">
        <v>0</v>
      </c>
      <c r="G115" s="269"/>
      <c r="H115" s="269">
        <f t="shared" si="5"/>
        <v>751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789</v>
      </c>
      <c r="E116" s="221"/>
      <c r="F116" s="221">
        <v>0</v>
      </c>
      <c r="G116" s="221"/>
      <c r="H116" s="221">
        <f t="shared" si="5"/>
        <v>789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827</v>
      </c>
      <c r="E117" s="221"/>
      <c r="F117" s="221">
        <v>0</v>
      </c>
      <c r="G117" s="221"/>
      <c r="H117" s="221">
        <f t="shared" si="5"/>
        <v>827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865</v>
      </c>
      <c r="E118" s="221"/>
      <c r="F118" s="221">
        <v>0</v>
      </c>
      <c r="G118" s="221"/>
      <c r="H118" s="221">
        <f t="shared" si="5"/>
        <v>865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903</v>
      </c>
      <c r="E119" s="221"/>
      <c r="F119" s="221">
        <v>0</v>
      </c>
      <c r="G119" s="221"/>
      <c r="H119" s="221">
        <f t="shared" si="5"/>
        <v>903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941</v>
      </c>
      <c r="E120" s="269"/>
      <c r="F120" s="269">
        <v>0</v>
      </c>
      <c r="G120" s="269"/>
      <c r="H120" s="269">
        <f t="shared" si="5"/>
        <v>941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84.587686912890391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97.232108564844452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12.644421651954062</v>
      </c>
      <c r="I131" s="231"/>
      <c r="J131" s="247">
        <f>IF(H131="","",LOG(H131))</f>
        <v>1.1018989697730182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118.05352243708408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33.465835524193693</v>
      </c>
      <c r="I132" s="231"/>
      <c r="J132" s="247">
        <f>IF(H132="","",LOG(H132))</f>
        <v>1.5246016722804145</v>
      </c>
      <c r="K132" s="247">
        <f>IF(J132="","",J132*F132)</f>
        <v>0.45895083479587168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181.41940845270432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96.831721539813927</v>
      </c>
      <c r="I133" s="231"/>
      <c r="J133" s="247">
        <f>IF(H133="","",LOG(H133))</f>
        <v>1.986017653102826</v>
      </c>
      <c r="K133" s="247">
        <f>IF(J133="","",J133*F133)</f>
        <v>0.94757123454381964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232.32646178466499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147.73877487177458</v>
      </c>
      <c r="I134" s="231"/>
      <c r="J134" s="247">
        <f>IF(H134="","",LOG(H134))</f>
        <v>2.1694944932998723</v>
      </c>
      <c r="K134" s="247">
        <f>IF(J134="","",J134*F134)</f>
        <v>1.3061658358221833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146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6.7820127884561305</v>
      </c>
      <c r="K135" s="253">
        <f>IF(K134="","",SUM(K130:K134))</f>
        <v>2.7126879051618746</v>
      </c>
      <c r="L135" s="203"/>
      <c r="M135" s="203"/>
      <c r="N135" s="203"/>
      <c r="O135" s="203"/>
    </row>
    <row r="136" spans="1:15" ht="15" customHeight="1">
      <c r="A136" s="203"/>
      <c r="B136" s="208" t="s">
        <v>219</v>
      </c>
      <c r="C136" s="208"/>
      <c r="D136" s="201" t="s">
        <v>162</v>
      </c>
      <c r="E136" s="201">
        <f>IF(G135="",0,5^ROUND((G135*J135-F135*K135)/((COUNT(B$130:B$134)-1)*G135-F135*F135),5))</f>
        <v>5.5684982476158682</v>
      </c>
      <c r="F136" s="238" t="s">
        <v>220</v>
      </c>
      <c r="G136" s="203"/>
      <c r="H136" s="208"/>
      <c r="I136" s="203"/>
      <c r="J136" s="254">
        <f>IF(G135="",0,ROUND(((COUNT(B$130:B$134)-1)*K135-J135*F135)/((COUNT(B$130:B$134)-1)*G135-F135*F135),5))</f>
        <v>1.8217399999999999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221</v>
      </c>
      <c r="E137" s="219"/>
      <c r="F137" s="219"/>
      <c r="G137" s="256"/>
      <c r="H137" s="201" t="s">
        <v>222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200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141</v>
      </c>
      <c r="C140" s="202"/>
      <c r="D140" s="202" t="s">
        <v>156</v>
      </c>
      <c r="E140" s="202"/>
      <c r="F140" s="202" t="s">
        <v>157</v>
      </c>
      <c r="G140" s="202"/>
      <c r="H140" s="202" t="s">
        <v>158</v>
      </c>
      <c r="I140" s="202"/>
      <c r="J140" s="202" t="s">
        <v>144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155</v>
      </c>
      <c r="E141" s="257"/>
      <c r="F141" s="258">
        <v>0</v>
      </c>
      <c r="G141" s="258"/>
      <c r="H141" s="258">
        <f t="shared" ref="H141:H160" si="7">ROUND(D141*(1+F141),0)</f>
        <v>155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190</v>
      </c>
      <c r="E142" s="257"/>
      <c r="F142" s="258">
        <v>0</v>
      </c>
      <c r="G142" s="258"/>
      <c r="H142" s="258">
        <f t="shared" si="7"/>
        <v>190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231</v>
      </c>
      <c r="E143" s="257"/>
      <c r="F143" s="258">
        <v>0</v>
      </c>
      <c r="G143" s="258"/>
      <c r="H143" s="258">
        <f t="shared" si="7"/>
        <v>231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278</v>
      </c>
      <c r="E144" s="257"/>
      <c r="F144" s="258">
        <v>0</v>
      </c>
      <c r="G144" s="258"/>
      <c r="H144" s="258">
        <f t="shared" si="7"/>
        <v>278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331</v>
      </c>
      <c r="E145" s="271"/>
      <c r="F145" s="272">
        <v>0</v>
      </c>
      <c r="G145" s="272"/>
      <c r="H145" s="272">
        <f t="shared" si="7"/>
        <v>331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390</v>
      </c>
      <c r="E146" s="257"/>
      <c r="F146" s="258">
        <v>0</v>
      </c>
      <c r="G146" s="258"/>
      <c r="H146" s="258">
        <f t="shared" si="7"/>
        <v>390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454</v>
      </c>
      <c r="E147" s="257"/>
      <c r="F147" s="258">
        <v>0</v>
      </c>
      <c r="G147" s="258"/>
      <c r="H147" s="258">
        <f t="shared" si="7"/>
        <v>454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525</v>
      </c>
      <c r="E148" s="257"/>
      <c r="F148" s="258">
        <v>0</v>
      </c>
      <c r="G148" s="258"/>
      <c r="H148" s="258">
        <f t="shared" si="7"/>
        <v>525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600</v>
      </c>
      <c r="E149" s="257"/>
      <c r="F149" s="258">
        <v>0</v>
      </c>
      <c r="G149" s="258"/>
      <c r="H149" s="258">
        <f t="shared" si="7"/>
        <v>600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681</v>
      </c>
      <c r="E150" s="271"/>
      <c r="F150" s="272">
        <v>0</v>
      </c>
      <c r="G150" s="272"/>
      <c r="H150" s="272">
        <f t="shared" si="7"/>
        <v>681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767</v>
      </c>
      <c r="E151" s="257"/>
      <c r="F151" s="258">
        <v>0</v>
      </c>
      <c r="G151" s="258"/>
      <c r="H151" s="258">
        <f t="shared" si="7"/>
        <v>767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858</v>
      </c>
      <c r="E152" s="257"/>
      <c r="F152" s="258">
        <v>0</v>
      </c>
      <c r="G152" s="258"/>
      <c r="H152" s="258">
        <f t="shared" si="7"/>
        <v>858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955</v>
      </c>
      <c r="E153" s="257"/>
      <c r="F153" s="258">
        <v>0</v>
      </c>
      <c r="G153" s="258"/>
      <c r="H153" s="258">
        <f t="shared" si="7"/>
        <v>955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1056</v>
      </c>
      <c r="E154" s="257"/>
      <c r="F154" s="258">
        <v>0</v>
      </c>
      <c r="G154" s="258"/>
      <c r="H154" s="258">
        <f t="shared" si="7"/>
        <v>1056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1163</v>
      </c>
      <c r="E155" s="271"/>
      <c r="F155" s="272">
        <v>0</v>
      </c>
      <c r="G155" s="272"/>
      <c r="H155" s="272">
        <f t="shared" si="7"/>
        <v>1163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1274</v>
      </c>
      <c r="E156" s="257"/>
      <c r="F156" s="258">
        <v>0</v>
      </c>
      <c r="G156" s="258"/>
      <c r="H156" s="258">
        <f t="shared" si="7"/>
        <v>1274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1391</v>
      </c>
      <c r="E157" s="257"/>
      <c r="F157" s="258">
        <v>0</v>
      </c>
      <c r="G157" s="258"/>
      <c r="H157" s="258">
        <f t="shared" si="7"/>
        <v>1391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1512</v>
      </c>
      <c r="E158" s="257"/>
      <c r="F158" s="258">
        <v>0</v>
      </c>
      <c r="G158" s="258"/>
      <c r="H158" s="258">
        <f t="shared" si="7"/>
        <v>1512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1638</v>
      </c>
      <c r="E159" s="257"/>
      <c r="F159" s="258">
        <v>0</v>
      </c>
      <c r="G159" s="258"/>
      <c r="H159" s="258">
        <f t="shared" si="7"/>
        <v>1638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1770</v>
      </c>
      <c r="E160" s="271"/>
      <c r="F160" s="272">
        <v>0</v>
      </c>
      <c r="G160" s="272"/>
      <c r="H160" s="272">
        <f t="shared" si="7"/>
        <v>1770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229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148</v>
      </c>
      <c r="D167" s="219" t="s">
        <v>231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185</v>
      </c>
      <c r="D168" s="219" t="s">
        <v>207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234</v>
      </c>
      <c r="E169" s="2250">
        <f>K7</f>
        <v>600</v>
      </c>
      <c r="F169" s="2250"/>
      <c r="G169" s="219" t="s">
        <v>235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236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141</v>
      </c>
      <c r="C171" s="202"/>
      <c r="D171" s="202" t="s">
        <v>191</v>
      </c>
      <c r="E171" s="202" t="s">
        <v>192</v>
      </c>
      <c r="F171" s="202" t="s">
        <v>193</v>
      </c>
      <c r="G171" s="202" t="s">
        <v>241</v>
      </c>
      <c r="H171" s="202" t="s">
        <v>242</v>
      </c>
      <c r="I171" s="202" t="s">
        <v>243</v>
      </c>
      <c r="J171" s="202" t="s">
        <v>216</v>
      </c>
      <c r="K171" s="202" t="s">
        <v>245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84.587686912890391</v>
      </c>
      <c r="E172" s="244">
        <f>((COUNT(B$172:B$176)-1)/2)+(B172-$C$4)</f>
        <v>-2</v>
      </c>
      <c r="F172" s="206">
        <f>E172^2</f>
        <v>4</v>
      </c>
      <c r="G172" s="844">
        <f>E$169-D172</f>
        <v>515.41231308710962</v>
      </c>
      <c r="H172" s="259">
        <f>LOG(D172)</f>
        <v>1.9273071491504254</v>
      </c>
      <c r="I172" s="245">
        <f>LOG(G172)</f>
        <v>2.7121547895387335</v>
      </c>
      <c r="J172" s="246">
        <f>H172-I172</f>
        <v>-0.78484764038830801</v>
      </c>
      <c r="K172" s="246">
        <f>E172*J172</f>
        <v>1.569695280776616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97.232108564844452</v>
      </c>
      <c r="E173" s="244">
        <f>((COUNT(B$172:B$176)-1)/2)+(B173-$C$4)</f>
        <v>-1</v>
      </c>
      <c r="F173" s="206">
        <f>E173^2</f>
        <v>1</v>
      </c>
      <c r="G173" s="844">
        <f>E$169-D173</f>
        <v>502.76789143515555</v>
      </c>
      <c r="H173" s="259">
        <f>LOG(D173)</f>
        <v>1.9878097039165059</v>
      </c>
      <c r="I173" s="245">
        <f>LOG(G173)</f>
        <v>2.7013675342927597</v>
      </c>
      <c r="J173" s="246">
        <f>H173-I173</f>
        <v>-0.71355783037625375</v>
      </c>
      <c r="K173" s="246">
        <f>E173*J173</f>
        <v>0.71355783037625375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118.05352243708408</v>
      </c>
      <c r="E174" s="244">
        <f>((COUNT(B$172:B$176)-1)/2)+(B174-$C$4)</f>
        <v>0</v>
      </c>
      <c r="F174" s="206">
        <f>E174^2</f>
        <v>0</v>
      </c>
      <c r="G174" s="844">
        <f>E$169-D174</f>
        <v>481.9464775629159</v>
      </c>
      <c r="H174" s="259">
        <f>LOG(D174)</f>
        <v>2.0720789499252565</v>
      </c>
      <c r="I174" s="245">
        <f>LOG(G174)</f>
        <v>2.6829988104593023</v>
      </c>
      <c r="J174" s="246">
        <f>H174-I174</f>
        <v>-0.61091986053404579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181.41940845270432</v>
      </c>
      <c r="E175" s="244">
        <f>((COUNT(B$172:B$176)-1)/2)+(B175-$C$4)</f>
        <v>1</v>
      </c>
      <c r="F175" s="206">
        <f>E175^2</f>
        <v>1</v>
      </c>
      <c r="G175" s="844">
        <f>E$169-D175</f>
        <v>418.58059154729568</v>
      </c>
      <c r="H175" s="259">
        <f>LOG(D175)</f>
        <v>2.2586837465224479</v>
      </c>
      <c r="I175" s="245">
        <f>LOG(G175)</f>
        <v>2.6217790874060998</v>
      </c>
      <c r="J175" s="246">
        <f>H175-I175</f>
        <v>-0.36309534088365192</v>
      </c>
      <c r="K175" s="246">
        <f>E175*J175</f>
        <v>-0.36309534088365192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232.32646178466499</v>
      </c>
      <c r="E176" s="244">
        <f>((COUNT(B$172:B$176)-1)/2)+(B176-$C$4)</f>
        <v>2</v>
      </c>
      <c r="F176" s="206">
        <f>E176^2</f>
        <v>4</v>
      </c>
      <c r="G176" s="844">
        <f>E$169-D176</f>
        <v>367.67353821533504</v>
      </c>
      <c r="H176" s="259">
        <f>LOG(D176)</f>
        <v>2.3660986783863751</v>
      </c>
      <c r="I176" s="245">
        <f>LOG(G176)</f>
        <v>2.5654623744416023</v>
      </c>
      <c r="J176" s="246">
        <f>H176-I176</f>
        <v>-0.19936369605522719</v>
      </c>
      <c r="K176" s="246">
        <f>E176*J176</f>
        <v>-0.39872739211045438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1056</v>
      </c>
      <c r="C177" s="212"/>
      <c r="D177" s="260">
        <f>SUM(D172:D176)</f>
        <v>713.61918815218826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-2.6717843682374864</v>
      </c>
      <c r="K177" s="263">
        <f>SUM(K172:K176)</f>
        <v>1.5214303781587635</v>
      </c>
      <c r="L177" s="203"/>
      <c r="M177" s="203"/>
      <c r="N177" s="203"/>
      <c r="O177" s="203"/>
    </row>
    <row r="178" spans="1:15" ht="15" customHeight="1">
      <c r="A178" s="203"/>
      <c r="B178" s="208" t="s">
        <v>1142</v>
      </c>
      <c r="C178" s="208"/>
      <c r="D178" s="201" t="s">
        <v>1143</v>
      </c>
      <c r="E178" s="236" t="s">
        <v>1144</v>
      </c>
      <c r="F178" s="203"/>
      <c r="G178" s="219" t="str">
        <f>"X = x × LOG e = "&amp;E177&amp;" 이고,"</f>
        <v>X = x × LOG e = 0 이고,</v>
      </c>
      <c r="H178" s="219"/>
      <c r="I178" s="219" t="s">
        <v>1145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1146</v>
      </c>
      <c r="E179" s="219"/>
      <c r="F179" s="219"/>
      <c r="G179" s="219"/>
      <c r="H179" s="254">
        <f>ROUND(((E$177*K$177-F$177*J$177)/(COUNT(B$172:B$176)*F$177-E$177*E$177))/LOG(EXP(1)),5)</f>
        <v>1.2303999999999999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1147</v>
      </c>
      <c r="E180" s="219"/>
      <c r="F180" s="219"/>
      <c r="G180" s="264" t="s">
        <v>1148</v>
      </c>
      <c r="H180" s="219"/>
      <c r="I180" s="219"/>
      <c r="J180" s="219"/>
      <c r="K180" s="265">
        <f>ROUND((COUNT(B$172:B$176)*K177-E177*J177)/(LOG(EXP(1))*(COUNT(B$172:B$176)*F177-E177*E177)),6)</f>
        <v>0.35032200000000002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1061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1010</v>
      </c>
      <c r="C183" s="202"/>
      <c r="D183" s="202" t="s">
        <v>1025</v>
      </c>
      <c r="E183" s="202"/>
      <c r="F183" s="202" t="s">
        <v>1026</v>
      </c>
      <c r="G183" s="202"/>
      <c r="H183" s="202" t="s">
        <v>1027</v>
      </c>
      <c r="I183" s="202"/>
      <c r="J183" s="202" t="s">
        <v>1014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352</v>
      </c>
      <c r="E184" s="221"/>
      <c r="F184" s="221">
        <v>0</v>
      </c>
      <c r="G184" s="221"/>
      <c r="H184" s="221">
        <f t="shared" ref="H184:H203" si="9">ROUND(D184*(1+F184),0)</f>
        <v>352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401</v>
      </c>
      <c r="E185" s="221"/>
      <c r="F185" s="221">
        <v>0</v>
      </c>
      <c r="G185" s="221"/>
      <c r="H185" s="221">
        <f t="shared" si="9"/>
        <v>401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445</v>
      </c>
      <c r="E186" s="221"/>
      <c r="F186" s="221">
        <v>0</v>
      </c>
      <c r="G186" s="221"/>
      <c r="H186" s="221">
        <f t="shared" si="9"/>
        <v>445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482</v>
      </c>
      <c r="E187" s="221"/>
      <c r="F187" s="221">
        <v>0</v>
      </c>
      <c r="G187" s="221"/>
      <c r="H187" s="221">
        <f t="shared" si="9"/>
        <v>482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511</v>
      </c>
      <c r="E188" s="269"/>
      <c r="F188" s="269">
        <v>0</v>
      </c>
      <c r="G188" s="269"/>
      <c r="H188" s="269">
        <f t="shared" si="9"/>
        <v>511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535</v>
      </c>
      <c r="E189" s="221"/>
      <c r="F189" s="221">
        <v>0</v>
      </c>
      <c r="G189" s="221"/>
      <c r="H189" s="221">
        <f t="shared" si="9"/>
        <v>535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553</v>
      </c>
      <c r="E190" s="221"/>
      <c r="F190" s="221">
        <v>0</v>
      </c>
      <c r="G190" s="221"/>
      <c r="H190" s="221">
        <f t="shared" si="9"/>
        <v>553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566</v>
      </c>
      <c r="E191" s="221"/>
      <c r="F191" s="221">
        <v>0</v>
      </c>
      <c r="G191" s="221"/>
      <c r="H191" s="221">
        <f t="shared" si="9"/>
        <v>566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576</v>
      </c>
      <c r="E192" s="221"/>
      <c r="F192" s="221">
        <v>0</v>
      </c>
      <c r="G192" s="221"/>
      <c r="H192" s="221">
        <f t="shared" si="9"/>
        <v>576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583</v>
      </c>
      <c r="E193" s="269"/>
      <c r="F193" s="269">
        <v>0</v>
      </c>
      <c r="G193" s="269"/>
      <c r="H193" s="269">
        <f t="shared" si="9"/>
        <v>583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588</v>
      </c>
      <c r="E194" s="221"/>
      <c r="F194" s="221">
        <v>0</v>
      </c>
      <c r="G194" s="221"/>
      <c r="H194" s="221">
        <f t="shared" si="9"/>
        <v>588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592</v>
      </c>
      <c r="E195" s="221"/>
      <c r="F195" s="221">
        <v>0</v>
      </c>
      <c r="G195" s="221"/>
      <c r="H195" s="221">
        <f t="shared" si="9"/>
        <v>592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594</v>
      </c>
      <c r="E196" s="221"/>
      <c r="F196" s="221">
        <v>0</v>
      </c>
      <c r="G196" s="221"/>
      <c r="H196" s="221">
        <f t="shared" si="9"/>
        <v>594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596</v>
      </c>
      <c r="E197" s="221"/>
      <c r="F197" s="221">
        <v>0</v>
      </c>
      <c r="G197" s="221"/>
      <c r="H197" s="221">
        <f t="shared" si="9"/>
        <v>596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597</v>
      </c>
      <c r="E198" s="269"/>
      <c r="F198" s="269">
        <v>0</v>
      </c>
      <c r="G198" s="269"/>
      <c r="H198" s="269">
        <f t="shared" si="9"/>
        <v>597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598</v>
      </c>
      <c r="E199" s="221"/>
      <c r="F199" s="221">
        <v>0</v>
      </c>
      <c r="G199" s="221"/>
      <c r="H199" s="221">
        <f t="shared" si="9"/>
        <v>598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599</v>
      </c>
      <c r="E200" s="221"/>
      <c r="F200" s="221">
        <v>0</v>
      </c>
      <c r="G200" s="221"/>
      <c r="H200" s="221">
        <f t="shared" si="9"/>
        <v>599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599</v>
      </c>
      <c r="E201" s="221"/>
      <c r="F201" s="221">
        <v>0</v>
      </c>
      <c r="G201" s="221"/>
      <c r="H201" s="221">
        <f t="shared" si="9"/>
        <v>599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600</v>
      </c>
      <c r="E202" s="221"/>
      <c r="F202" s="221">
        <v>0</v>
      </c>
      <c r="G202" s="221"/>
      <c r="H202" s="221">
        <f t="shared" si="9"/>
        <v>600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600</v>
      </c>
      <c r="E203" s="269"/>
      <c r="F203" s="269">
        <v>0</v>
      </c>
      <c r="G203" s="269"/>
      <c r="H203" s="269">
        <f t="shared" si="9"/>
        <v>600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1149</v>
      </c>
      <c r="G209" s="208"/>
      <c r="H209" s="203"/>
      <c r="I209" s="203"/>
      <c r="J209" s="203"/>
      <c r="K209" s="228" t="s">
        <v>1150</v>
      </c>
      <c r="L209" s="203"/>
      <c r="M209" s="203"/>
      <c r="N209" s="203"/>
      <c r="O209" s="203"/>
    </row>
    <row r="210" spans="1:15" ht="15" customHeight="1">
      <c r="A210" s="203"/>
      <c r="B210" s="202" t="s">
        <v>1010</v>
      </c>
      <c r="C210" s="202"/>
      <c r="D210" s="202" t="s">
        <v>1151</v>
      </c>
      <c r="E210" s="202" t="s">
        <v>1152</v>
      </c>
      <c r="F210" s="202" t="s">
        <v>1153</v>
      </c>
      <c r="G210" s="202" t="s">
        <v>992</v>
      </c>
      <c r="H210" s="202" t="s">
        <v>1154</v>
      </c>
      <c r="I210" s="202" t="s">
        <v>1155</v>
      </c>
      <c r="J210" s="202" t="s">
        <v>1156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232</v>
      </c>
      <c r="E211" s="257">
        <f t="array" ref="E211">IF(B53=B211,H53)</f>
        <v>232</v>
      </c>
      <c r="F211" s="257">
        <f t="array" ref="F211">IF(B101=B211,H101)</f>
        <v>219</v>
      </c>
      <c r="G211" s="257">
        <f t="array" ref="G211">IF(B141=B211,H141)</f>
        <v>155</v>
      </c>
      <c r="H211" s="257">
        <f t="array" ref="H211">IF(B184=B211,H184)</f>
        <v>352</v>
      </c>
      <c r="I211" s="257">
        <f t="shared" ref="I211:I230" si="10">IF(G211=0,AVERAGE(D211,E211,F211,H211),AVERAGE(D211:H211))</f>
        <v>238</v>
      </c>
      <c r="J211" s="266">
        <f t="shared" ref="J211:J230" si="11">ROUND(AVERAGE(D211,F211:G211),0)</f>
        <v>202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269</v>
      </c>
      <c r="E212" s="257">
        <f t="array" ref="E212">IF(B54=B212,H54)</f>
        <v>299</v>
      </c>
      <c r="F212" s="257">
        <f t="array" ref="F212">IF(B102=B212,H102)</f>
        <v>257</v>
      </c>
      <c r="G212" s="257">
        <f t="array" ref="G212">IF(B142=B212,H142)</f>
        <v>190</v>
      </c>
      <c r="H212" s="257">
        <f t="array" ref="H212">IF(B185=B212,H185)</f>
        <v>401</v>
      </c>
      <c r="I212" s="257">
        <f t="shared" si="10"/>
        <v>283.2</v>
      </c>
      <c r="J212" s="266">
        <f t="shared" si="11"/>
        <v>239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306</v>
      </c>
      <c r="E213" s="257">
        <f t="array" ref="E213">IF(B55=B213,H55)</f>
        <v>385</v>
      </c>
      <c r="F213" s="257">
        <f t="array" ref="F213">IF(B103=B213,H103)</f>
        <v>295</v>
      </c>
      <c r="G213" s="257">
        <f t="array" ref="G213">IF(B143=B213,H143)</f>
        <v>231</v>
      </c>
      <c r="H213" s="257">
        <f t="array" ref="H213">IF(B186=B213,H186)</f>
        <v>445</v>
      </c>
      <c r="I213" s="257">
        <f t="shared" si="10"/>
        <v>332.4</v>
      </c>
      <c r="J213" s="266">
        <f t="shared" si="11"/>
        <v>277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343</v>
      </c>
      <c r="E214" s="257">
        <f t="array" ref="E214">IF(B56=B214,H56)</f>
        <v>496</v>
      </c>
      <c r="F214" s="257">
        <f t="array" ref="F214">IF(B104=B214,H104)</f>
        <v>333</v>
      </c>
      <c r="G214" s="257">
        <f t="array" ref="G214">IF(B144=B214,H144)</f>
        <v>278</v>
      </c>
      <c r="H214" s="257">
        <f t="array" ref="H214">IF(B187=B214,H187)</f>
        <v>482</v>
      </c>
      <c r="I214" s="257">
        <f t="shared" si="10"/>
        <v>386.4</v>
      </c>
      <c r="J214" s="266">
        <f t="shared" si="11"/>
        <v>318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380</v>
      </c>
      <c r="E215" s="271">
        <f t="array" ref="E215">IF(B57=B215,H57)</f>
        <v>638</v>
      </c>
      <c r="F215" s="271">
        <f t="array" ref="F215">IF(B105=B215,H105)</f>
        <v>371</v>
      </c>
      <c r="G215" s="271">
        <f t="array" ref="G215">IF(B145=B215,H145)</f>
        <v>331</v>
      </c>
      <c r="H215" s="271">
        <f t="array" ref="H215">IF(B188=B215,H188)</f>
        <v>511</v>
      </c>
      <c r="I215" s="271">
        <f t="shared" si="10"/>
        <v>446.2</v>
      </c>
      <c r="J215" s="273">
        <f t="shared" si="11"/>
        <v>361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417</v>
      </c>
      <c r="E216" s="257">
        <f t="array" ref="E216">IF(B58=B216,H58)</f>
        <v>821</v>
      </c>
      <c r="F216" s="257">
        <f t="array" ref="F216">IF(B106=B216,H106)</f>
        <v>409</v>
      </c>
      <c r="G216" s="257">
        <f t="array" ref="G216">IF(B146=B216,H146)</f>
        <v>390</v>
      </c>
      <c r="H216" s="257">
        <f t="array" ref="H216">IF(B189=B216,H189)</f>
        <v>535</v>
      </c>
      <c r="I216" s="257">
        <f t="shared" si="10"/>
        <v>514.4</v>
      </c>
      <c r="J216" s="266">
        <f t="shared" si="11"/>
        <v>405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454</v>
      </c>
      <c r="E217" s="257">
        <f t="array" ref="E217">IF(B59=B217,H59)</f>
        <v>1058</v>
      </c>
      <c r="F217" s="257">
        <f t="array" ref="F217">IF(B107=B217,H107)</f>
        <v>447</v>
      </c>
      <c r="G217" s="257">
        <f t="array" ref="G217">IF(B147=B217,H147)</f>
        <v>454</v>
      </c>
      <c r="H217" s="257">
        <f t="array" ref="H217">IF(B190=B217,H190)</f>
        <v>553</v>
      </c>
      <c r="I217" s="257">
        <f t="shared" si="10"/>
        <v>593.20000000000005</v>
      </c>
      <c r="J217" s="266">
        <f t="shared" si="11"/>
        <v>452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491</v>
      </c>
      <c r="E218" s="257">
        <f t="array" ref="E218">IF(B60=B218,H60)</f>
        <v>1361</v>
      </c>
      <c r="F218" s="257">
        <f t="array" ref="F218">IF(B108=B218,H108)</f>
        <v>485</v>
      </c>
      <c r="G218" s="257">
        <f t="array" ref="G218">IF(B148=B218,H148)</f>
        <v>525</v>
      </c>
      <c r="H218" s="257">
        <f t="array" ref="H218">IF(B191=B218,H191)</f>
        <v>566</v>
      </c>
      <c r="I218" s="257">
        <f t="shared" si="10"/>
        <v>685.6</v>
      </c>
      <c r="J218" s="266">
        <f t="shared" si="11"/>
        <v>500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528</v>
      </c>
      <c r="E219" s="257">
        <f t="array" ref="E219">IF(B61=B219,H61)</f>
        <v>1753</v>
      </c>
      <c r="F219" s="257">
        <f t="array" ref="F219">IF(B109=B219,H109)</f>
        <v>523</v>
      </c>
      <c r="G219" s="257">
        <f t="array" ref="G219">IF(B149=B219,H149)</f>
        <v>600</v>
      </c>
      <c r="H219" s="257">
        <f t="array" ref="H219">IF(B192=B219,H192)</f>
        <v>576</v>
      </c>
      <c r="I219" s="257">
        <f t="shared" si="10"/>
        <v>796</v>
      </c>
      <c r="J219" s="266">
        <f t="shared" si="11"/>
        <v>550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564</v>
      </c>
      <c r="E220" s="271">
        <f t="array" ref="E220">IF(B62=B220,H62)</f>
        <v>2256</v>
      </c>
      <c r="F220" s="271">
        <f t="array" ref="F220">IF(B110=B220,H110)</f>
        <v>561</v>
      </c>
      <c r="G220" s="271">
        <f t="array" ref="G220">IF(B150=B220,H150)</f>
        <v>681</v>
      </c>
      <c r="H220" s="271">
        <f t="array" ref="H220">IF(B193=B220,H193)</f>
        <v>583</v>
      </c>
      <c r="I220" s="271">
        <f t="shared" si="10"/>
        <v>929</v>
      </c>
      <c r="J220" s="273">
        <f t="shared" si="11"/>
        <v>602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601</v>
      </c>
      <c r="E221" s="257">
        <f t="array" ref="E221">IF(B63=B221,H63)</f>
        <v>2905</v>
      </c>
      <c r="F221" s="257">
        <f t="array" ref="F221">IF(B111=B221,H111)</f>
        <v>599</v>
      </c>
      <c r="G221" s="257">
        <f t="array" ref="G221">IF(B151=B221,H151)</f>
        <v>767</v>
      </c>
      <c r="H221" s="257">
        <f t="array" ref="H221">IF(B194=B221,H194)</f>
        <v>588</v>
      </c>
      <c r="I221" s="257">
        <f t="shared" si="10"/>
        <v>1092</v>
      </c>
      <c r="J221" s="266">
        <f t="shared" si="11"/>
        <v>656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638</v>
      </c>
      <c r="E222" s="257">
        <f t="array" ref="E222">IF(B64=B222,H64)</f>
        <v>3739</v>
      </c>
      <c r="F222" s="257">
        <f t="array" ref="F222">IF(B112=B222,H112)</f>
        <v>637</v>
      </c>
      <c r="G222" s="257">
        <f t="array" ref="G222">IF(B152=B222,H152)</f>
        <v>858</v>
      </c>
      <c r="H222" s="257">
        <f t="array" ref="H222">IF(B195=B222,H195)</f>
        <v>592</v>
      </c>
      <c r="I222" s="257">
        <f t="shared" si="10"/>
        <v>1292.8</v>
      </c>
      <c r="J222" s="266">
        <f t="shared" si="11"/>
        <v>711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675</v>
      </c>
      <c r="E223" s="257">
        <f t="array" ref="E223">IF(B65=B223,H65)</f>
        <v>4814</v>
      </c>
      <c r="F223" s="257">
        <f t="array" ref="F223">IF(B113=B223,H113)</f>
        <v>675</v>
      </c>
      <c r="G223" s="257">
        <f t="array" ref="G223">IF(B153=B223,H153)</f>
        <v>955</v>
      </c>
      <c r="H223" s="257">
        <f t="array" ref="H223">IF(B196=B223,H196)</f>
        <v>594</v>
      </c>
      <c r="I223" s="257">
        <f t="shared" si="10"/>
        <v>1542.6</v>
      </c>
      <c r="J223" s="266">
        <f t="shared" si="11"/>
        <v>768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712</v>
      </c>
      <c r="E224" s="257">
        <f t="array" ref="E224">IF(B66=B224,H66)</f>
        <v>6197</v>
      </c>
      <c r="F224" s="257">
        <f t="array" ref="F224">IF(B114=B224,H114)</f>
        <v>713</v>
      </c>
      <c r="G224" s="257">
        <f t="array" ref="G224">IF(B154=B224,H154)</f>
        <v>1056</v>
      </c>
      <c r="H224" s="257">
        <f t="array" ref="H224">IF(B197=B224,H197)</f>
        <v>596</v>
      </c>
      <c r="I224" s="257">
        <f t="shared" si="10"/>
        <v>1854.8</v>
      </c>
      <c r="J224" s="266">
        <f t="shared" si="11"/>
        <v>827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749</v>
      </c>
      <c r="E225" s="271">
        <f t="array" ref="E225">IF(B67=B225,H67)</f>
        <v>7978</v>
      </c>
      <c r="F225" s="271">
        <f t="array" ref="F225">IF(B115=B225,H115)</f>
        <v>751</v>
      </c>
      <c r="G225" s="271">
        <f t="array" ref="G225">IF(B155=B225,H155)</f>
        <v>1163</v>
      </c>
      <c r="H225" s="271">
        <f t="array" ref="H225">IF(B198=B225,H198)</f>
        <v>597</v>
      </c>
      <c r="I225" s="271">
        <f t="shared" si="10"/>
        <v>2247.6</v>
      </c>
      <c r="J225" s="273">
        <f t="shared" si="11"/>
        <v>888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786</v>
      </c>
      <c r="E226" s="257">
        <f t="array" ref="E226">IF(B68=B226,H68)</f>
        <v>10270</v>
      </c>
      <c r="F226" s="257">
        <f t="array" ref="F226">IF(B116=B226,H116)</f>
        <v>789</v>
      </c>
      <c r="G226" s="257">
        <f t="array" ref="G226">IF(B156=B226,H156)</f>
        <v>1274</v>
      </c>
      <c r="H226" s="257">
        <f t="array" ref="H226">IF(B199=B226,H199)</f>
        <v>598</v>
      </c>
      <c r="I226" s="257">
        <f t="shared" si="10"/>
        <v>2743.4</v>
      </c>
      <c r="J226" s="266">
        <f t="shared" si="11"/>
        <v>950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823</v>
      </c>
      <c r="E227" s="257">
        <f t="array" ref="E227">IF(B69=B227,H69)</f>
        <v>13221</v>
      </c>
      <c r="F227" s="257">
        <f t="array" ref="F227">IF(B117=B227,H117)</f>
        <v>827</v>
      </c>
      <c r="G227" s="257">
        <f t="array" ref="G227">IF(B157=B227,H157)</f>
        <v>1391</v>
      </c>
      <c r="H227" s="257">
        <f t="array" ref="H227">IF(B200=B227,H200)</f>
        <v>599</v>
      </c>
      <c r="I227" s="257">
        <f t="shared" si="10"/>
        <v>3372.2</v>
      </c>
      <c r="J227" s="266">
        <f t="shared" si="11"/>
        <v>1014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860</v>
      </c>
      <c r="E228" s="257">
        <f t="array" ref="E228">IF(B70=B228,H70)</f>
        <v>17020</v>
      </c>
      <c r="F228" s="257">
        <f t="array" ref="F228">IF(B118=B228,H118)</f>
        <v>865</v>
      </c>
      <c r="G228" s="257">
        <f t="array" ref="G228">IF(B158=B228,H158)</f>
        <v>1512</v>
      </c>
      <c r="H228" s="257">
        <f t="array" ref="H228">IF(B201=B228,H201)</f>
        <v>599</v>
      </c>
      <c r="I228" s="257">
        <f t="shared" si="10"/>
        <v>4171.2</v>
      </c>
      <c r="J228" s="266">
        <f t="shared" si="11"/>
        <v>1079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897</v>
      </c>
      <c r="E229" s="257">
        <f t="array" ref="E229">IF(B71=B229,H71)</f>
        <v>21911</v>
      </c>
      <c r="F229" s="257">
        <f t="array" ref="F229">IF(B119=B229,H119)</f>
        <v>903</v>
      </c>
      <c r="G229" s="257">
        <f t="array" ref="G229">IF(B159=B229,H159)</f>
        <v>1638</v>
      </c>
      <c r="H229" s="257">
        <f t="array" ref="H229">IF(B202=B229,H202)</f>
        <v>600</v>
      </c>
      <c r="I229" s="257">
        <f t="shared" si="10"/>
        <v>5189.8</v>
      </c>
      <c r="J229" s="266">
        <f t="shared" si="11"/>
        <v>1146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933</v>
      </c>
      <c r="E230" s="271">
        <f t="array" ref="E230">IF(B72=B230,H72)</f>
        <v>28207</v>
      </c>
      <c r="F230" s="271">
        <f t="array" ref="F230">IF(B120=B230,H120)</f>
        <v>941</v>
      </c>
      <c r="G230" s="271">
        <f t="array" ref="G230">IF(B160=B230,H160)</f>
        <v>1770</v>
      </c>
      <c r="H230" s="271">
        <f t="array" ref="H230">IF(B203=B230,H203)</f>
        <v>600</v>
      </c>
      <c r="I230" s="271">
        <f t="shared" si="10"/>
        <v>6490.2</v>
      </c>
      <c r="J230" s="273">
        <f t="shared" si="11"/>
        <v>1215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972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1780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실적산정'!I46</f>
        <v>303.66928652597164</v>
      </c>
      <c r="E7" s="844"/>
      <c r="F7" s="206">
        <v>0</v>
      </c>
      <c r="G7" s="206"/>
      <c r="H7" s="207">
        <v>0</v>
      </c>
      <c r="I7" s="208"/>
      <c r="J7" s="209" t="s">
        <v>1253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실적산정'!I47</f>
        <v>294.70761105439124</v>
      </c>
      <c r="E8" s="844"/>
      <c r="F8" s="206">
        <f t="shared" ref="F8:F12" si="1">D8-D7</f>
        <v>-8.9616754715804063</v>
      </c>
      <c r="G8" s="206"/>
      <c r="H8" s="207">
        <f t="shared" ref="H8:H12" si="2">ROUND(F8/D7*100,2)</f>
        <v>-2.95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실적산정'!I48</f>
        <v>321.28699426180054</v>
      </c>
      <c r="E9" s="844"/>
      <c r="F9" s="206">
        <f t="shared" si="1"/>
        <v>26.579383207409307</v>
      </c>
      <c r="G9" s="206"/>
      <c r="H9" s="207">
        <f t="shared" si="2"/>
        <v>9.02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실적산정'!I49</f>
        <v>271.96972741450179</v>
      </c>
      <c r="E10" s="844"/>
      <c r="F10" s="206">
        <f t="shared" si="1"/>
        <v>-49.317266847298754</v>
      </c>
      <c r="G10" s="206"/>
      <c r="H10" s="207">
        <f t="shared" si="2"/>
        <v>-15.35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실적산정'!I50</f>
        <v>279.47468307815473</v>
      </c>
      <c r="E11" s="844"/>
      <c r="F11" s="206">
        <f t="shared" si="1"/>
        <v>7.504955663652936</v>
      </c>
      <c r="G11" s="206"/>
      <c r="H11" s="207">
        <f t="shared" si="2"/>
        <v>2.76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실적산정'!I51</f>
        <v>268.64115942587051</v>
      </c>
      <c r="E12" s="844"/>
      <c r="F12" s="206">
        <f t="shared" si="1"/>
        <v>-10.833523652284214</v>
      </c>
      <c r="G12" s="206"/>
      <c r="H12" s="207">
        <f t="shared" si="2"/>
        <v>-3.88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>
        <f>SUM(D7:D12)</f>
        <v>1739.7494617606901</v>
      </c>
      <c r="E13" s="214"/>
      <c r="F13" s="215"/>
      <c r="G13" s="215"/>
      <c r="H13" s="918">
        <f>SUM(H7:H12)</f>
        <v>-10.400000000000002</v>
      </c>
      <c r="I13" s="216"/>
      <c r="J13" s="217">
        <f>ROUND(AVERAGE(H7:H12),1)</f>
        <v>-1.7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1254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1255</v>
      </c>
      <c r="D16" s="219" t="s">
        <v>1256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1257</v>
      </c>
      <c r="D17" s="219" t="s">
        <v>1258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1259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1260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1261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1262</v>
      </c>
      <c r="C21" s="202"/>
      <c r="D21" s="202" t="s">
        <v>1263</v>
      </c>
      <c r="E21" s="202"/>
      <c r="F21" s="202" t="s">
        <v>1264</v>
      </c>
      <c r="G21" s="202"/>
      <c r="H21" s="202" t="s">
        <v>1265</v>
      </c>
      <c r="I21" s="202"/>
      <c r="J21" s="202" t="s">
        <v>1266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269</v>
      </c>
      <c r="E22" s="221"/>
      <c r="F22" s="221">
        <v>0</v>
      </c>
      <c r="G22" s="221"/>
      <c r="H22" s="221">
        <f t="shared" ref="H22:H36" si="4">ROUND(D22*(1+F22),0)</f>
        <v>269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262</v>
      </c>
      <c r="E23" s="221"/>
      <c r="F23" s="221">
        <v>0</v>
      </c>
      <c r="G23" s="221"/>
      <c r="H23" s="221">
        <f t="shared" si="4"/>
        <v>262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255</v>
      </c>
      <c r="E24" s="221"/>
      <c r="F24" s="221">
        <v>0</v>
      </c>
      <c r="G24" s="221"/>
      <c r="H24" s="221">
        <f t="shared" si="4"/>
        <v>255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248</v>
      </c>
      <c r="E25" s="221"/>
      <c r="F25" s="221">
        <v>0</v>
      </c>
      <c r="G25" s="221"/>
      <c r="H25" s="221">
        <f t="shared" si="4"/>
        <v>248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241</v>
      </c>
      <c r="E26" s="269"/>
      <c r="F26" s="269">
        <v>0</v>
      </c>
      <c r="G26" s="269"/>
      <c r="H26" s="269">
        <f t="shared" si="4"/>
        <v>241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234</v>
      </c>
      <c r="E27" s="221"/>
      <c r="F27" s="221">
        <v>0</v>
      </c>
      <c r="G27" s="221"/>
      <c r="H27" s="221">
        <f t="shared" si="4"/>
        <v>234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227</v>
      </c>
      <c r="E28" s="221"/>
      <c r="F28" s="221">
        <v>0</v>
      </c>
      <c r="G28" s="221"/>
      <c r="H28" s="221">
        <f t="shared" si="4"/>
        <v>227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220</v>
      </c>
      <c r="E29" s="221"/>
      <c r="F29" s="221">
        <v>0</v>
      </c>
      <c r="G29" s="221"/>
      <c r="H29" s="221">
        <f t="shared" si="4"/>
        <v>220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213</v>
      </c>
      <c r="E30" s="221"/>
      <c r="F30" s="221">
        <v>0</v>
      </c>
      <c r="G30" s="221"/>
      <c r="H30" s="221">
        <f t="shared" si="4"/>
        <v>213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206</v>
      </c>
      <c r="E31" s="269"/>
      <c r="F31" s="269">
        <v>0</v>
      </c>
      <c r="G31" s="269"/>
      <c r="H31" s="269">
        <f t="shared" si="4"/>
        <v>206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199</v>
      </c>
      <c r="E32" s="221"/>
      <c r="F32" s="221">
        <v>0</v>
      </c>
      <c r="G32" s="221"/>
      <c r="H32" s="221">
        <f t="shared" si="4"/>
        <v>199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192</v>
      </c>
      <c r="E33" s="221"/>
      <c r="F33" s="221">
        <v>0</v>
      </c>
      <c r="G33" s="221"/>
      <c r="H33" s="221">
        <f t="shared" si="4"/>
        <v>192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185</v>
      </c>
      <c r="E34" s="221"/>
      <c r="F34" s="221">
        <v>0</v>
      </c>
      <c r="G34" s="221"/>
      <c r="H34" s="221">
        <f t="shared" si="4"/>
        <v>185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178</v>
      </c>
      <c r="E35" s="221"/>
      <c r="F35" s="221">
        <v>0</v>
      </c>
      <c r="G35" s="221"/>
      <c r="H35" s="221">
        <f t="shared" si="4"/>
        <v>178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171</v>
      </c>
      <c r="E36" s="269"/>
      <c r="F36" s="269">
        <v>0</v>
      </c>
      <c r="G36" s="269"/>
      <c r="H36" s="269">
        <f t="shared" si="4"/>
        <v>171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164</v>
      </c>
      <c r="E37" s="221"/>
      <c r="F37" s="221">
        <v>0</v>
      </c>
      <c r="G37" s="221"/>
      <c r="H37" s="221">
        <f>ROUND(D37*(1+F37),0)</f>
        <v>164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157</v>
      </c>
      <c r="E38" s="221"/>
      <c r="F38" s="221">
        <v>0</v>
      </c>
      <c r="G38" s="221"/>
      <c r="H38" s="221">
        <f>ROUND(D38*(1+F38),0)</f>
        <v>157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150</v>
      </c>
      <c r="E39" s="221"/>
      <c r="F39" s="221">
        <v>0</v>
      </c>
      <c r="G39" s="221"/>
      <c r="H39" s="221">
        <f>ROUND(D39*(1+F39),0)</f>
        <v>150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143</v>
      </c>
      <c r="E40" s="221"/>
      <c r="F40" s="221">
        <v>0</v>
      </c>
      <c r="G40" s="221"/>
      <c r="H40" s="221">
        <f>ROUND(D40*(1+F40),0)</f>
        <v>143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136</v>
      </c>
      <c r="E41" s="269"/>
      <c r="F41" s="269">
        <v>0</v>
      </c>
      <c r="G41" s="269"/>
      <c r="H41" s="269">
        <f>ROUND(D41*(1+F41),0)</f>
        <v>136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1267</v>
      </c>
      <c r="C42" s="223"/>
      <c r="D42" s="224" t="s">
        <v>1268</v>
      </c>
      <c r="E42" s="225">
        <f>D$12</f>
        <v>268.64115942587051</v>
      </c>
      <c r="F42" s="226"/>
      <c r="G42" s="224" t="s">
        <v>1269</v>
      </c>
      <c r="H42" s="224">
        <f>ROUND((D$12-D7)/(COUNT(D$7:D$12)-1),1)</f>
        <v>-7</v>
      </c>
      <c r="I42" s="224"/>
      <c r="J42" s="224" t="s">
        <v>1270</v>
      </c>
      <c r="K42" s="227" t="s">
        <v>1271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1272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1255</v>
      </c>
      <c r="D47" s="219" t="s">
        <v>1273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1257</v>
      </c>
      <c r="D48" s="219" t="s">
        <v>1258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1259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1274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1275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1262</v>
      </c>
      <c r="C53" s="202"/>
      <c r="D53" s="202" t="s">
        <v>1263</v>
      </c>
      <c r="E53" s="202"/>
      <c r="F53" s="202" t="s">
        <v>1264</v>
      </c>
      <c r="G53" s="202"/>
      <c r="H53" s="202" t="s">
        <v>1265</v>
      </c>
      <c r="I53" s="202"/>
      <c r="J53" s="202" t="s">
        <v>1266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269</v>
      </c>
      <c r="E54" s="221"/>
      <c r="F54" s="221">
        <v>0</v>
      </c>
      <c r="G54" s="221"/>
      <c r="H54" s="221">
        <f t="shared" ref="H54:H68" si="6">ROUND(D54*(1+F54),0)</f>
        <v>269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262</v>
      </c>
      <c r="E55" s="221"/>
      <c r="F55" s="221">
        <v>0</v>
      </c>
      <c r="G55" s="221"/>
      <c r="H55" s="221">
        <f t="shared" si="6"/>
        <v>262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256</v>
      </c>
      <c r="E56" s="221"/>
      <c r="F56" s="221">
        <v>0</v>
      </c>
      <c r="G56" s="221"/>
      <c r="H56" s="221">
        <f t="shared" si="6"/>
        <v>256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250</v>
      </c>
      <c r="E57" s="221"/>
      <c r="F57" s="221">
        <v>0</v>
      </c>
      <c r="G57" s="221"/>
      <c r="H57" s="221">
        <f t="shared" si="6"/>
        <v>250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244</v>
      </c>
      <c r="E58" s="269"/>
      <c r="F58" s="269">
        <v>0</v>
      </c>
      <c r="G58" s="269"/>
      <c r="H58" s="269">
        <f t="shared" si="6"/>
        <v>244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238</v>
      </c>
      <c r="E59" s="221"/>
      <c r="F59" s="221">
        <v>0</v>
      </c>
      <c r="G59" s="221"/>
      <c r="H59" s="221">
        <f t="shared" si="6"/>
        <v>238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232</v>
      </c>
      <c r="E60" s="221"/>
      <c r="F60" s="221">
        <v>0</v>
      </c>
      <c r="G60" s="221"/>
      <c r="H60" s="221">
        <f t="shared" si="6"/>
        <v>232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226</v>
      </c>
      <c r="E61" s="221"/>
      <c r="F61" s="221">
        <v>0</v>
      </c>
      <c r="G61" s="221"/>
      <c r="H61" s="221">
        <f t="shared" si="6"/>
        <v>226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221</v>
      </c>
      <c r="E62" s="221"/>
      <c r="F62" s="221">
        <v>0</v>
      </c>
      <c r="G62" s="221"/>
      <c r="H62" s="221">
        <f t="shared" si="6"/>
        <v>221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215</v>
      </c>
      <c r="E63" s="269"/>
      <c r="F63" s="269">
        <v>0</v>
      </c>
      <c r="G63" s="269"/>
      <c r="H63" s="269">
        <f t="shared" si="6"/>
        <v>215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210</v>
      </c>
      <c r="E64" s="221"/>
      <c r="F64" s="221">
        <v>0</v>
      </c>
      <c r="G64" s="221"/>
      <c r="H64" s="221">
        <f t="shared" si="6"/>
        <v>210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205</v>
      </c>
      <c r="E65" s="221"/>
      <c r="F65" s="221">
        <v>0</v>
      </c>
      <c r="G65" s="221"/>
      <c r="H65" s="221">
        <f t="shared" si="6"/>
        <v>205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200</v>
      </c>
      <c r="E66" s="221"/>
      <c r="F66" s="221">
        <v>0</v>
      </c>
      <c r="G66" s="221"/>
      <c r="H66" s="221">
        <f t="shared" si="6"/>
        <v>200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195</v>
      </c>
      <c r="E67" s="221"/>
      <c r="F67" s="221">
        <v>0</v>
      </c>
      <c r="G67" s="221"/>
      <c r="H67" s="221">
        <f t="shared" si="6"/>
        <v>195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191</v>
      </c>
      <c r="E68" s="269"/>
      <c r="F68" s="269">
        <v>0</v>
      </c>
      <c r="G68" s="269"/>
      <c r="H68" s="269">
        <f t="shared" si="6"/>
        <v>191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186</v>
      </c>
      <c r="E69" s="221"/>
      <c r="F69" s="221">
        <v>0</v>
      </c>
      <c r="G69" s="221"/>
      <c r="H69" s="221">
        <f>ROUND(D69*(1+F69),0)</f>
        <v>186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181</v>
      </c>
      <c r="E70" s="221"/>
      <c r="F70" s="221">
        <v>0</v>
      </c>
      <c r="G70" s="221"/>
      <c r="H70" s="221">
        <f>ROUND(D70*(1+F70),0)</f>
        <v>181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177</v>
      </c>
      <c r="E71" s="221"/>
      <c r="F71" s="221">
        <v>0</v>
      </c>
      <c r="G71" s="221"/>
      <c r="H71" s="221">
        <f>ROUND(D71*(1+F71),0)</f>
        <v>177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173</v>
      </c>
      <c r="E72" s="221"/>
      <c r="F72" s="221">
        <v>0</v>
      </c>
      <c r="G72" s="221"/>
      <c r="H72" s="221">
        <f>ROUND(D72*(1+F72),0)</f>
        <v>173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169</v>
      </c>
      <c r="E73" s="269"/>
      <c r="F73" s="269">
        <v>0</v>
      </c>
      <c r="G73" s="269"/>
      <c r="H73" s="269">
        <f>ROUND(D73*(1+F73),0)</f>
        <v>169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1276</v>
      </c>
      <c r="C74" s="223"/>
      <c r="D74" s="224" t="s">
        <v>1277</v>
      </c>
      <c r="E74" s="225">
        <f>D$12</f>
        <v>268.64115942587051</v>
      </c>
      <c r="F74" s="226"/>
      <c r="G74" s="224" t="s">
        <v>179</v>
      </c>
      <c r="H74" s="224">
        <f>ROUND((E$74/D$7)^(1/(COUNT(D$7:D$12)-1)),6)</f>
        <v>0.97578500000000001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303.66928652597164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-759.17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294.70761105439124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-442.06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321.28699426180054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-160.63999999999999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271.96972741450179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135.97999999999999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279.47468307815473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419.21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268.64115942587051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671.6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1278</v>
      </c>
      <c r="C97" s="212"/>
      <c r="D97" s="232">
        <f>SUM(D91:D96)</f>
        <v>1739.7494617606901</v>
      </c>
      <c r="E97" s="215"/>
      <c r="F97" s="233">
        <f>ROUND(SUM(F91:F96),0)</f>
        <v>18</v>
      </c>
      <c r="G97" s="212"/>
      <c r="H97" s="234">
        <f>SUM(H91:H96)</f>
        <v>-135.07999999999981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1279</v>
      </c>
      <c r="C98" s="208"/>
      <c r="D98" s="236" t="s">
        <v>1280</v>
      </c>
      <c r="E98" s="203"/>
      <c r="F98" s="203"/>
      <c r="G98" s="201">
        <f>((COUNT(B$91:B$96))*H$97-D$97*E$97)/((COUNT(B$91:B$96))*F$97-E$97*E$97)</f>
        <v>-7.5044444444444345</v>
      </c>
      <c r="H98" s="236" t="s">
        <v>1281</v>
      </c>
      <c r="I98" s="201"/>
      <c r="J98" s="201"/>
      <c r="K98" s="201">
        <f>ROUND((F97*D97-H97*E97)/(COUNT(B$91:B$96)*F97-E97*E97),0)</f>
        <v>290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1282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1262</v>
      </c>
      <c r="C102" s="202"/>
      <c r="D102" s="202" t="s">
        <v>1263</v>
      </c>
      <c r="E102" s="202"/>
      <c r="F102" s="202" t="s">
        <v>1264</v>
      </c>
      <c r="G102" s="202"/>
      <c r="H102" s="202" t="s">
        <v>1265</v>
      </c>
      <c r="I102" s="202"/>
      <c r="J102" s="202" t="s">
        <v>1266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272</v>
      </c>
      <c r="E103" s="221"/>
      <c r="F103" s="221">
        <v>0</v>
      </c>
      <c r="G103" s="221"/>
      <c r="H103" s="221">
        <f t="shared" ref="H103:H117" si="13">ROUND(D103*(1+F103),0)</f>
        <v>272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264</v>
      </c>
      <c r="E104" s="221"/>
      <c r="F104" s="221">
        <v>0</v>
      </c>
      <c r="G104" s="221"/>
      <c r="H104" s="221">
        <f t="shared" si="13"/>
        <v>264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257</v>
      </c>
      <c r="E105" s="221"/>
      <c r="F105" s="221">
        <v>0</v>
      </c>
      <c r="G105" s="221"/>
      <c r="H105" s="221">
        <f t="shared" si="13"/>
        <v>257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249</v>
      </c>
      <c r="E106" s="221"/>
      <c r="F106" s="221">
        <v>0</v>
      </c>
      <c r="G106" s="221"/>
      <c r="H106" s="221">
        <f t="shared" si="13"/>
        <v>249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242</v>
      </c>
      <c r="E107" s="269"/>
      <c r="F107" s="269">
        <v>0</v>
      </c>
      <c r="G107" s="269"/>
      <c r="H107" s="269">
        <f t="shared" si="13"/>
        <v>242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234</v>
      </c>
      <c r="E108" s="221"/>
      <c r="F108" s="221">
        <v>0</v>
      </c>
      <c r="G108" s="221"/>
      <c r="H108" s="221">
        <f t="shared" si="13"/>
        <v>234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227</v>
      </c>
      <c r="E109" s="221"/>
      <c r="F109" s="221">
        <v>0</v>
      </c>
      <c r="G109" s="221"/>
      <c r="H109" s="221">
        <f t="shared" si="13"/>
        <v>227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219</v>
      </c>
      <c r="E110" s="221"/>
      <c r="F110" s="221">
        <v>0</v>
      </c>
      <c r="G110" s="221"/>
      <c r="H110" s="221">
        <f t="shared" si="13"/>
        <v>219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212</v>
      </c>
      <c r="E111" s="221"/>
      <c r="F111" s="221">
        <v>0</v>
      </c>
      <c r="G111" s="221"/>
      <c r="H111" s="221">
        <f t="shared" si="13"/>
        <v>212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204</v>
      </c>
      <c r="E112" s="269"/>
      <c r="F112" s="269">
        <v>0</v>
      </c>
      <c r="G112" s="269"/>
      <c r="H112" s="269">
        <f t="shared" si="13"/>
        <v>204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197</v>
      </c>
      <c r="E113" s="221"/>
      <c r="F113" s="221">
        <v>0</v>
      </c>
      <c r="G113" s="221"/>
      <c r="H113" s="221">
        <f t="shared" si="13"/>
        <v>197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189</v>
      </c>
      <c r="E114" s="221"/>
      <c r="F114" s="221">
        <v>0</v>
      </c>
      <c r="G114" s="221"/>
      <c r="H114" s="221">
        <f t="shared" si="13"/>
        <v>189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182</v>
      </c>
      <c r="E115" s="221"/>
      <c r="F115" s="221">
        <v>0</v>
      </c>
      <c r="G115" s="221"/>
      <c r="H115" s="221">
        <f t="shared" si="13"/>
        <v>182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174</v>
      </c>
      <c r="E116" s="221"/>
      <c r="F116" s="221">
        <v>0</v>
      </c>
      <c r="G116" s="221"/>
      <c r="H116" s="221">
        <f t="shared" si="13"/>
        <v>174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167</v>
      </c>
      <c r="E117" s="269"/>
      <c r="F117" s="269">
        <v>0</v>
      </c>
      <c r="G117" s="269"/>
      <c r="H117" s="269">
        <f t="shared" si="13"/>
        <v>167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159</v>
      </c>
      <c r="E118" s="221"/>
      <c r="F118" s="221">
        <v>0</v>
      </c>
      <c r="G118" s="221"/>
      <c r="H118" s="221">
        <f>ROUND(D118*(1+F118),0)</f>
        <v>159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152</v>
      </c>
      <c r="E119" s="221"/>
      <c r="F119" s="221">
        <v>0</v>
      </c>
      <c r="G119" s="221"/>
      <c r="H119" s="221">
        <f>ROUND(D119*(1+F119),0)</f>
        <v>152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144</v>
      </c>
      <c r="E120" s="221"/>
      <c r="F120" s="221">
        <v>0</v>
      </c>
      <c r="G120" s="221"/>
      <c r="H120" s="221">
        <f>ROUND(D120*(1+F120),0)</f>
        <v>144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137</v>
      </c>
      <c r="E121" s="221"/>
      <c r="F121" s="221">
        <v>0</v>
      </c>
      <c r="G121" s="221"/>
      <c r="H121" s="221">
        <f>ROUND(D121*(1+F121),0)</f>
        <v>137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129</v>
      </c>
      <c r="E122" s="269"/>
      <c r="F122" s="269">
        <v>0</v>
      </c>
      <c r="G122" s="269"/>
      <c r="H122" s="269">
        <f>ROUND(D122*(1+F122),0)</f>
        <v>129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1283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1255</v>
      </c>
      <c r="D126" s="219" t="s">
        <v>1284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1285</v>
      </c>
      <c r="D127" s="219" t="s">
        <v>1286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1287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1288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1289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1262</v>
      </c>
      <c r="C131" s="202"/>
      <c r="D131" s="202" t="s">
        <v>1290</v>
      </c>
      <c r="E131" s="202" t="s">
        <v>1291</v>
      </c>
      <c r="F131" s="202" t="s">
        <v>1291</v>
      </c>
      <c r="G131" s="202" t="s">
        <v>1292</v>
      </c>
      <c r="H131" s="202" t="s">
        <v>1293</v>
      </c>
      <c r="I131" s="202"/>
      <c r="J131" s="202" t="s">
        <v>1294</v>
      </c>
      <c r="K131" s="202" t="s">
        <v>1295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303.66928652597164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294.70761105439124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8.9616754715804063</v>
      </c>
      <c r="I133" s="231"/>
      <c r="J133" s="247">
        <f t="shared" ref="J133:J137" si="20">IF(H133="","",LOG(H133))</f>
        <v>0.95238921279128907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321.28699426180054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26.579383207409307</v>
      </c>
      <c r="I134" s="231"/>
      <c r="J134" s="247">
        <f t="shared" si="20"/>
        <v>1.424544898626027</v>
      </c>
      <c r="K134" s="247">
        <f t="shared" si="17"/>
        <v>0.42883074465653942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271.96972741450179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49.317266847298754</v>
      </c>
      <c r="I135" s="231"/>
      <c r="J135" s="247">
        <f t="shared" si="20"/>
        <v>1.6929990000804824</v>
      </c>
      <c r="K135" s="247">
        <f t="shared" si="17"/>
        <v>0.80776580715753366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279.47468307815473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7.504955663652936</v>
      </c>
      <c r="I136" s="231"/>
      <c r="J136" s="247">
        <f t="shared" si="20"/>
        <v>0.87534813094467856</v>
      </c>
      <c r="K136" s="247">
        <f t="shared" si="17"/>
        <v>0.52701208812550127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268.64115942587051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10.833523652284214</v>
      </c>
      <c r="I137" s="231"/>
      <c r="J137" s="247">
        <f t="shared" si="20"/>
        <v>1.0347697358355945</v>
      </c>
      <c r="K137" s="247">
        <f t="shared" si="17"/>
        <v>0.72327300674378658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1278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5.9800509782780722</v>
      </c>
      <c r="K138" s="253">
        <f>IF(K137="","",SUM(K132:K137))</f>
        <v>2.486881646683361</v>
      </c>
      <c r="L138" s="203"/>
      <c r="M138" s="203"/>
      <c r="N138" s="203"/>
      <c r="O138" s="203"/>
    </row>
    <row r="139" spans="1:15" ht="15" customHeight="1">
      <c r="A139" s="203"/>
      <c r="B139" s="208" t="s">
        <v>1296</v>
      </c>
      <c r="C139" s="208"/>
      <c r="D139" s="201" t="s">
        <v>1269</v>
      </c>
      <c r="E139" s="201">
        <f>IF(G138="",0,10^ROUND((G138*J138-F138*K138)/((COUNT(B$132:B$137)-1)*G138-F138*F138),5))</f>
        <v>15.696036501535312</v>
      </c>
      <c r="F139" s="238" t="s">
        <v>1297</v>
      </c>
      <c r="G139" s="203"/>
      <c r="H139" s="208"/>
      <c r="I139" s="203"/>
      <c r="J139" s="254">
        <f>IF(G138="",0,ROUND(((COUNT(B$132:B$137)-1)*K138-J138*F138)/((COUNT(B$132:B$137)-1)*G138-F138*F138),5))</f>
        <v>5.2999999999999998E-4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1298</v>
      </c>
      <c r="E140" s="219"/>
      <c r="F140" s="219"/>
      <c r="G140" s="256"/>
      <c r="H140" s="201" t="s">
        <v>1299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1282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1262</v>
      </c>
      <c r="C143" s="202"/>
      <c r="D143" s="202" t="s">
        <v>1263</v>
      </c>
      <c r="E143" s="202"/>
      <c r="F143" s="202" t="s">
        <v>1264</v>
      </c>
      <c r="G143" s="202"/>
      <c r="H143" s="202" t="s">
        <v>1265</v>
      </c>
      <c r="I143" s="202"/>
      <c r="J143" s="202" t="s">
        <v>1266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320</v>
      </c>
      <c r="E144" s="257"/>
      <c r="F144" s="258">
        <v>0</v>
      </c>
      <c r="G144" s="258"/>
      <c r="H144" s="258">
        <f t="shared" ref="H144:H158" si="21">ROUND(D144*(1+F144),0)</f>
        <v>320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320</v>
      </c>
      <c r="E145" s="257"/>
      <c r="F145" s="258">
        <v>0</v>
      </c>
      <c r="G145" s="258"/>
      <c r="H145" s="258">
        <f t="shared" si="21"/>
        <v>320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320</v>
      </c>
      <c r="E146" s="257"/>
      <c r="F146" s="258">
        <v>0</v>
      </c>
      <c r="G146" s="258"/>
      <c r="H146" s="258">
        <f t="shared" si="21"/>
        <v>320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320</v>
      </c>
      <c r="E147" s="257"/>
      <c r="F147" s="258">
        <v>0</v>
      </c>
      <c r="G147" s="258"/>
      <c r="H147" s="258">
        <f t="shared" si="21"/>
        <v>320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320</v>
      </c>
      <c r="E148" s="271"/>
      <c r="F148" s="272">
        <v>0</v>
      </c>
      <c r="G148" s="272"/>
      <c r="H148" s="272">
        <f t="shared" si="21"/>
        <v>320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320</v>
      </c>
      <c r="E149" s="257"/>
      <c r="F149" s="258">
        <v>0</v>
      </c>
      <c r="G149" s="258"/>
      <c r="H149" s="258">
        <f t="shared" si="21"/>
        <v>320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320</v>
      </c>
      <c r="E150" s="257"/>
      <c r="F150" s="258">
        <v>0</v>
      </c>
      <c r="G150" s="258"/>
      <c r="H150" s="258">
        <f t="shared" si="21"/>
        <v>320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320</v>
      </c>
      <c r="E151" s="257"/>
      <c r="F151" s="258">
        <v>0</v>
      </c>
      <c r="G151" s="258"/>
      <c r="H151" s="258">
        <f t="shared" si="21"/>
        <v>320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320</v>
      </c>
      <c r="E152" s="257"/>
      <c r="F152" s="258">
        <v>0</v>
      </c>
      <c r="G152" s="258"/>
      <c r="H152" s="258">
        <f t="shared" si="21"/>
        <v>320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320</v>
      </c>
      <c r="E153" s="271"/>
      <c r="F153" s="272">
        <v>0</v>
      </c>
      <c r="G153" s="272"/>
      <c r="H153" s="272">
        <f t="shared" si="21"/>
        <v>320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320</v>
      </c>
      <c r="E154" s="257"/>
      <c r="F154" s="258">
        <v>0</v>
      </c>
      <c r="G154" s="258"/>
      <c r="H154" s="258">
        <f t="shared" si="21"/>
        <v>320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320</v>
      </c>
      <c r="E155" s="257"/>
      <c r="F155" s="258">
        <v>0</v>
      </c>
      <c r="G155" s="258"/>
      <c r="H155" s="258">
        <f t="shared" si="21"/>
        <v>320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320</v>
      </c>
      <c r="E156" s="257"/>
      <c r="F156" s="258">
        <v>0</v>
      </c>
      <c r="G156" s="258"/>
      <c r="H156" s="258">
        <f t="shared" si="21"/>
        <v>320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320</v>
      </c>
      <c r="E157" s="257"/>
      <c r="F157" s="258">
        <v>0</v>
      </c>
      <c r="G157" s="258"/>
      <c r="H157" s="258">
        <f t="shared" si="21"/>
        <v>320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320</v>
      </c>
      <c r="E158" s="271"/>
      <c r="F158" s="272">
        <v>0</v>
      </c>
      <c r="G158" s="272"/>
      <c r="H158" s="272">
        <f t="shared" si="21"/>
        <v>320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320</v>
      </c>
      <c r="E159" s="257"/>
      <c r="F159" s="258">
        <v>0</v>
      </c>
      <c r="G159" s="258"/>
      <c r="H159" s="258">
        <f>ROUND(D159*(1+F159),0)</f>
        <v>320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320</v>
      </c>
      <c r="E160" s="257"/>
      <c r="F160" s="258">
        <v>0</v>
      </c>
      <c r="G160" s="258"/>
      <c r="H160" s="258">
        <f>ROUND(D160*(1+F160),0)</f>
        <v>320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320</v>
      </c>
      <c r="E161" s="257"/>
      <c r="F161" s="258">
        <v>0</v>
      </c>
      <c r="G161" s="258"/>
      <c r="H161" s="258">
        <f>ROUND(D161*(1+F161),0)</f>
        <v>320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320</v>
      </c>
      <c r="E162" s="257"/>
      <c r="F162" s="258">
        <v>0</v>
      </c>
      <c r="G162" s="258"/>
      <c r="H162" s="258">
        <f>ROUND(D162*(1+F162),0)</f>
        <v>320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320</v>
      </c>
      <c r="E163" s="271"/>
      <c r="F163" s="272">
        <v>0</v>
      </c>
      <c r="G163" s="272"/>
      <c r="H163" s="272">
        <f>ROUND(D163*(1+F163),0)</f>
        <v>320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1300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1255</v>
      </c>
      <c r="D170" s="219" t="s">
        <v>1301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1285</v>
      </c>
      <c r="D171" s="219" t="s">
        <v>1286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1302</v>
      </c>
      <c r="E172" s="2250">
        <v>600</v>
      </c>
      <c r="F172" s="2250"/>
      <c r="G172" s="219" t="s">
        <v>1303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1304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1262</v>
      </c>
      <c r="C174" s="202"/>
      <c r="D174" s="202" t="s">
        <v>1290</v>
      </c>
      <c r="E174" s="202" t="s">
        <v>1291</v>
      </c>
      <c r="F174" s="202" t="s">
        <v>1292</v>
      </c>
      <c r="G174" s="202" t="s">
        <v>1305</v>
      </c>
      <c r="H174" s="202" t="s">
        <v>1306</v>
      </c>
      <c r="I174" s="202" t="s">
        <v>1307</v>
      </c>
      <c r="J174" s="202" t="s">
        <v>1294</v>
      </c>
      <c r="K174" s="202" t="s">
        <v>1308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303.66928652597164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296.33071347402836</v>
      </c>
      <c r="H175" s="259">
        <f t="shared" ref="H175:H180" si="28">LOG(D175)</f>
        <v>2.4824008690772592</v>
      </c>
      <c r="I175" s="245">
        <f t="shared" ref="I175:I180" si="29">LOG(G175)</f>
        <v>2.4717766666707903</v>
      </c>
      <c r="J175" s="246">
        <f t="shared" ref="J175:J180" si="30">H175-I175</f>
        <v>1.0624202406468886E-2</v>
      </c>
      <c r="K175" s="246">
        <f t="shared" ref="K175:K180" si="31">E175*J175</f>
        <v>-2.6560506016172214E-2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294.70761105439124</v>
      </c>
      <c r="E176" s="244">
        <f t="shared" si="25"/>
        <v>-1.5</v>
      </c>
      <c r="F176" s="206">
        <f t="shared" si="26"/>
        <v>2.25</v>
      </c>
      <c r="G176" s="844">
        <f t="shared" si="27"/>
        <v>305.29238894560876</v>
      </c>
      <c r="H176" s="259">
        <f t="shared" si="28"/>
        <v>2.469391351989187</v>
      </c>
      <c r="I176" s="245">
        <f t="shared" si="29"/>
        <v>2.4847159773084027</v>
      </c>
      <c r="J176" s="246">
        <f t="shared" si="30"/>
        <v>-1.5324625319215635E-2</v>
      </c>
      <c r="K176" s="246">
        <f t="shared" si="31"/>
        <v>2.2986937978823452E-2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321.28699426180054</v>
      </c>
      <c r="E177" s="244">
        <f t="shared" si="25"/>
        <v>-0.5</v>
      </c>
      <c r="F177" s="206">
        <f t="shared" si="26"/>
        <v>0.25</v>
      </c>
      <c r="G177" s="844">
        <f t="shared" si="27"/>
        <v>278.71300573819946</v>
      </c>
      <c r="H177" s="259">
        <f t="shared" si="28"/>
        <v>2.50689314561173</v>
      </c>
      <c r="I177" s="245">
        <f t="shared" si="29"/>
        <v>2.4451572349083013</v>
      </c>
      <c r="J177" s="246">
        <f t="shared" si="30"/>
        <v>6.1735910703428765E-2</v>
      </c>
      <c r="K177" s="246">
        <f t="shared" si="31"/>
        <v>-3.0867955351714382E-2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271.96972741450179</v>
      </c>
      <c r="E178" s="244">
        <f t="shared" si="25"/>
        <v>0.5</v>
      </c>
      <c r="F178" s="206">
        <f t="shared" si="26"/>
        <v>0.25</v>
      </c>
      <c r="G178" s="844">
        <f t="shared" si="27"/>
        <v>328.03027258549821</v>
      </c>
      <c r="H178" s="259">
        <f t="shared" si="28"/>
        <v>2.4345205659882163</v>
      </c>
      <c r="I178" s="245">
        <f t="shared" si="29"/>
        <v>2.5159139248402291</v>
      </c>
      <c r="J178" s="246">
        <f t="shared" si="30"/>
        <v>-8.139335885201282E-2</v>
      </c>
      <c r="K178" s="246">
        <f t="shared" si="31"/>
        <v>-4.069667942600641E-2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279.47468307815473</v>
      </c>
      <c r="E179" s="244">
        <f t="shared" si="25"/>
        <v>1.5</v>
      </c>
      <c r="F179" s="206">
        <f t="shared" si="26"/>
        <v>2.25</v>
      </c>
      <c r="G179" s="844">
        <f t="shared" si="27"/>
        <v>320.52531692184527</v>
      </c>
      <c r="H179" s="259">
        <f t="shared" si="28"/>
        <v>2.4463424723389142</v>
      </c>
      <c r="I179" s="245">
        <f t="shared" si="29"/>
        <v>2.5058623382705019</v>
      </c>
      <c r="J179" s="246">
        <f t="shared" si="30"/>
        <v>-5.9519865931587645E-2</v>
      </c>
      <c r="K179" s="246">
        <f t="shared" si="31"/>
        <v>-8.9279798897381468E-2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268.64115942587051</v>
      </c>
      <c r="E180" s="244">
        <f t="shared" si="25"/>
        <v>2.5</v>
      </c>
      <c r="F180" s="206">
        <f t="shared" si="26"/>
        <v>6.25</v>
      </c>
      <c r="G180" s="844">
        <f t="shared" si="27"/>
        <v>331.35884057412949</v>
      </c>
      <c r="H180" s="259">
        <f t="shared" si="28"/>
        <v>2.4291725531655159</v>
      </c>
      <c r="I180" s="245">
        <f t="shared" si="29"/>
        <v>2.5202985619539566</v>
      </c>
      <c r="J180" s="246">
        <f t="shared" si="30"/>
        <v>-9.1126008788440682E-2</v>
      </c>
      <c r="K180" s="246">
        <f t="shared" si="31"/>
        <v>-0.22781502197110171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1278</v>
      </c>
      <c r="C181" s="212"/>
      <c r="D181" s="260">
        <f>SUM(D175:D180)</f>
        <v>1739.7494617606901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-0.17500374578135913</v>
      </c>
      <c r="K181" s="263">
        <f>SUM(K175:K180)</f>
        <v>-0.39223302368355273</v>
      </c>
      <c r="L181" s="203"/>
      <c r="M181" s="203"/>
      <c r="N181" s="203"/>
      <c r="O181" s="203"/>
    </row>
    <row r="182" spans="1:15" ht="15" customHeight="1">
      <c r="A182" s="203"/>
      <c r="B182" s="208" t="s">
        <v>1309</v>
      </c>
      <c r="C182" s="208"/>
      <c r="D182" s="201" t="s">
        <v>1310</v>
      </c>
      <c r="E182" s="236" t="s">
        <v>1311</v>
      </c>
      <c r="F182" s="203"/>
      <c r="G182" s="219" t="str">
        <f>"X = x × LOG e = "&amp;E181&amp;" 이고,"</f>
        <v>X = x × LOG e = 0 이고,</v>
      </c>
      <c r="H182" s="219"/>
      <c r="I182" s="219" t="s">
        <v>1312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1313</v>
      </c>
      <c r="E183" s="219"/>
      <c r="F183" s="219"/>
      <c r="G183" s="219"/>
      <c r="H183" s="254">
        <f>ROUND(((E$181*K$181-F$181*J$181)/(COUNT(B$175:B$180)*F$181-E$181*E$181))/LOG(EXP(1)),5)</f>
        <v>6.7159999999999997E-2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1314</v>
      </c>
      <c r="E184" s="219"/>
      <c r="F184" s="219"/>
      <c r="G184" s="264" t="s">
        <v>1315</v>
      </c>
      <c r="H184" s="219"/>
      <c r="I184" s="219"/>
      <c r="J184" s="219"/>
      <c r="K184" s="265">
        <f>ROUND((COUNT(B$175:B$180)*K181-E181*J181)/(LOG(EXP(1))*(COUNT(B$175:B$180)*F181-E181*E181)),6)</f>
        <v>-5.0174999999999997E-2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1282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1262</v>
      </c>
      <c r="C187" s="202"/>
      <c r="D187" s="202" t="s">
        <v>1263</v>
      </c>
      <c r="E187" s="202"/>
      <c r="F187" s="202" t="s">
        <v>1264</v>
      </c>
      <c r="G187" s="202"/>
      <c r="H187" s="202" t="s">
        <v>1265</v>
      </c>
      <c r="I187" s="202"/>
      <c r="J187" s="202" t="s">
        <v>1266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257</v>
      </c>
      <c r="E188" s="221"/>
      <c r="F188" s="221">
        <v>0</v>
      </c>
      <c r="G188" s="221"/>
      <c r="H188" s="221">
        <f t="shared" ref="H188:H202" si="33">ROUND(D188*(1+F188),0)</f>
        <v>257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250</v>
      </c>
      <c r="E189" s="221"/>
      <c r="F189" s="221">
        <v>0</v>
      </c>
      <c r="G189" s="221"/>
      <c r="H189" s="221">
        <f t="shared" si="33"/>
        <v>250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242</v>
      </c>
      <c r="E190" s="221"/>
      <c r="F190" s="221">
        <v>0</v>
      </c>
      <c r="G190" s="221"/>
      <c r="H190" s="221">
        <f t="shared" si="33"/>
        <v>242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235</v>
      </c>
      <c r="E191" s="221"/>
      <c r="F191" s="221">
        <v>0</v>
      </c>
      <c r="G191" s="221"/>
      <c r="H191" s="221">
        <f t="shared" si="33"/>
        <v>235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228</v>
      </c>
      <c r="E192" s="269"/>
      <c r="F192" s="269">
        <v>0</v>
      </c>
      <c r="G192" s="269"/>
      <c r="H192" s="269">
        <f t="shared" si="33"/>
        <v>228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221</v>
      </c>
      <c r="E193" s="221"/>
      <c r="F193" s="221">
        <v>0</v>
      </c>
      <c r="G193" s="221"/>
      <c r="H193" s="221">
        <f t="shared" si="33"/>
        <v>221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214</v>
      </c>
      <c r="E194" s="221"/>
      <c r="F194" s="221">
        <v>0</v>
      </c>
      <c r="G194" s="221"/>
      <c r="H194" s="221">
        <f t="shared" si="33"/>
        <v>214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207</v>
      </c>
      <c r="E195" s="221"/>
      <c r="F195" s="221">
        <v>0</v>
      </c>
      <c r="G195" s="221"/>
      <c r="H195" s="221">
        <f t="shared" si="33"/>
        <v>207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200</v>
      </c>
      <c r="E196" s="221"/>
      <c r="F196" s="221">
        <v>0</v>
      </c>
      <c r="G196" s="221"/>
      <c r="H196" s="221">
        <f t="shared" si="33"/>
        <v>200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194</v>
      </c>
      <c r="E197" s="269"/>
      <c r="F197" s="269">
        <v>0</v>
      </c>
      <c r="G197" s="269"/>
      <c r="H197" s="269">
        <f t="shared" si="33"/>
        <v>194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187</v>
      </c>
      <c r="E198" s="221"/>
      <c r="F198" s="221">
        <v>0</v>
      </c>
      <c r="G198" s="221"/>
      <c r="H198" s="221">
        <f t="shared" si="33"/>
        <v>187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181</v>
      </c>
      <c r="E199" s="221"/>
      <c r="F199" s="221">
        <v>0</v>
      </c>
      <c r="G199" s="221"/>
      <c r="H199" s="221">
        <f t="shared" si="33"/>
        <v>181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175</v>
      </c>
      <c r="E200" s="221"/>
      <c r="F200" s="221">
        <v>0</v>
      </c>
      <c r="G200" s="221"/>
      <c r="H200" s="221">
        <f t="shared" si="33"/>
        <v>175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168</v>
      </c>
      <c r="E201" s="221"/>
      <c r="F201" s="221">
        <v>0</v>
      </c>
      <c r="G201" s="221"/>
      <c r="H201" s="221">
        <f t="shared" si="33"/>
        <v>168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162</v>
      </c>
      <c r="E202" s="269"/>
      <c r="F202" s="269">
        <v>0</v>
      </c>
      <c r="G202" s="269"/>
      <c r="H202" s="269">
        <f t="shared" si="33"/>
        <v>162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157</v>
      </c>
      <c r="E203" s="221"/>
      <c r="F203" s="221">
        <v>0</v>
      </c>
      <c r="G203" s="221"/>
      <c r="H203" s="221">
        <f>ROUND(D203*(1+F203),0)</f>
        <v>157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151</v>
      </c>
      <c r="E204" s="221"/>
      <c r="F204" s="221">
        <v>0</v>
      </c>
      <c r="G204" s="221"/>
      <c r="H204" s="221">
        <f>ROUND(D204*(1+F204),0)</f>
        <v>151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145</v>
      </c>
      <c r="E205" s="221"/>
      <c r="F205" s="221">
        <v>0</v>
      </c>
      <c r="G205" s="221"/>
      <c r="H205" s="221">
        <f>ROUND(D205*(1+F205),0)</f>
        <v>145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140</v>
      </c>
      <c r="E206" s="221"/>
      <c r="F206" s="221">
        <v>0</v>
      </c>
      <c r="G206" s="221"/>
      <c r="H206" s="221">
        <f>ROUND(D206*(1+F206),0)</f>
        <v>140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135</v>
      </c>
      <c r="E207" s="269"/>
      <c r="F207" s="269">
        <v>0</v>
      </c>
      <c r="G207" s="269"/>
      <c r="H207" s="269">
        <f>ROUND(D207*(1+F207),0)</f>
        <v>135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1316</v>
      </c>
      <c r="G213" s="208"/>
      <c r="H213" s="203"/>
      <c r="I213" s="203"/>
      <c r="J213" s="203"/>
      <c r="K213" s="228" t="s">
        <v>1317</v>
      </c>
      <c r="L213" s="203"/>
      <c r="M213" s="203"/>
      <c r="N213" s="203"/>
      <c r="O213" s="203"/>
    </row>
    <row r="214" spans="1:15" ht="15" customHeight="1">
      <c r="A214" s="203"/>
      <c r="B214" s="202" t="s">
        <v>1262</v>
      </c>
      <c r="C214" s="202"/>
      <c r="D214" s="202" t="s">
        <v>1318</v>
      </c>
      <c r="E214" s="202" t="s">
        <v>1319</v>
      </c>
      <c r="F214" s="202" t="s">
        <v>1320</v>
      </c>
      <c r="G214" s="202" t="s">
        <v>1321</v>
      </c>
      <c r="H214" s="202" t="s">
        <v>1322</v>
      </c>
      <c r="I214" s="202" t="s">
        <v>1323</v>
      </c>
      <c r="J214" s="202" t="s">
        <v>1324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269</v>
      </c>
      <c r="E215" s="257">
        <f t="array" ref="E215">IF(B54=B215,H54)</f>
        <v>269</v>
      </c>
      <c r="F215" s="257">
        <f t="array" ref="F215">IF(B103=B215,H103)</f>
        <v>272</v>
      </c>
      <c r="G215" s="257">
        <f t="array" ref="G215">IF(B144=B215,H144)</f>
        <v>320</v>
      </c>
      <c r="H215" s="257">
        <f t="array" ref="H215">IF(B188=B215,H188)</f>
        <v>257</v>
      </c>
      <c r="I215" s="257">
        <f t="shared" ref="I215:I229" si="34">IF(G215=0,AVERAGE(D215,E215,F215,H215),AVERAGE(D215:H215))</f>
        <v>277.39999999999998</v>
      </c>
      <c r="J215" s="266">
        <f t="shared" ref="J215:J229" si="35">ROUND(AVERAGE(D215,F215:G215),0)</f>
        <v>287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262</v>
      </c>
      <c r="E216" s="257">
        <f t="array" ref="E216">IF(B55=B216,H55)</f>
        <v>262</v>
      </c>
      <c r="F216" s="257">
        <f t="array" ref="F216">IF(B104=B216,H104)</f>
        <v>264</v>
      </c>
      <c r="G216" s="257">
        <f t="array" ref="G216">IF(B145=B216,H145)</f>
        <v>320</v>
      </c>
      <c r="H216" s="257">
        <f t="array" ref="H216">IF(B189=B216,H189)</f>
        <v>250</v>
      </c>
      <c r="I216" s="257">
        <f t="shared" si="34"/>
        <v>271.60000000000002</v>
      </c>
      <c r="J216" s="266">
        <f t="shared" si="35"/>
        <v>282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255</v>
      </c>
      <c r="E217" s="257">
        <f t="array" ref="E217">IF(B56=B217,H56)</f>
        <v>256</v>
      </c>
      <c r="F217" s="257">
        <f t="array" ref="F217">IF(B105=B217,H105)</f>
        <v>257</v>
      </c>
      <c r="G217" s="257">
        <f t="array" ref="G217">IF(B146=B217,H146)</f>
        <v>320</v>
      </c>
      <c r="H217" s="257">
        <f t="array" ref="H217">IF(B190=B217,H190)</f>
        <v>242</v>
      </c>
      <c r="I217" s="257">
        <f t="shared" si="34"/>
        <v>266</v>
      </c>
      <c r="J217" s="266">
        <f t="shared" si="35"/>
        <v>277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248</v>
      </c>
      <c r="E218" s="257">
        <f t="array" ref="E218">IF(B57=B218,H57)</f>
        <v>250</v>
      </c>
      <c r="F218" s="257">
        <f t="array" ref="F218">IF(B106=B218,H106)</f>
        <v>249</v>
      </c>
      <c r="G218" s="257">
        <f t="array" ref="G218">IF(B147=B218,H147)</f>
        <v>320</v>
      </c>
      <c r="H218" s="257">
        <f t="array" ref="H218">IF(B191=B218,H191)</f>
        <v>235</v>
      </c>
      <c r="I218" s="257">
        <f t="shared" si="34"/>
        <v>260.39999999999998</v>
      </c>
      <c r="J218" s="266">
        <f t="shared" si="35"/>
        <v>272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241</v>
      </c>
      <c r="E219" s="271">
        <f t="array" ref="E219">IF(B58=B219,H58)</f>
        <v>244</v>
      </c>
      <c r="F219" s="271">
        <f t="array" ref="F219">IF(B107=B219,H107)</f>
        <v>242</v>
      </c>
      <c r="G219" s="271">
        <f t="array" ref="G219">IF(B148=B219,H148)</f>
        <v>320</v>
      </c>
      <c r="H219" s="271">
        <f t="array" ref="H219">IF(B192=B219,H192)</f>
        <v>228</v>
      </c>
      <c r="I219" s="271">
        <f t="shared" si="34"/>
        <v>255</v>
      </c>
      <c r="J219" s="273">
        <f t="shared" si="35"/>
        <v>268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234</v>
      </c>
      <c r="E220" s="257">
        <f t="array" ref="E220">IF(B59=B220,H59)</f>
        <v>238</v>
      </c>
      <c r="F220" s="257">
        <f t="array" ref="F220">IF(B108=B220,H108)</f>
        <v>234</v>
      </c>
      <c r="G220" s="257">
        <f t="array" ref="G220">IF(B149=B220,H149)</f>
        <v>320</v>
      </c>
      <c r="H220" s="257">
        <f t="array" ref="H220">IF(B193=B220,H193)</f>
        <v>221</v>
      </c>
      <c r="I220" s="257">
        <f t="shared" si="34"/>
        <v>249.4</v>
      </c>
      <c r="J220" s="266">
        <f t="shared" si="35"/>
        <v>263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227</v>
      </c>
      <c r="E221" s="257">
        <f t="array" ref="E221">IF(B60=B221,H60)</f>
        <v>232</v>
      </c>
      <c r="F221" s="257">
        <f t="array" ref="F221">IF(B109=B221,H109)</f>
        <v>227</v>
      </c>
      <c r="G221" s="257">
        <f t="array" ref="G221">IF(B150=B221,H150)</f>
        <v>320</v>
      </c>
      <c r="H221" s="257">
        <f t="array" ref="H221">IF(B194=B221,H194)</f>
        <v>214</v>
      </c>
      <c r="I221" s="257">
        <f t="shared" si="34"/>
        <v>244</v>
      </c>
      <c r="J221" s="266">
        <f t="shared" si="35"/>
        <v>258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220</v>
      </c>
      <c r="E222" s="257">
        <f t="array" ref="E222">IF(B61=B222,H61)</f>
        <v>226</v>
      </c>
      <c r="F222" s="257">
        <f t="array" ref="F222">IF(B110=B222,H110)</f>
        <v>219</v>
      </c>
      <c r="G222" s="257">
        <f t="array" ref="G222">IF(B151=B222,H151)</f>
        <v>320</v>
      </c>
      <c r="H222" s="257">
        <f t="array" ref="H222">IF(B195=B222,H195)</f>
        <v>207</v>
      </c>
      <c r="I222" s="257">
        <f t="shared" si="34"/>
        <v>238.4</v>
      </c>
      <c r="J222" s="266">
        <f t="shared" si="35"/>
        <v>253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213</v>
      </c>
      <c r="E223" s="257">
        <f t="array" ref="E223">IF(B62=B223,H62)</f>
        <v>221</v>
      </c>
      <c r="F223" s="257">
        <f t="array" ref="F223">IF(B111=B223,H111)</f>
        <v>212</v>
      </c>
      <c r="G223" s="257">
        <f t="array" ref="G223">IF(B152=B223,H152)</f>
        <v>320</v>
      </c>
      <c r="H223" s="257">
        <f t="array" ref="H223">IF(B196=B223,H196)</f>
        <v>200</v>
      </c>
      <c r="I223" s="257">
        <f t="shared" si="34"/>
        <v>233.2</v>
      </c>
      <c r="J223" s="266">
        <f t="shared" si="35"/>
        <v>248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206</v>
      </c>
      <c r="E224" s="271">
        <f t="array" ref="E224">IF(B63=B224,H63)</f>
        <v>215</v>
      </c>
      <c r="F224" s="271">
        <f t="array" ref="F224">IF(B112=B224,H112)</f>
        <v>204</v>
      </c>
      <c r="G224" s="271">
        <f t="array" ref="G224">IF(B153=B224,H153)</f>
        <v>320</v>
      </c>
      <c r="H224" s="271">
        <f t="array" ref="H224">IF(B197=B224,H197)</f>
        <v>194</v>
      </c>
      <c r="I224" s="271">
        <f t="shared" si="34"/>
        <v>227.8</v>
      </c>
      <c r="J224" s="273">
        <f t="shared" si="35"/>
        <v>243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199</v>
      </c>
      <c r="E225" s="257">
        <f t="array" ref="E225">IF(B64=B225,H64)</f>
        <v>210</v>
      </c>
      <c r="F225" s="257">
        <f t="array" ref="F225">IF(B113=B225,H113)</f>
        <v>197</v>
      </c>
      <c r="G225" s="257">
        <f t="array" ref="G225">IF(B154=B225,H154)</f>
        <v>320</v>
      </c>
      <c r="H225" s="257">
        <f t="array" ref="H225">IF(B198=B225,H198)</f>
        <v>187</v>
      </c>
      <c r="I225" s="257">
        <f t="shared" si="34"/>
        <v>222.6</v>
      </c>
      <c r="J225" s="266">
        <f t="shared" si="35"/>
        <v>239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192</v>
      </c>
      <c r="E226" s="257">
        <f t="array" ref="E226">IF(B65=B226,H65)</f>
        <v>205</v>
      </c>
      <c r="F226" s="257">
        <f t="array" ref="F226">IF(B114=B226,H114)</f>
        <v>189</v>
      </c>
      <c r="G226" s="257">
        <f t="array" ref="G226">IF(B155=B226,H155)</f>
        <v>320</v>
      </c>
      <c r="H226" s="257">
        <f t="array" ref="H226">IF(B199=B226,H199)</f>
        <v>181</v>
      </c>
      <c r="I226" s="257">
        <f t="shared" si="34"/>
        <v>217.4</v>
      </c>
      <c r="J226" s="266">
        <f t="shared" si="35"/>
        <v>234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185</v>
      </c>
      <c r="E227" s="257">
        <f t="array" ref="E227">IF(B66=B227,H66)</f>
        <v>200</v>
      </c>
      <c r="F227" s="257">
        <f t="array" ref="F227">IF(B115=B227,H115)</f>
        <v>182</v>
      </c>
      <c r="G227" s="257">
        <f t="array" ref="G227">IF(B156=B227,H156)</f>
        <v>320</v>
      </c>
      <c r="H227" s="257">
        <f t="array" ref="H227">IF(B200=B227,H200)</f>
        <v>175</v>
      </c>
      <c r="I227" s="257">
        <f t="shared" si="34"/>
        <v>212.4</v>
      </c>
      <c r="J227" s="266">
        <f t="shared" si="35"/>
        <v>229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178</v>
      </c>
      <c r="E228" s="257">
        <f t="array" ref="E228">IF(B67=B228,H67)</f>
        <v>195</v>
      </c>
      <c r="F228" s="257">
        <f t="array" ref="F228">IF(B116=B228,H116)</f>
        <v>174</v>
      </c>
      <c r="G228" s="257">
        <f t="array" ref="G228">IF(B157=B228,H157)</f>
        <v>320</v>
      </c>
      <c r="H228" s="257">
        <f t="array" ref="H228">IF(B201=B228,H201)</f>
        <v>168</v>
      </c>
      <c r="I228" s="257">
        <f t="shared" si="34"/>
        <v>207</v>
      </c>
      <c r="J228" s="266">
        <f t="shared" si="35"/>
        <v>224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171</v>
      </c>
      <c r="E229" s="271">
        <f t="array" ref="E229">IF(B68=B229,H68)</f>
        <v>191</v>
      </c>
      <c r="F229" s="271">
        <f t="array" ref="F229">IF(B117=B229,H117)</f>
        <v>167</v>
      </c>
      <c r="G229" s="271">
        <f t="array" ref="G229">IF(B158=B229,H158)</f>
        <v>320</v>
      </c>
      <c r="H229" s="271">
        <f t="array" ref="H229">IF(B202=B229,H202)</f>
        <v>162</v>
      </c>
      <c r="I229" s="271">
        <f t="shared" si="34"/>
        <v>202.2</v>
      </c>
      <c r="J229" s="273">
        <f t="shared" si="35"/>
        <v>219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164</v>
      </c>
      <c r="E230" s="257">
        <f t="array" ref="E230">IF(B69=B230,H69)</f>
        <v>186</v>
      </c>
      <c r="F230" s="257">
        <f t="array" ref="F230">IF(B118=B230,H118)</f>
        <v>159</v>
      </c>
      <c r="G230" s="257">
        <f t="array" ref="G230">IF(B159=B230,H159)</f>
        <v>320</v>
      </c>
      <c r="H230" s="257">
        <f t="array" ref="H230">IF(B203=B230,H203)</f>
        <v>157</v>
      </c>
      <c r="I230" s="257">
        <f>IF(G230=0,AVERAGE(D230,E230,F230,H230),AVERAGE(D230:H230))</f>
        <v>197.2</v>
      </c>
      <c r="J230" s="266">
        <f>ROUND(AVERAGE(D230,F230:G230),0)</f>
        <v>214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157</v>
      </c>
      <c r="E231" s="257">
        <f t="array" ref="E231">IF(B70=B231,H70)</f>
        <v>181</v>
      </c>
      <c r="F231" s="257">
        <f t="array" ref="F231">IF(B119=B231,H119)</f>
        <v>152</v>
      </c>
      <c r="G231" s="257">
        <f t="array" ref="G231">IF(B160=B231,H160)</f>
        <v>320</v>
      </c>
      <c r="H231" s="257">
        <f t="array" ref="H231">IF(B204=B231,H204)</f>
        <v>151</v>
      </c>
      <c r="I231" s="257">
        <f>IF(G231=0,AVERAGE(D231,E231,F231,H231),AVERAGE(D231:H231))</f>
        <v>192.2</v>
      </c>
      <c r="J231" s="266">
        <f>ROUND(AVERAGE(D231,F231:G231),0)</f>
        <v>210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150</v>
      </c>
      <c r="E232" s="257">
        <f t="array" ref="E232">IF(B71=B232,H71)</f>
        <v>177</v>
      </c>
      <c r="F232" s="257">
        <f t="array" ref="F232">IF(B120=B232,H120)</f>
        <v>144</v>
      </c>
      <c r="G232" s="257">
        <f t="array" ref="G232">IF(B161=B232,H161)</f>
        <v>320</v>
      </c>
      <c r="H232" s="257">
        <f t="array" ref="H232">IF(B205=B232,H205)</f>
        <v>145</v>
      </c>
      <c r="I232" s="257">
        <f>IF(G232=0,AVERAGE(D232,E232,F232,H232),AVERAGE(D232:H232))</f>
        <v>187.2</v>
      </c>
      <c r="J232" s="266">
        <f>ROUND(AVERAGE(D232,F232:G232),0)</f>
        <v>205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143</v>
      </c>
      <c r="E233" s="257">
        <f t="array" ref="E233">IF(B72=B233,H72)</f>
        <v>173</v>
      </c>
      <c r="F233" s="257">
        <f t="array" ref="F233">IF(B121=B233,H121)</f>
        <v>137</v>
      </c>
      <c r="G233" s="257">
        <f t="array" ref="G233">IF(B162=B233,H162)</f>
        <v>320</v>
      </c>
      <c r="H233" s="257">
        <f t="array" ref="H233">IF(B206=B233,H206)</f>
        <v>140</v>
      </c>
      <c r="I233" s="257">
        <f>IF(G233=0,AVERAGE(D233,E233,F233,H233),AVERAGE(D233:H233))</f>
        <v>182.6</v>
      </c>
      <c r="J233" s="266">
        <f>ROUND(AVERAGE(D233,F233:G233),0)</f>
        <v>200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136</v>
      </c>
      <c r="E234" s="271">
        <f t="array" ref="E234">IF(B73=B234,H73)</f>
        <v>169</v>
      </c>
      <c r="F234" s="271">
        <f t="array" ref="F234">IF(B122=B234,H122)</f>
        <v>129</v>
      </c>
      <c r="G234" s="271">
        <f t="array" ref="G234">IF(B163=B234,H163)</f>
        <v>320</v>
      </c>
      <c r="H234" s="271">
        <f t="array" ref="H234">IF(B207=B234,H207)</f>
        <v>135</v>
      </c>
      <c r="I234" s="271">
        <f>IF(G234=0,AVERAGE(D234,E234,F234,H234),AVERAGE(D234:H234))</f>
        <v>177.8</v>
      </c>
      <c r="J234" s="273">
        <f>ROUND(AVERAGE(D234,F234:G234),0)</f>
        <v>195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972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1780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+'대소면(10년) (물)'!D8</f>
        <v>294.70761105439124</v>
      </c>
      <c r="E7" s="844"/>
      <c r="F7" s="206">
        <v>0</v>
      </c>
      <c r="G7" s="206"/>
      <c r="H7" s="207">
        <v>0</v>
      </c>
      <c r="I7" s="208"/>
      <c r="J7" s="209" t="s">
        <v>1015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+'대소면(10년) (물)'!D9</f>
        <v>321.28699426180054</v>
      </c>
      <c r="E8" s="844"/>
      <c r="F8" s="206">
        <f>D8-D7</f>
        <v>26.579383207409307</v>
      </c>
      <c r="G8" s="206"/>
      <c r="H8" s="207">
        <f>ROUND(F8/D7*100,2)</f>
        <v>9.02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+'대소면(10년) (물)'!D10</f>
        <v>271.96972741450179</v>
      </c>
      <c r="E9" s="844"/>
      <c r="F9" s="206">
        <f>D9-D8</f>
        <v>-49.317266847298754</v>
      </c>
      <c r="G9" s="206"/>
      <c r="H9" s="207">
        <f>ROUND(F9/D8*100,2)</f>
        <v>-15.35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+'대소면(10년) (물)'!D11</f>
        <v>279.47468307815473</v>
      </c>
      <c r="E10" s="844"/>
      <c r="F10" s="206">
        <f>D10-D9</f>
        <v>7.504955663652936</v>
      </c>
      <c r="G10" s="206"/>
      <c r="H10" s="207">
        <f>ROUND(F10/D9*100,2)</f>
        <v>2.76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+'대소면(10년) (물)'!D12</f>
        <v>268.64115942587051</v>
      </c>
      <c r="E11" s="844"/>
      <c r="F11" s="206">
        <f>D11-D10</f>
        <v>-10.833523652284214</v>
      </c>
      <c r="G11" s="206"/>
      <c r="H11" s="207">
        <f>ROUND(F11/D10*100,2)</f>
        <v>-3.88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1436.0801752347188</v>
      </c>
      <c r="E12" s="214"/>
      <c r="F12" s="215"/>
      <c r="G12" s="215"/>
      <c r="H12" s="216">
        <f>SUM(H7:H11)</f>
        <v>-7.45</v>
      </c>
      <c r="I12" s="216"/>
      <c r="J12" s="217">
        <f>ROUND(AVERAGE(H7:H11),1)</f>
        <v>-1.5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1017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1018</v>
      </c>
      <c r="D15" s="219" t="s">
        <v>1019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1020</v>
      </c>
      <c r="D16" s="219" t="s">
        <v>1021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1022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1023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1024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1010</v>
      </c>
      <c r="C20" s="202"/>
      <c r="D20" s="202" t="s">
        <v>1025</v>
      </c>
      <c r="E20" s="202"/>
      <c r="F20" s="202" t="s">
        <v>1026</v>
      </c>
      <c r="G20" s="202"/>
      <c r="H20" s="202" t="s">
        <v>1027</v>
      </c>
      <c r="I20" s="202"/>
      <c r="J20" s="202" t="s">
        <v>1014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269</v>
      </c>
      <c r="E21" s="221"/>
      <c r="F21" s="221">
        <v>0</v>
      </c>
      <c r="G21" s="221"/>
      <c r="H21" s="221">
        <f t="shared" ref="H21:H40" si="1">ROUND(D21*(1+F21),0)</f>
        <v>269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262</v>
      </c>
      <c r="E22" s="221"/>
      <c r="F22" s="221">
        <v>0</v>
      </c>
      <c r="G22" s="221"/>
      <c r="H22" s="221">
        <f t="shared" si="1"/>
        <v>262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256</v>
      </c>
      <c r="E23" s="221"/>
      <c r="F23" s="221">
        <v>0</v>
      </c>
      <c r="G23" s="221"/>
      <c r="H23" s="221">
        <f t="shared" si="1"/>
        <v>256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249</v>
      </c>
      <c r="E24" s="221"/>
      <c r="F24" s="221">
        <v>0</v>
      </c>
      <c r="G24" s="221"/>
      <c r="H24" s="221">
        <f t="shared" si="1"/>
        <v>249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243</v>
      </c>
      <c r="E25" s="269"/>
      <c r="F25" s="269">
        <v>0</v>
      </c>
      <c r="G25" s="269"/>
      <c r="H25" s="269">
        <f t="shared" si="1"/>
        <v>243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236</v>
      </c>
      <c r="E26" s="221"/>
      <c r="F26" s="221">
        <v>0</v>
      </c>
      <c r="G26" s="221"/>
      <c r="H26" s="221">
        <f t="shared" si="1"/>
        <v>236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230</v>
      </c>
      <c r="E27" s="221"/>
      <c r="F27" s="221">
        <v>0</v>
      </c>
      <c r="G27" s="221"/>
      <c r="H27" s="221">
        <f t="shared" si="1"/>
        <v>230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223</v>
      </c>
      <c r="E28" s="221"/>
      <c r="F28" s="221">
        <v>0</v>
      </c>
      <c r="G28" s="221"/>
      <c r="H28" s="221">
        <f t="shared" si="1"/>
        <v>223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217</v>
      </c>
      <c r="E29" s="221"/>
      <c r="F29" s="221">
        <v>0</v>
      </c>
      <c r="G29" s="221"/>
      <c r="H29" s="221">
        <f t="shared" si="1"/>
        <v>217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210</v>
      </c>
      <c r="E30" s="269"/>
      <c r="F30" s="269">
        <v>0</v>
      </c>
      <c r="G30" s="269"/>
      <c r="H30" s="269">
        <f t="shared" si="1"/>
        <v>210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204</v>
      </c>
      <c r="E31" s="221"/>
      <c r="F31" s="221">
        <v>0</v>
      </c>
      <c r="G31" s="221"/>
      <c r="H31" s="221">
        <f t="shared" si="1"/>
        <v>204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197</v>
      </c>
      <c r="E32" s="221"/>
      <c r="F32" s="221">
        <v>0</v>
      </c>
      <c r="G32" s="221"/>
      <c r="H32" s="221">
        <f t="shared" si="1"/>
        <v>197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191</v>
      </c>
      <c r="E33" s="221"/>
      <c r="F33" s="221">
        <v>0</v>
      </c>
      <c r="G33" s="221"/>
      <c r="H33" s="221">
        <f t="shared" si="1"/>
        <v>191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184</v>
      </c>
      <c r="E34" s="221"/>
      <c r="F34" s="221">
        <v>0</v>
      </c>
      <c r="G34" s="221"/>
      <c r="H34" s="221">
        <f t="shared" si="1"/>
        <v>184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178</v>
      </c>
      <c r="E35" s="269"/>
      <c r="F35" s="269">
        <v>0</v>
      </c>
      <c r="G35" s="269"/>
      <c r="H35" s="269">
        <f t="shared" si="1"/>
        <v>178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171</v>
      </c>
      <c r="E36" s="221"/>
      <c r="F36" s="221">
        <v>0</v>
      </c>
      <c r="G36" s="221"/>
      <c r="H36" s="221">
        <f t="shared" si="1"/>
        <v>171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165</v>
      </c>
      <c r="E37" s="221"/>
      <c r="F37" s="221">
        <v>0</v>
      </c>
      <c r="G37" s="221"/>
      <c r="H37" s="221">
        <f t="shared" si="1"/>
        <v>165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158</v>
      </c>
      <c r="E38" s="221"/>
      <c r="F38" s="221">
        <v>0</v>
      </c>
      <c r="G38" s="221"/>
      <c r="H38" s="221">
        <f t="shared" si="1"/>
        <v>158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152</v>
      </c>
      <c r="E39" s="221"/>
      <c r="F39" s="221">
        <v>0</v>
      </c>
      <c r="G39" s="221"/>
      <c r="H39" s="221">
        <f t="shared" si="1"/>
        <v>152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145</v>
      </c>
      <c r="E40" s="269"/>
      <c r="F40" s="269">
        <v>0</v>
      </c>
      <c r="G40" s="269"/>
      <c r="H40" s="269">
        <f t="shared" si="1"/>
        <v>145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268.64115942587051</v>
      </c>
      <c r="F41" s="226"/>
      <c r="G41" s="224" t="s">
        <v>162</v>
      </c>
      <c r="H41" s="224">
        <f>ROUND((D$11-D$7)/(COUNT(D$7:D$11)-1),1)</f>
        <v>-6.5</v>
      </c>
      <c r="I41" s="224"/>
      <c r="J41" s="224" t="s">
        <v>163</v>
      </c>
      <c r="K41" s="227" t="s">
        <v>164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165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148</v>
      </c>
      <c r="D46" s="219" t="s">
        <v>167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150</v>
      </c>
      <c r="D47" s="219" t="s">
        <v>151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152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171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172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141</v>
      </c>
      <c r="C52" s="202"/>
      <c r="D52" s="202" t="s">
        <v>156</v>
      </c>
      <c r="E52" s="202"/>
      <c r="F52" s="202" t="s">
        <v>157</v>
      </c>
      <c r="G52" s="202"/>
      <c r="H52" s="202" t="s">
        <v>158</v>
      </c>
      <c r="I52" s="202"/>
      <c r="J52" s="202" t="s">
        <v>144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269</v>
      </c>
      <c r="E53" s="221"/>
      <c r="F53" s="221">
        <v>0</v>
      </c>
      <c r="G53" s="221"/>
      <c r="H53" s="221">
        <f t="shared" ref="H53:H72" si="3">ROUND(D53*(1+F53),0)</f>
        <v>269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262</v>
      </c>
      <c r="E54" s="221"/>
      <c r="F54" s="221">
        <v>0</v>
      </c>
      <c r="G54" s="221"/>
      <c r="H54" s="221">
        <f t="shared" si="3"/>
        <v>262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256</v>
      </c>
      <c r="E55" s="221"/>
      <c r="F55" s="221">
        <v>0</v>
      </c>
      <c r="G55" s="221"/>
      <c r="H55" s="221">
        <f t="shared" si="3"/>
        <v>256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251</v>
      </c>
      <c r="E56" s="221"/>
      <c r="F56" s="221">
        <v>0</v>
      </c>
      <c r="G56" s="221"/>
      <c r="H56" s="221">
        <f t="shared" si="3"/>
        <v>251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245</v>
      </c>
      <c r="E57" s="269"/>
      <c r="F57" s="269">
        <v>0</v>
      </c>
      <c r="G57" s="269"/>
      <c r="H57" s="269">
        <f t="shared" si="3"/>
        <v>245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239</v>
      </c>
      <c r="E58" s="221"/>
      <c r="F58" s="221">
        <v>0</v>
      </c>
      <c r="G58" s="221"/>
      <c r="H58" s="221">
        <f t="shared" si="3"/>
        <v>239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234</v>
      </c>
      <c r="E59" s="221"/>
      <c r="F59" s="221">
        <v>0</v>
      </c>
      <c r="G59" s="221"/>
      <c r="H59" s="221">
        <f t="shared" si="3"/>
        <v>234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228</v>
      </c>
      <c r="E60" s="221"/>
      <c r="F60" s="221">
        <v>0</v>
      </c>
      <c r="G60" s="221"/>
      <c r="H60" s="221">
        <f t="shared" si="3"/>
        <v>228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223</v>
      </c>
      <c r="E61" s="221"/>
      <c r="F61" s="221">
        <v>0</v>
      </c>
      <c r="G61" s="221"/>
      <c r="H61" s="221">
        <f t="shared" si="3"/>
        <v>223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218</v>
      </c>
      <c r="E62" s="269"/>
      <c r="F62" s="269">
        <v>0</v>
      </c>
      <c r="G62" s="269"/>
      <c r="H62" s="269">
        <f t="shared" si="3"/>
        <v>218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213</v>
      </c>
      <c r="E63" s="221"/>
      <c r="F63" s="221">
        <v>0</v>
      </c>
      <c r="G63" s="221"/>
      <c r="H63" s="221">
        <f t="shared" si="3"/>
        <v>213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208</v>
      </c>
      <c r="E64" s="221"/>
      <c r="F64" s="221">
        <v>0</v>
      </c>
      <c r="G64" s="221"/>
      <c r="H64" s="221">
        <f t="shared" si="3"/>
        <v>208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203</v>
      </c>
      <c r="E65" s="221"/>
      <c r="F65" s="221">
        <v>0</v>
      </c>
      <c r="G65" s="221"/>
      <c r="H65" s="221">
        <f t="shared" si="3"/>
        <v>203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199</v>
      </c>
      <c r="E66" s="221"/>
      <c r="F66" s="221">
        <v>0</v>
      </c>
      <c r="G66" s="221"/>
      <c r="H66" s="221">
        <f t="shared" si="3"/>
        <v>199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194</v>
      </c>
      <c r="E67" s="269"/>
      <c r="F67" s="269">
        <v>0</v>
      </c>
      <c r="G67" s="269"/>
      <c r="H67" s="269">
        <f t="shared" si="3"/>
        <v>194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190</v>
      </c>
      <c r="E68" s="221"/>
      <c r="F68" s="221">
        <v>0</v>
      </c>
      <c r="G68" s="221"/>
      <c r="H68" s="221">
        <f t="shared" si="3"/>
        <v>190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185</v>
      </c>
      <c r="E69" s="221"/>
      <c r="F69" s="221">
        <v>0</v>
      </c>
      <c r="G69" s="221"/>
      <c r="H69" s="221">
        <f t="shared" si="3"/>
        <v>185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181</v>
      </c>
      <c r="E70" s="221"/>
      <c r="F70" s="221">
        <v>0</v>
      </c>
      <c r="G70" s="221"/>
      <c r="H70" s="221">
        <f t="shared" si="3"/>
        <v>181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177</v>
      </c>
      <c r="E71" s="221"/>
      <c r="F71" s="221">
        <v>0</v>
      </c>
      <c r="G71" s="221"/>
      <c r="H71" s="221">
        <f t="shared" si="3"/>
        <v>177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173</v>
      </c>
      <c r="E72" s="269"/>
      <c r="F72" s="269">
        <v>0</v>
      </c>
      <c r="G72" s="269"/>
      <c r="H72" s="269">
        <f t="shared" si="3"/>
        <v>173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177</v>
      </c>
      <c r="C73" s="223"/>
      <c r="D73" s="224" t="s">
        <v>161</v>
      </c>
      <c r="E73" s="225">
        <f>D$11</f>
        <v>268.64115942587051</v>
      </c>
      <c r="F73" s="226"/>
      <c r="G73" s="224" t="s">
        <v>1114</v>
      </c>
      <c r="H73" s="224">
        <f>ROUND((E$73/D$7)^(1/(COUNT(D$7:D$11)-1)),6)</f>
        <v>0.97711400000000004</v>
      </c>
      <c r="I73" s="224"/>
      <c r="J73" s="224" t="s">
        <v>1031</v>
      </c>
      <c r="K73" s="227" t="s">
        <v>1032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1115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1018</v>
      </c>
      <c r="D84" s="219" t="s">
        <v>1116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1064</v>
      </c>
      <c r="D85" s="219" t="s">
        <v>1117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1118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1119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1120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1010</v>
      </c>
      <c r="C89" s="202"/>
      <c r="D89" s="202" t="s">
        <v>1121</v>
      </c>
      <c r="E89" s="202" t="s">
        <v>1122</v>
      </c>
      <c r="F89" s="202" t="s">
        <v>1123</v>
      </c>
      <c r="G89" s="202"/>
      <c r="H89" s="202" t="s">
        <v>1124</v>
      </c>
      <c r="I89" s="202"/>
      <c r="J89" s="202" t="s">
        <v>1014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294.70761105439124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-589.41999999999996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321.28699426180054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-321.29000000000002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271.96972741450179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279.47468307815473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279.47000000000003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268.64115942587051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537.28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1056</v>
      </c>
      <c r="C95" s="212"/>
      <c r="D95" s="232">
        <f>SUM(D90:D94)</f>
        <v>1436.0801752347188</v>
      </c>
      <c r="E95" s="215"/>
      <c r="F95" s="233">
        <f>ROUND(SUM(F90:F94),0)</f>
        <v>10</v>
      </c>
      <c r="G95" s="212"/>
      <c r="H95" s="211">
        <f>SUM(H90:H94)</f>
        <v>-93.960000000000036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1125</v>
      </c>
      <c r="C96" s="208"/>
      <c r="D96" s="236" t="s">
        <v>1126</v>
      </c>
      <c r="E96" s="203"/>
      <c r="F96" s="203"/>
      <c r="G96" s="201">
        <f>((COUNT(B$90:B$94))*H$95-D$95*E$95)/((COUNT(B$90:B$94))*F$95-E$95*E$95)</f>
        <v>-9.3960000000000043</v>
      </c>
      <c r="H96" s="236" t="s">
        <v>1127</v>
      </c>
      <c r="I96" s="201"/>
      <c r="J96" s="201"/>
      <c r="K96" s="201">
        <f>ROUND((F95*D95-H95*E95)/(COUNT(B$90:B$94)*F95-E95*E95),0)</f>
        <v>287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1061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1010</v>
      </c>
      <c r="C100" s="202"/>
      <c r="D100" s="202" t="s">
        <v>1025</v>
      </c>
      <c r="E100" s="202"/>
      <c r="F100" s="202" t="s">
        <v>1026</v>
      </c>
      <c r="G100" s="202"/>
      <c r="H100" s="202" t="s">
        <v>1027</v>
      </c>
      <c r="I100" s="202"/>
      <c r="J100" s="202" t="s">
        <v>1014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269</v>
      </c>
      <c r="E101" s="221"/>
      <c r="F101" s="221">
        <v>0</v>
      </c>
      <c r="G101" s="221"/>
      <c r="H101" s="221">
        <f t="shared" ref="H101:H120" si="5">ROUND(D101*(1+F101),0)</f>
        <v>269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259</v>
      </c>
      <c r="E102" s="221"/>
      <c r="F102" s="221">
        <v>0</v>
      </c>
      <c r="G102" s="221"/>
      <c r="H102" s="221">
        <f t="shared" si="5"/>
        <v>259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250</v>
      </c>
      <c r="E103" s="221"/>
      <c r="F103" s="221">
        <v>0</v>
      </c>
      <c r="G103" s="221"/>
      <c r="H103" s="221">
        <f t="shared" si="5"/>
        <v>250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241</v>
      </c>
      <c r="E104" s="221"/>
      <c r="F104" s="221">
        <v>0</v>
      </c>
      <c r="G104" s="221"/>
      <c r="H104" s="221">
        <f t="shared" si="5"/>
        <v>241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231</v>
      </c>
      <c r="E105" s="269"/>
      <c r="F105" s="269">
        <v>0</v>
      </c>
      <c r="G105" s="269"/>
      <c r="H105" s="269">
        <f t="shared" si="5"/>
        <v>231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222</v>
      </c>
      <c r="E106" s="221"/>
      <c r="F106" s="221">
        <v>0</v>
      </c>
      <c r="G106" s="221"/>
      <c r="H106" s="221">
        <f t="shared" si="5"/>
        <v>222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212</v>
      </c>
      <c r="E107" s="221"/>
      <c r="F107" s="221">
        <v>0</v>
      </c>
      <c r="G107" s="221"/>
      <c r="H107" s="221">
        <f t="shared" si="5"/>
        <v>212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203</v>
      </c>
      <c r="E108" s="221"/>
      <c r="F108" s="221">
        <v>0</v>
      </c>
      <c r="G108" s="221"/>
      <c r="H108" s="221">
        <f t="shared" si="5"/>
        <v>203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194</v>
      </c>
      <c r="E109" s="221"/>
      <c r="F109" s="221">
        <v>0</v>
      </c>
      <c r="G109" s="221"/>
      <c r="H109" s="221">
        <f t="shared" si="5"/>
        <v>194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184</v>
      </c>
      <c r="E110" s="269"/>
      <c r="F110" s="269">
        <v>0</v>
      </c>
      <c r="G110" s="269"/>
      <c r="H110" s="269">
        <f t="shared" si="5"/>
        <v>184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175</v>
      </c>
      <c r="E111" s="221"/>
      <c r="F111" s="221">
        <v>0</v>
      </c>
      <c r="G111" s="221"/>
      <c r="H111" s="221">
        <f t="shared" si="5"/>
        <v>175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165</v>
      </c>
      <c r="E112" s="221"/>
      <c r="F112" s="221">
        <v>0</v>
      </c>
      <c r="G112" s="221"/>
      <c r="H112" s="221">
        <f t="shared" si="5"/>
        <v>165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156</v>
      </c>
      <c r="E113" s="221"/>
      <c r="F113" s="221">
        <v>0</v>
      </c>
      <c r="G113" s="221"/>
      <c r="H113" s="221">
        <f t="shared" si="5"/>
        <v>156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147</v>
      </c>
      <c r="E114" s="221"/>
      <c r="F114" s="221">
        <v>0</v>
      </c>
      <c r="G114" s="221"/>
      <c r="H114" s="221">
        <f t="shared" si="5"/>
        <v>147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137</v>
      </c>
      <c r="E115" s="269"/>
      <c r="F115" s="269">
        <v>0</v>
      </c>
      <c r="G115" s="269"/>
      <c r="H115" s="269">
        <f t="shared" si="5"/>
        <v>137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128</v>
      </c>
      <c r="E116" s="221"/>
      <c r="F116" s="221">
        <v>0</v>
      </c>
      <c r="G116" s="221"/>
      <c r="H116" s="221">
        <f t="shared" si="5"/>
        <v>128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118</v>
      </c>
      <c r="E117" s="221"/>
      <c r="F117" s="221">
        <v>0</v>
      </c>
      <c r="G117" s="221"/>
      <c r="H117" s="221">
        <f t="shared" si="5"/>
        <v>118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109</v>
      </c>
      <c r="E118" s="221"/>
      <c r="F118" s="221">
        <v>0</v>
      </c>
      <c r="G118" s="221"/>
      <c r="H118" s="221">
        <f t="shared" si="5"/>
        <v>109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100</v>
      </c>
      <c r="E119" s="221"/>
      <c r="F119" s="221">
        <v>0</v>
      </c>
      <c r="G119" s="221"/>
      <c r="H119" s="221">
        <f t="shared" si="5"/>
        <v>100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90</v>
      </c>
      <c r="E120" s="269"/>
      <c r="F120" s="269">
        <v>0</v>
      </c>
      <c r="G120" s="269"/>
      <c r="H120" s="269">
        <f t="shared" si="5"/>
        <v>90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1128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1018</v>
      </c>
      <c r="D124" s="219" t="s">
        <v>1129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1064</v>
      </c>
      <c r="D125" s="219" t="s">
        <v>1065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1130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1131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1132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1010</v>
      </c>
      <c r="C129" s="202"/>
      <c r="D129" s="202" t="s">
        <v>1121</v>
      </c>
      <c r="E129" s="202" t="s">
        <v>1122</v>
      </c>
      <c r="F129" s="202" t="s">
        <v>1122</v>
      </c>
      <c r="G129" s="202" t="s">
        <v>1123</v>
      </c>
      <c r="H129" s="202" t="s">
        <v>1133</v>
      </c>
      <c r="I129" s="202"/>
      <c r="J129" s="202" t="s">
        <v>1134</v>
      </c>
      <c r="K129" s="202" t="s">
        <v>1135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294.70761105439124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321.28699426180054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26.579383207409307</v>
      </c>
      <c r="I131" s="231"/>
      <c r="J131" s="247">
        <f>IF(H131="","",LOG(H131))</f>
        <v>1.424544898626027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271.96972741450179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22.737883639889446</v>
      </c>
      <c r="I132" s="231"/>
      <c r="J132" s="247">
        <f>IF(H132="","",LOG(H132))</f>
        <v>1.3567500396705041</v>
      </c>
      <c r="K132" s="247">
        <f>IF(J132="","",J132*F132)</f>
        <v>0.40842245855911818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279.47468307815473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15.23292797623651</v>
      </c>
      <c r="I133" s="231"/>
      <c r="J133" s="247">
        <f>IF(H133="","",LOG(H133))</f>
        <v>1.1827833886745214</v>
      </c>
      <c r="K133" s="247">
        <f>IF(J133="","",J133*F133)</f>
        <v>0.56433109446596186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268.64115942587051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26.066451628520724</v>
      </c>
      <c r="I134" s="231"/>
      <c r="J134" s="247">
        <f>IF(H134="","",LOG(H134))</f>
        <v>1.4160819155934312</v>
      </c>
      <c r="K134" s="247">
        <f>IF(J134="","",J134*F134)</f>
        <v>0.85256626582186557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1056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5.3801602425644841</v>
      </c>
      <c r="K135" s="253">
        <f>IF(K134="","",SUM(K130:K134))</f>
        <v>1.8253198188469457</v>
      </c>
      <c r="L135" s="203"/>
      <c r="M135" s="203"/>
      <c r="N135" s="203"/>
      <c r="O135" s="203"/>
    </row>
    <row r="136" spans="1:15" ht="15" customHeight="1">
      <c r="A136" s="203"/>
      <c r="B136" s="208" t="s">
        <v>1057</v>
      </c>
      <c r="C136" s="208"/>
      <c r="D136" s="201" t="s">
        <v>1030</v>
      </c>
      <c r="E136" s="201">
        <f>IF(G135="",0,5^ROUND((G135*J135-F135*K135)/((COUNT(B$130:B$134)-1)*G135-F135*F135),5))</f>
        <v>9.4808118854244174</v>
      </c>
      <c r="F136" s="238" t="s">
        <v>1058</v>
      </c>
      <c r="G136" s="203"/>
      <c r="H136" s="208"/>
      <c r="I136" s="203"/>
      <c r="J136" s="254">
        <f>IF(G135="",0,ROUND(((COUNT(B$130:B$134)-1)*K135-J135*F135)/((COUNT(B$130:B$134)-1)*G135-F135*F135),5))</f>
        <v>-0.15218000000000001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1059</v>
      </c>
      <c r="E137" s="219"/>
      <c r="F137" s="219"/>
      <c r="G137" s="256"/>
      <c r="H137" s="201" t="s">
        <v>1060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1061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1010</v>
      </c>
      <c r="C140" s="202"/>
      <c r="D140" s="202" t="s">
        <v>1025</v>
      </c>
      <c r="E140" s="202"/>
      <c r="F140" s="202" t="s">
        <v>1026</v>
      </c>
      <c r="G140" s="202"/>
      <c r="H140" s="202" t="s">
        <v>1027</v>
      </c>
      <c r="I140" s="202"/>
      <c r="J140" s="202" t="s">
        <v>1014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303</v>
      </c>
      <c r="E141" s="257"/>
      <c r="F141" s="258">
        <v>0</v>
      </c>
      <c r="G141" s="258"/>
      <c r="H141" s="258">
        <f t="shared" ref="H141:H160" si="7">ROUND(D141*(1+F141),0)</f>
        <v>303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303</v>
      </c>
      <c r="E142" s="257"/>
      <c r="F142" s="258">
        <v>0</v>
      </c>
      <c r="G142" s="258"/>
      <c r="H142" s="258">
        <f t="shared" si="7"/>
        <v>303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302</v>
      </c>
      <c r="E143" s="257"/>
      <c r="F143" s="258">
        <v>0</v>
      </c>
      <c r="G143" s="258"/>
      <c r="H143" s="258">
        <f t="shared" si="7"/>
        <v>302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302</v>
      </c>
      <c r="E144" s="257"/>
      <c r="F144" s="258">
        <v>0</v>
      </c>
      <c r="G144" s="258"/>
      <c r="H144" s="258">
        <f t="shared" si="7"/>
        <v>302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302</v>
      </c>
      <c r="E145" s="271"/>
      <c r="F145" s="272">
        <v>0</v>
      </c>
      <c r="G145" s="272"/>
      <c r="H145" s="272">
        <f t="shared" si="7"/>
        <v>302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302</v>
      </c>
      <c r="E146" s="257"/>
      <c r="F146" s="258">
        <v>0</v>
      </c>
      <c r="G146" s="258"/>
      <c r="H146" s="258">
        <f t="shared" si="7"/>
        <v>302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302</v>
      </c>
      <c r="E147" s="257"/>
      <c r="F147" s="258">
        <v>0</v>
      </c>
      <c r="G147" s="258"/>
      <c r="H147" s="258">
        <f t="shared" si="7"/>
        <v>302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302</v>
      </c>
      <c r="E148" s="257"/>
      <c r="F148" s="258">
        <v>0</v>
      </c>
      <c r="G148" s="258"/>
      <c r="H148" s="258">
        <f t="shared" si="7"/>
        <v>302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302</v>
      </c>
      <c r="E149" s="257"/>
      <c r="F149" s="258">
        <v>0</v>
      </c>
      <c r="G149" s="258"/>
      <c r="H149" s="258">
        <f t="shared" si="7"/>
        <v>302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302</v>
      </c>
      <c r="E150" s="271"/>
      <c r="F150" s="272">
        <v>0</v>
      </c>
      <c r="G150" s="272"/>
      <c r="H150" s="272">
        <f t="shared" si="7"/>
        <v>302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302</v>
      </c>
      <c r="E151" s="257"/>
      <c r="F151" s="258">
        <v>0</v>
      </c>
      <c r="G151" s="258"/>
      <c r="H151" s="258">
        <f t="shared" si="7"/>
        <v>302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301</v>
      </c>
      <c r="E152" s="257"/>
      <c r="F152" s="258">
        <v>0</v>
      </c>
      <c r="G152" s="258"/>
      <c r="H152" s="258">
        <f t="shared" si="7"/>
        <v>301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301</v>
      </c>
      <c r="E153" s="257"/>
      <c r="F153" s="258">
        <v>0</v>
      </c>
      <c r="G153" s="258"/>
      <c r="H153" s="258">
        <f t="shared" si="7"/>
        <v>301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301</v>
      </c>
      <c r="E154" s="257"/>
      <c r="F154" s="258">
        <v>0</v>
      </c>
      <c r="G154" s="258"/>
      <c r="H154" s="258">
        <f t="shared" si="7"/>
        <v>301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301</v>
      </c>
      <c r="E155" s="271"/>
      <c r="F155" s="272">
        <v>0</v>
      </c>
      <c r="G155" s="272"/>
      <c r="H155" s="272">
        <f t="shared" si="7"/>
        <v>301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301</v>
      </c>
      <c r="E156" s="257"/>
      <c r="F156" s="258">
        <v>0</v>
      </c>
      <c r="G156" s="258"/>
      <c r="H156" s="258">
        <f t="shared" si="7"/>
        <v>301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301</v>
      </c>
      <c r="E157" s="257"/>
      <c r="F157" s="258">
        <v>0</v>
      </c>
      <c r="G157" s="258"/>
      <c r="H157" s="258">
        <f t="shared" si="7"/>
        <v>301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301</v>
      </c>
      <c r="E158" s="257"/>
      <c r="F158" s="258">
        <v>0</v>
      </c>
      <c r="G158" s="258"/>
      <c r="H158" s="258">
        <f t="shared" si="7"/>
        <v>301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301</v>
      </c>
      <c r="E159" s="257"/>
      <c r="F159" s="258">
        <v>0</v>
      </c>
      <c r="G159" s="258"/>
      <c r="H159" s="258">
        <f t="shared" si="7"/>
        <v>301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301</v>
      </c>
      <c r="E160" s="271"/>
      <c r="F160" s="272">
        <v>0</v>
      </c>
      <c r="G160" s="272"/>
      <c r="H160" s="272">
        <f t="shared" si="7"/>
        <v>301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1062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1018</v>
      </c>
      <c r="D167" s="219" t="s">
        <v>1063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1064</v>
      </c>
      <c r="D168" s="219" t="s">
        <v>1065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1066</v>
      </c>
      <c r="E169" s="2250">
        <v>600</v>
      </c>
      <c r="F169" s="2250"/>
      <c r="G169" s="219" t="s">
        <v>1136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1137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1010</v>
      </c>
      <c r="C171" s="202"/>
      <c r="D171" s="202" t="s">
        <v>1121</v>
      </c>
      <c r="E171" s="202" t="s">
        <v>1122</v>
      </c>
      <c r="F171" s="202" t="s">
        <v>1123</v>
      </c>
      <c r="G171" s="202" t="s">
        <v>1138</v>
      </c>
      <c r="H171" s="202" t="s">
        <v>1139</v>
      </c>
      <c r="I171" s="202" t="s">
        <v>1140</v>
      </c>
      <c r="J171" s="202" t="s">
        <v>1134</v>
      </c>
      <c r="K171" s="202" t="s">
        <v>1141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294.70761105439124</v>
      </c>
      <c r="E172" s="244">
        <f>((COUNT(B$172:B$176)-1)/2)+(B172-$C$4)</f>
        <v>-2</v>
      </c>
      <c r="F172" s="206">
        <f>E172^2</f>
        <v>4</v>
      </c>
      <c r="G172" s="844">
        <f>E$169-D172</f>
        <v>305.29238894560876</v>
      </c>
      <c r="H172" s="259">
        <f>LOG(D172)</f>
        <v>2.469391351989187</v>
      </c>
      <c r="I172" s="245">
        <f>LOG(G172)</f>
        <v>2.4847159773084027</v>
      </c>
      <c r="J172" s="246">
        <f>H172-I172</f>
        <v>-1.5324625319215635E-2</v>
      </c>
      <c r="K172" s="246">
        <f>E172*J172</f>
        <v>3.0649250638431269E-2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321.28699426180054</v>
      </c>
      <c r="E173" s="244">
        <f>((COUNT(B$172:B$176)-1)/2)+(B173-$C$4)</f>
        <v>-1</v>
      </c>
      <c r="F173" s="206">
        <f>E173^2</f>
        <v>1</v>
      </c>
      <c r="G173" s="844">
        <f>E$169-D173</f>
        <v>278.71300573819946</v>
      </c>
      <c r="H173" s="259">
        <f>LOG(D173)</f>
        <v>2.50689314561173</v>
      </c>
      <c r="I173" s="245">
        <f>LOG(G173)</f>
        <v>2.4451572349083013</v>
      </c>
      <c r="J173" s="246">
        <f>H173-I173</f>
        <v>6.1735910703428765E-2</v>
      </c>
      <c r="K173" s="246">
        <f>E173*J173</f>
        <v>-6.1735910703428765E-2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271.96972741450179</v>
      </c>
      <c r="E174" s="244">
        <f>((COUNT(B$172:B$176)-1)/2)+(B174-$C$4)</f>
        <v>0</v>
      </c>
      <c r="F174" s="206">
        <f>E174^2</f>
        <v>0</v>
      </c>
      <c r="G174" s="844">
        <f>E$169-D174</f>
        <v>328.03027258549821</v>
      </c>
      <c r="H174" s="259">
        <f>LOG(D174)</f>
        <v>2.4345205659882163</v>
      </c>
      <c r="I174" s="245">
        <f>LOG(G174)</f>
        <v>2.5159139248402291</v>
      </c>
      <c r="J174" s="246">
        <f>H174-I174</f>
        <v>-8.139335885201282E-2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279.47468307815473</v>
      </c>
      <c r="E175" s="244">
        <f>((COUNT(B$172:B$176)-1)/2)+(B175-$C$4)</f>
        <v>1</v>
      </c>
      <c r="F175" s="206">
        <f>E175^2</f>
        <v>1</v>
      </c>
      <c r="G175" s="844">
        <f>E$169-D175</f>
        <v>320.52531692184527</v>
      </c>
      <c r="H175" s="259">
        <f>LOG(D175)</f>
        <v>2.4463424723389142</v>
      </c>
      <c r="I175" s="245">
        <f>LOG(G175)</f>
        <v>2.5058623382705019</v>
      </c>
      <c r="J175" s="246">
        <f>H175-I175</f>
        <v>-5.9519865931587645E-2</v>
      </c>
      <c r="K175" s="246">
        <f>E175*J175</f>
        <v>-5.9519865931587645E-2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268.64115942587051</v>
      </c>
      <c r="E176" s="244">
        <f>((COUNT(B$172:B$176)-1)/2)+(B176-$C$4)</f>
        <v>2</v>
      </c>
      <c r="F176" s="206">
        <f>E176^2</f>
        <v>4</v>
      </c>
      <c r="G176" s="844">
        <f>E$169-D176</f>
        <v>331.35884057412949</v>
      </c>
      <c r="H176" s="259">
        <f>LOG(D176)</f>
        <v>2.4291725531655159</v>
      </c>
      <c r="I176" s="245">
        <f>LOG(G176)</f>
        <v>2.5202985619539566</v>
      </c>
      <c r="J176" s="246">
        <f>H176-I176</f>
        <v>-9.1126008788440682E-2</v>
      </c>
      <c r="K176" s="246">
        <f>E176*J176</f>
        <v>-0.18225201757688136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1056</v>
      </c>
      <c r="C177" s="212"/>
      <c r="D177" s="260">
        <f>SUM(D172:D176)</f>
        <v>1436.0801752347188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-0.18562794818782802</v>
      </c>
      <c r="K177" s="263">
        <f>SUM(K172:K176)</f>
        <v>-0.27285854357346651</v>
      </c>
      <c r="L177" s="203"/>
      <c r="M177" s="203"/>
      <c r="N177" s="203"/>
      <c r="O177" s="203"/>
    </row>
    <row r="178" spans="1:15" ht="15" customHeight="1">
      <c r="A178" s="203"/>
      <c r="B178" s="208" t="s">
        <v>1142</v>
      </c>
      <c r="C178" s="208"/>
      <c r="D178" s="201" t="s">
        <v>1143</v>
      </c>
      <c r="E178" s="236" t="s">
        <v>1144</v>
      </c>
      <c r="F178" s="203"/>
      <c r="G178" s="219" t="str">
        <f>"X = x × LOG e = "&amp;E177&amp;" 이고,"</f>
        <v>X = x × LOG e = 0 이고,</v>
      </c>
      <c r="H178" s="219"/>
      <c r="I178" s="219" t="s">
        <v>1145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1146</v>
      </c>
      <c r="E179" s="219"/>
      <c r="F179" s="219"/>
      <c r="G179" s="219"/>
      <c r="H179" s="254">
        <f>ROUND(((E$177*K$177-F$177*J$177)/(COUNT(B$172:B$176)*F$177-E$177*E$177))/LOG(EXP(1)),5)</f>
        <v>8.548E-2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1147</v>
      </c>
      <c r="E180" s="219"/>
      <c r="F180" s="219"/>
      <c r="G180" s="264" t="s">
        <v>1148</v>
      </c>
      <c r="H180" s="219"/>
      <c r="I180" s="219"/>
      <c r="J180" s="219"/>
      <c r="K180" s="265">
        <f>ROUND((COUNT(B$172:B$176)*K177-E177*J177)/(LOG(EXP(1))*(COUNT(B$172:B$176)*F177-E177*E177)),6)</f>
        <v>-6.2827999999999995E-2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1061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1010</v>
      </c>
      <c r="C183" s="202"/>
      <c r="D183" s="202" t="s">
        <v>1025</v>
      </c>
      <c r="E183" s="202"/>
      <c r="F183" s="202" t="s">
        <v>1026</v>
      </c>
      <c r="G183" s="202"/>
      <c r="H183" s="202" t="s">
        <v>1027</v>
      </c>
      <c r="I183" s="202"/>
      <c r="J183" s="202" t="s">
        <v>1014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246</v>
      </c>
      <c r="E184" s="221"/>
      <c r="F184" s="221">
        <v>0</v>
      </c>
      <c r="G184" s="221"/>
      <c r="H184" s="221">
        <f t="shared" ref="H184:H203" si="9">ROUND(D184*(1+F184),0)</f>
        <v>246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237</v>
      </c>
      <c r="E185" s="221"/>
      <c r="F185" s="221">
        <v>0</v>
      </c>
      <c r="G185" s="221"/>
      <c r="H185" s="221">
        <f t="shared" si="9"/>
        <v>237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228</v>
      </c>
      <c r="E186" s="221"/>
      <c r="F186" s="221">
        <v>0</v>
      </c>
      <c r="G186" s="221"/>
      <c r="H186" s="221">
        <f t="shared" si="9"/>
        <v>228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219</v>
      </c>
      <c r="E187" s="221"/>
      <c r="F187" s="221">
        <v>0</v>
      </c>
      <c r="G187" s="221"/>
      <c r="H187" s="221">
        <f t="shared" si="9"/>
        <v>219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210</v>
      </c>
      <c r="E188" s="269"/>
      <c r="F188" s="269">
        <v>0</v>
      </c>
      <c r="G188" s="269"/>
      <c r="H188" s="269">
        <f t="shared" si="9"/>
        <v>210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202</v>
      </c>
      <c r="E189" s="221"/>
      <c r="F189" s="221">
        <v>0</v>
      </c>
      <c r="G189" s="221"/>
      <c r="H189" s="221">
        <f t="shared" si="9"/>
        <v>202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194</v>
      </c>
      <c r="E190" s="221"/>
      <c r="F190" s="221">
        <v>0</v>
      </c>
      <c r="G190" s="221"/>
      <c r="H190" s="221">
        <f t="shared" si="9"/>
        <v>194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185</v>
      </c>
      <c r="E191" s="221"/>
      <c r="F191" s="221">
        <v>0</v>
      </c>
      <c r="G191" s="221"/>
      <c r="H191" s="221">
        <f t="shared" si="9"/>
        <v>185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178</v>
      </c>
      <c r="E192" s="221"/>
      <c r="F192" s="221">
        <v>0</v>
      </c>
      <c r="G192" s="221"/>
      <c r="H192" s="221">
        <f t="shared" si="9"/>
        <v>178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170</v>
      </c>
      <c r="E193" s="269"/>
      <c r="F193" s="269">
        <v>0</v>
      </c>
      <c r="G193" s="269"/>
      <c r="H193" s="269">
        <f t="shared" si="9"/>
        <v>170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162</v>
      </c>
      <c r="E194" s="221"/>
      <c r="F194" s="221">
        <v>0</v>
      </c>
      <c r="G194" s="221"/>
      <c r="H194" s="221">
        <f t="shared" si="9"/>
        <v>162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155</v>
      </c>
      <c r="E195" s="221"/>
      <c r="F195" s="221">
        <v>0</v>
      </c>
      <c r="G195" s="221"/>
      <c r="H195" s="221">
        <f t="shared" si="9"/>
        <v>155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148</v>
      </c>
      <c r="E196" s="221"/>
      <c r="F196" s="221">
        <v>0</v>
      </c>
      <c r="G196" s="221"/>
      <c r="H196" s="221">
        <f t="shared" si="9"/>
        <v>148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141</v>
      </c>
      <c r="E197" s="221"/>
      <c r="F197" s="221">
        <v>0</v>
      </c>
      <c r="G197" s="221"/>
      <c r="H197" s="221">
        <f t="shared" si="9"/>
        <v>141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134</v>
      </c>
      <c r="E198" s="269"/>
      <c r="F198" s="269">
        <v>0</v>
      </c>
      <c r="G198" s="269"/>
      <c r="H198" s="269">
        <f t="shared" si="9"/>
        <v>134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128</v>
      </c>
      <c r="E199" s="221"/>
      <c r="F199" s="221">
        <v>0</v>
      </c>
      <c r="G199" s="221"/>
      <c r="H199" s="221">
        <f t="shared" si="9"/>
        <v>128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122</v>
      </c>
      <c r="E200" s="221"/>
      <c r="F200" s="221">
        <v>0</v>
      </c>
      <c r="G200" s="221"/>
      <c r="H200" s="221">
        <f t="shared" si="9"/>
        <v>122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116</v>
      </c>
      <c r="E201" s="221"/>
      <c r="F201" s="221">
        <v>0</v>
      </c>
      <c r="G201" s="221"/>
      <c r="H201" s="221">
        <f t="shared" si="9"/>
        <v>116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110</v>
      </c>
      <c r="E202" s="221"/>
      <c r="F202" s="221">
        <v>0</v>
      </c>
      <c r="G202" s="221"/>
      <c r="H202" s="221">
        <f t="shared" si="9"/>
        <v>110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105</v>
      </c>
      <c r="E203" s="269"/>
      <c r="F203" s="269">
        <v>0</v>
      </c>
      <c r="G203" s="269"/>
      <c r="H203" s="269">
        <f t="shared" si="9"/>
        <v>105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1149</v>
      </c>
      <c r="G209" s="208"/>
      <c r="H209" s="203"/>
      <c r="I209" s="203"/>
      <c r="J209" s="203"/>
      <c r="K209" s="228" t="s">
        <v>1150</v>
      </c>
      <c r="L209" s="203"/>
      <c r="M209" s="203"/>
      <c r="N209" s="203"/>
      <c r="O209" s="203"/>
    </row>
    <row r="210" spans="1:15" ht="15" customHeight="1">
      <c r="A210" s="203"/>
      <c r="B210" s="202" t="s">
        <v>1010</v>
      </c>
      <c r="C210" s="202"/>
      <c r="D210" s="202" t="s">
        <v>1151</v>
      </c>
      <c r="E210" s="202" t="s">
        <v>1152</v>
      </c>
      <c r="F210" s="202" t="s">
        <v>1153</v>
      </c>
      <c r="G210" s="202" t="s">
        <v>992</v>
      </c>
      <c r="H210" s="202" t="s">
        <v>1154</v>
      </c>
      <c r="I210" s="202" t="s">
        <v>1155</v>
      </c>
      <c r="J210" s="202" t="s">
        <v>1156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269</v>
      </c>
      <c r="E211" s="257">
        <f t="array" ref="E211">IF(B53=B211,H53)</f>
        <v>269</v>
      </c>
      <c r="F211" s="257">
        <f t="array" ref="F211">IF(B101=B211,H101)</f>
        <v>269</v>
      </c>
      <c r="G211" s="257">
        <f t="array" ref="G211">IF(B141=B211,H141)</f>
        <v>303</v>
      </c>
      <c r="H211" s="257">
        <f t="array" ref="H211">IF(B184=B211,H184)</f>
        <v>246</v>
      </c>
      <c r="I211" s="257">
        <f t="shared" ref="I211:I230" si="10">IF(G211=0,AVERAGE(D211,E211,F211,H211),AVERAGE(D211:H211))</f>
        <v>271.2</v>
      </c>
      <c r="J211" s="266">
        <f t="shared" ref="J211:J230" si="11">ROUND(AVERAGE(D211,F211:G211),0)</f>
        <v>280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262</v>
      </c>
      <c r="E212" s="257">
        <f t="array" ref="E212">IF(B54=B212,H54)</f>
        <v>262</v>
      </c>
      <c r="F212" s="257">
        <f t="array" ref="F212">IF(B102=B212,H102)</f>
        <v>259</v>
      </c>
      <c r="G212" s="257">
        <f t="array" ref="G212">IF(B142=B212,H142)</f>
        <v>303</v>
      </c>
      <c r="H212" s="257">
        <f t="array" ref="H212">IF(B185=B212,H185)</f>
        <v>237</v>
      </c>
      <c r="I212" s="257">
        <f t="shared" si="10"/>
        <v>264.60000000000002</v>
      </c>
      <c r="J212" s="266">
        <f t="shared" si="11"/>
        <v>275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256</v>
      </c>
      <c r="E213" s="257">
        <f t="array" ref="E213">IF(B55=B213,H55)</f>
        <v>256</v>
      </c>
      <c r="F213" s="257">
        <f t="array" ref="F213">IF(B103=B213,H103)</f>
        <v>250</v>
      </c>
      <c r="G213" s="257">
        <f t="array" ref="G213">IF(B143=B213,H143)</f>
        <v>302</v>
      </c>
      <c r="H213" s="257">
        <f t="array" ref="H213">IF(B186=B213,H186)</f>
        <v>228</v>
      </c>
      <c r="I213" s="257">
        <f t="shared" si="10"/>
        <v>258.39999999999998</v>
      </c>
      <c r="J213" s="266">
        <f t="shared" si="11"/>
        <v>269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249</v>
      </c>
      <c r="E214" s="257">
        <f t="array" ref="E214">IF(B56=B214,H56)</f>
        <v>251</v>
      </c>
      <c r="F214" s="257">
        <f t="array" ref="F214">IF(B104=B214,H104)</f>
        <v>241</v>
      </c>
      <c r="G214" s="257">
        <f t="array" ref="G214">IF(B144=B214,H144)</f>
        <v>302</v>
      </c>
      <c r="H214" s="257">
        <f t="array" ref="H214">IF(B187=B214,H187)</f>
        <v>219</v>
      </c>
      <c r="I214" s="257">
        <f t="shared" si="10"/>
        <v>252.4</v>
      </c>
      <c r="J214" s="266">
        <f t="shared" si="11"/>
        <v>264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243</v>
      </c>
      <c r="E215" s="271">
        <f t="array" ref="E215">IF(B57=B215,H57)</f>
        <v>245</v>
      </c>
      <c r="F215" s="271">
        <f t="array" ref="F215">IF(B105=B215,H105)</f>
        <v>231</v>
      </c>
      <c r="G215" s="271">
        <f t="array" ref="G215">IF(B145=B215,H145)</f>
        <v>302</v>
      </c>
      <c r="H215" s="271">
        <f t="array" ref="H215">IF(B188=B215,H188)</f>
        <v>210</v>
      </c>
      <c r="I215" s="271">
        <f t="shared" si="10"/>
        <v>246.2</v>
      </c>
      <c r="J215" s="273">
        <f t="shared" si="11"/>
        <v>259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236</v>
      </c>
      <c r="E216" s="257">
        <f t="array" ref="E216">IF(B58=B216,H58)</f>
        <v>239</v>
      </c>
      <c r="F216" s="257">
        <f t="array" ref="F216">IF(B106=B216,H106)</f>
        <v>222</v>
      </c>
      <c r="G216" s="257">
        <f t="array" ref="G216">IF(B146=B216,H146)</f>
        <v>302</v>
      </c>
      <c r="H216" s="257">
        <f t="array" ref="H216">IF(B189=B216,H189)</f>
        <v>202</v>
      </c>
      <c r="I216" s="257">
        <f t="shared" si="10"/>
        <v>240.2</v>
      </c>
      <c r="J216" s="266">
        <f t="shared" si="11"/>
        <v>253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230</v>
      </c>
      <c r="E217" s="257">
        <f t="array" ref="E217">IF(B59=B217,H59)</f>
        <v>234</v>
      </c>
      <c r="F217" s="257">
        <f t="array" ref="F217">IF(B107=B217,H107)</f>
        <v>212</v>
      </c>
      <c r="G217" s="257">
        <f t="array" ref="G217">IF(B147=B217,H147)</f>
        <v>302</v>
      </c>
      <c r="H217" s="257">
        <f t="array" ref="H217">IF(B190=B217,H190)</f>
        <v>194</v>
      </c>
      <c r="I217" s="257">
        <f t="shared" si="10"/>
        <v>234.4</v>
      </c>
      <c r="J217" s="266">
        <f t="shared" si="11"/>
        <v>248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223</v>
      </c>
      <c r="E218" s="257">
        <f t="array" ref="E218">IF(B60=B218,H60)</f>
        <v>228</v>
      </c>
      <c r="F218" s="257">
        <f t="array" ref="F218">IF(B108=B218,H108)</f>
        <v>203</v>
      </c>
      <c r="G218" s="257">
        <f t="array" ref="G218">IF(B148=B218,H148)</f>
        <v>302</v>
      </c>
      <c r="H218" s="257">
        <f t="array" ref="H218">IF(B191=B218,H191)</f>
        <v>185</v>
      </c>
      <c r="I218" s="257">
        <f t="shared" si="10"/>
        <v>228.2</v>
      </c>
      <c r="J218" s="266">
        <f t="shared" si="11"/>
        <v>243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217</v>
      </c>
      <c r="E219" s="257">
        <f t="array" ref="E219">IF(B61=B219,H61)</f>
        <v>223</v>
      </c>
      <c r="F219" s="257">
        <f t="array" ref="F219">IF(B109=B219,H109)</f>
        <v>194</v>
      </c>
      <c r="G219" s="257">
        <f t="array" ref="G219">IF(B149=B219,H149)</f>
        <v>302</v>
      </c>
      <c r="H219" s="257">
        <f t="array" ref="H219">IF(B192=B219,H192)</f>
        <v>178</v>
      </c>
      <c r="I219" s="257">
        <f t="shared" si="10"/>
        <v>222.8</v>
      </c>
      <c r="J219" s="266">
        <f t="shared" si="11"/>
        <v>238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210</v>
      </c>
      <c r="E220" s="271">
        <f t="array" ref="E220">IF(B62=B220,H62)</f>
        <v>218</v>
      </c>
      <c r="F220" s="271">
        <f t="array" ref="F220">IF(B110=B220,H110)</f>
        <v>184</v>
      </c>
      <c r="G220" s="271">
        <f t="array" ref="G220">IF(B150=B220,H150)</f>
        <v>302</v>
      </c>
      <c r="H220" s="271">
        <f t="array" ref="H220">IF(B193=B220,H193)</f>
        <v>170</v>
      </c>
      <c r="I220" s="271">
        <f t="shared" si="10"/>
        <v>216.8</v>
      </c>
      <c r="J220" s="273">
        <f t="shared" si="11"/>
        <v>232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204</v>
      </c>
      <c r="E221" s="257">
        <f t="array" ref="E221">IF(B63=B221,H63)</f>
        <v>213</v>
      </c>
      <c r="F221" s="257">
        <f t="array" ref="F221">IF(B111=B221,H111)</f>
        <v>175</v>
      </c>
      <c r="G221" s="257">
        <f t="array" ref="G221">IF(B151=B221,H151)</f>
        <v>302</v>
      </c>
      <c r="H221" s="257">
        <f t="array" ref="H221">IF(B194=B221,H194)</f>
        <v>162</v>
      </c>
      <c r="I221" s="257">
        <f t="shared" si="10"/>
        <v>211.2</v>
      </c>
      <c r="J221" s="266">
        <f t="shared" si="11"/>
        <v>227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197</v>
      </c>
      <c r="E222" s="257">
        <f t="array" ref="E222">IF(B64=B222,H64)</f>
        <v>208</v>
      </c>
      <c r="F222" s="257">
        <f t="array" ref="F222">IF(B112=B222,H112)</f>
        <v>165</v>
      </c>
      <c r="G222" s="257">
        <f t="array" ref="G222">IF(B152=B222,H152)</f>
        <v>301</v>
      </c>
      <c r="H222" s="257">
        <f t="array" ref="H222">IF(B195=B222,H195)</f>
        <v>155</v>
      </c>
      <c r="I222" s="257">
        <f t="shared" si="10"/>
        <v>205.2</v>
      </c>
      <c r="J222" s="266">
        <f t="shared" si="11"/>
        <v>221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191</v>
      </c>
      <c r="E223" s="257">
        <f t="array" ref="E223">IF(B65=B223,H65)</f>
        <v>203</v>
      </c>
      <c r="F223" s="257">
        <f t="array" ref="F223">IF(B113=B223,H113)</f>
        <v>156</v>
      </c>
      <c r="G223" s="257">
        <f t="array" ref="G223">IF(B153=B223,H153)</f>
        <v>301</v>
      </c>
      <c r="H223" s="257">
        <f t="array" ref="H223">IF(B196=B223,H196)</f>
        <v>148</v>
      </c>
      <c r="I223" s="257">
        <f t="shared" si="10"/>
        <v>199.8</v>
      </c>
      <c r="J223" s="266">
        <f t="shared" si="11"/>
        <v>216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184</v>
      </c>
      <c r="E224" s="257">
        <f t="array" ref="E224">IF(B66=B224,H66)</f>
        <v>199</v>
      </c>
      <c r="F224" s="257">
        <f t="array" ref="F224">IF(B114=B224,H114)</f>
        <v>147</v>
      </c>
      <c r="G224" s="257">
        <f t="array" ref="G224">IF(B154=B224,H154)</f>
        <v>301</v>
      </c>
      <c r="H224" s="257">
        <f t="array" ref="H224">IF(B197=B224,H197)</f>
        <v>141</v>
      </c>
      <c r="I224" s="257">
        <f t="shared" si="10"/>
        <v>194.4</v>
      </c>
      <c r="J224" s="266">
        <f t="shared" si="11"/>
        <v>211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178</v>
      </c>
      <c r="E225" s="271">
        <f t="array" ref="E225">IF(B67=B225,H67)</f>
        <v>194</v>
      </c>
      <c r="F225" s="271">
        <f t="array" ref="F225">IF(B115=B225,H115)</f>
        <v>137</v>
      </c>
      <c r="G225" s="271">
        <f t="array" ref="G225">IF(B155=B225,H155)</f>
        <v>301</v>
      </c>
      <c r="H225" s="271">
        <f t="array" ref="H225">IF(B198=B225,H198)</f>
        <v>134</v>
      </c>
      <c r="I225" s="271">
        <f t="shared" si="10"/>
        <v>188.8</v>
      </c>
      <c r="J225" s="273">
        <f t="shared" si="11"/>
        <v>205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171</v>
      </c>
      <c r="E226" s="257">
        <f t="array" ref="E226">IF(B68=B226,H68)</f>
        <v>190</v>
      </c>
      <c r="F226" s="257">
        <f t="array" ref="F226">IF(B116=B226,H116)</f>
        <v>128</v>
      </c>
      <c r="G226" s="257">
        <f t="array" ref="G226">IF(B156=B226,H156)</f>
        <v>301</v>
      </c>
      <c r="H226" s="257">
        <f t="array" ref="H226">IF(B199=B226,H199)</f>
        <v>128</v>
      </c>
      <c r="I226" s="257">
        <f t="shared" si="10"/>
        <v>183.6</v>
      </c>
      <c r="J226" s="266">
        <f t="shared" si="11"/>
        <v>200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165</v>
      </c>
      <c r="E227" s="257">
        <f t="array" ref="E227">IF(B69=B227,H69)</f>
        <v>185</v>
      </c>
      <c r="F227" s="257">
        <f t="array" ref="F227">IF(B117=B227,H117)</f>
        <v>118</v>
      </c>
      <c r="G227" s="257">
        <f t="array" ref="G227">IF(B157=B227,H157)</f>
        <v>301</v>
      </c>
      <c r="H227" s="257">
        <f t="array" ref="H227">IF(B200=B227,H200)</f>
        <v>122</v>
      </c>
      <c r="I227" s="257">
        <f t="shared" si="10"/>
        <v>178.2</v>
      </c>
      <c r="J227" s="266">
        <f t="shared" si="11"/>
        <v>195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158</v>
      </c>
      <c r="E228" s="257">
        <f t="array" ref="E228">IF(B70=B228,H70)</f>
        <v>181</v>
      </c>
      <c r="F228" s="257">
        <f t="array" ref="F228">IF(B118=B228,H118)</f>
        <v>109</v>
      </c>
      <c r="G228" s="257">
        <f t="array" ref="G228">IF(B158=B228,H158)</f>
        <v>301</v>
      </c>
      <c r="H228" s="257">
        <f t="array" ref="H228">IF(B201=B228,H201)</f>
        <v>116</v>
      </c>
      <c r="I228" s="257">
        <f t="shared" si="10"/>
        <v>173</v>
      </c>
      <c r="J228" s="266">
        <f t="shared" si="11"/>
        <v>189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152</v>
      </c>
      <c r="E229" s="257">
        <f t="array" ref="E229">IF(B71=B229,H71)</f>
        <v>177</v>
      </c>
      <c r="F229" s="257">
        <f t="array" ref="F229">IF(B119=B229,H119)</f>
        <v>100</v>
      </c>
      <c r="G229" s="257">
        <f t="array" ref="G229">IF(B159=B229,H159)</f>
        <v>301</v>
      </c>
      <c r="H229" s="257">
        <f t="array" ref="H229">IF(B202=B229,H202)</f>
        <v>110</v>
      </c>
      <c r="I229" s="257">
        <f t="shared" si="10"/>
        <v>168</v>
      </c>
      <c r="J229" s="266">
        <f t="shared" si="11"/>
        <v>184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145</v>
      </c>
      <c r="E230" s="271">
        <f t="array" ref="E230">IF(B72=B230,H72)</f>
        <v>173</v>
      </c>
      <c r="F230" s="271">
        <f t="array" ref="F230">IF(B120=B230,H120)</f>
        <v>90</v>
      </c>
      <c r="G230" s="271">
        <f t="array" ref="G230">IF(B160=B230,H160)</f>
        <v>301</v>
      </c>
      <c r="H230" s="271">
        <f t="array" ref="H230">IF(B203=B230,H203)</f>
        <v>105</v>
      </c>
      <c r="I230" s="271">
        <f t="shared" si="10"/>
        <v>162.80000000000001</v>
      </c>
      <c r="J230" s="273">
        <f t="shared" si="11"/>
        <v>179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topLeftCell="A13"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1325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1781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실적산정'!I53</f>
        <v>160.69001409123695</v>
      </c>
      <c r="E7" s="844"/>
      <c r="F7" s="206">
        <v>0</v>
      </c>
      <c r="G7" s="206"/>
      <c r="H7" s="207">
        <v>0</v>
      </c>
      <c r="I7" s="208"/>
      <c r="J7" s="209" t="s">
        <v>1253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실적산정'!I54</f>
        <v>284.42657239652374</v>
      </c>
      <c r="E8" s="844"/>
      <c r="F8" s="206">
        <f t="shared" ref="F8:F12" si="1">D8-D7</f>
        <v>123.73655830528679</v>
      </c>
      <c r="G8" s="206"/>
      <c r="H8" s="207">
        <f t="shared" ref="H8:H12" si="2">ROUND(F8/D7*100,2)</f>
        <v>77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실적산정'!I55</f>
        <v>299.32317419145653</v>
      </c>
      <c r="E9" s="844"/>
      <c r="F9" s="206">
        <f t="shared" si="1"/>
        <v>14.896601794932792</v>
      </c>
      <c r="G9" s="206"/>
      <c r="H9" s="207">
        <f t="shared" si="2"/>
        <v>5.24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실적산정'!I56</f>
        <v>201.54440360841966</v>
      </c>
      <c r="E10" s="844"/>
      <c r="F10" s="206">
        <f t="shared" si="1"/>
        <v>-97.778770583036874</v>
      </c>
      <c r="G10" s="206"/>
      <c r="H10" s="207">
        <f t="shared" si="2"/>
        <v>-32.67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실적산정'!I57</f>
        <v>209.56012198636805</v>
      </c>
      <c r="E11" s="844"/>
      <c r="F11" s="206">
        <f t="shared" si="1"/>
        <v>8.0157183779483887</v>
      </c>
      <c r="G11" s="206"/>
      <c r="H11" s="207">
        <f t="shared" si="2"/>
        <v>3.98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실적산정'!I58</f>
        <v>214.3347034583212</v>
      </c>
      <c r="E12" s="844"/>
      <c r="F12" s="206">
        <f t="shared" si="1"/>
        <v>4.7745814719531552</v>
      </c>
      <c r="G12" s="206"/>
      <c r="H12" s="207">
        <f t="shared" si="2"/>
        <v>2.2799999999999998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>
        <f>SUM(D7:D12)</f>
        <v>1369.8789897323261</v>
      </c>
      <c r="E13" s="214"/>
      <c r="F13" s="215"/>
      <c r="G13" s="215"/>
      <c r="H13" s="918">
        <f>SUM(H7:H12)</f>
        <v>55.829999999999991</v>
      </c>
      <c r="I13" s="216"/>
      <c r="J13" s="217">
        <f>ROUND(AVERAGE(H7:H12),1)</f>
        <v>9.3000000000000007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1254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1255</v>
      </c>
      <c r="D16" s="219" t="s">
        <v>1256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1257</v>
      </c>
      <c r="D17" s="219" t="s">
        <v>1258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1259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1260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1261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1262</v>
      </c>
      <c r="C21" s="202"/>
      <c r="D21" s="202" t="s">
        <v>1263</v>
      </c>
      <c r="E21" s="202"/>
      <c r="F21" s="202" t="s">
        <v>1264</v>
      </c>
      <c r="G21" s="202"/>
      <c r="H21" s="202" t="s">
        <v>1265</v>
      </c>
      <c r="I21" s="202"/>
      <c r="J21" s="202" t="s">
        <v>1266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214</v>
      </c>
      <c r="E22" s="221"/>
      <c r="F22" s="221">
        <v>0</v>
      </c>
      <c r="G22" s="221"/>
      <c r="H22" s="221">
        <f t="shared" ref="H22:H36" si="4">ROUND(D22*(1+F22),0)</f>
        <v>214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225</v>
      </c>
      <c r="E23" s="221"/>
      <c r="F23" s="221">
        <v>0</v>
      </c>
      <c r="G23" s="221"/>
      <c r="H23" s="221">
        <f t="shared" si="4"/>
        <v>225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236</v>
      </c>
      <c r="E24" s="221"/>
      <c r="F24" s="221">
        <v>0</v>
      </c>
      <c r="G24" s="221"/>
      <c r="H24" s="221">
        <f t="shared" si="4"/>
        <v>236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246</v>
      </c>
      <c r="E25" s="221"/>
      <c r="F25" s="221">
        <v>0</v>
      </c>
      <c r="G25" s="221"/>
      <c r="H25" s="221">
        <f t="shared" si="4"/>
        <v>246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257</v>
      </c>
      <c r="E26" s="269"/>
      <c r="F26" s="269">
        <v>0</v>
      </c>
      <c r="G26" s="269"/>
      <c r="H26" s="269">
        <f t="shared" si="4"/>
        <v>257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268</v>
      </c>
      <c r="E27" s="221"/>
      <c r="F27" s="221">
        <v>0</v>
      </c>
      <c r="G27" s="221"/>
      <c r="H27" s="221">
        <f t="shared" si="4"/>
        <v>268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279</v>
      </c>
      <c r="E28" s="221"/>
      <c r="F28" s="221">
        <v>0</v>
      </c>
      <c r="G28" s="221"/>
      <c r="H28" s="221">
        <f t="shared" si="4"/>
        <v>279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289</v>
      </c>
      <c r="E29" s="221"/>
      <c r="F29" s="221">
        <v>0</v>
      </c>
      <c r="G29" s="221"/>
      <c r="H29" s="221">
        <f t="shared" si="4"/>
        <v>289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300</v>
      </c>
      <c r="E30" s="221"/>
      <c r="F30" s="221">
        <v>0</v>
      </c>
      <c r="G30" s="221"/>
      <c r="H30" s="221">
        <f t="shared" si="4"/>
        <v>300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311</v>
      </c>
      <c r="E31" s="269"/>
      <c r="F31" s="269">
        <v>0</v>
      </c>
      <c r="G31" s="269"/>
      <c r="H31" s="269">
        <f t="shared" si="4"/>
        <v>311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321</v>
      </c>
      <c r="E32" s="221"/>
      <c r="F32" s="221">
        <v>0</v>
      </c>
      <c r="G32" s="221"/>
      <c r="H32" s="221">
        <f t="shared" si="4"/>
        <v>321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332</v>
      </c>
      <c r="E33" s="221"/>
      <c r="F33" s="221">
        <v>0</v>
      </c>
      <c r="G33" s="221"/>
      <c r="H33" s="221">
        <f t="shared" si="4"/>
        <v>332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343</v>
      </c>
      <c r="E34" s="221"/>
      <c r="F34" s="221">
        <v>0</v>
      </c>
      <c r="G34" s="221"/>
      <c r="H34" s="221">
        <f t="shared" si="4"/>
        <v>343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353</v>
      </c>
      <c r="E35" s="221"/>
      <c r="F35" s="221">
        <v>0</v>
      </c>
      <c r="G35" s="221"/>
      <c r="H35" s="221">
        <f t="shared" si="4"/>
        <v>353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364</v>
      </c>
      <c r="E36" s="269"/>
      <c r="F36" s="269">
        <v>0</v>
      </c>
      <c r="G36" s="269"/>
      <c r="H36" s="269">
        <f t="shared" si="4"/>
        <v>364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375</v>
      </c>
      <c r="E37" s="221"/>
      <c r="F37" s="221">
        <v>0</v>
      </c>
      <c r="G37" s="221"/>
      <c r="H37" s="221">
        <f>ROUND(D37*(1+F37),0)</f>
        <v>375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386</v>
      </c>
      <c r="E38" s="221"/>
      <c r="F38" s="221">
        <v>0</v>
      </c>
      <c r="G38" s="221"/>
      <c r="H38" s="221">
        <f>ROUND(D38*(1+F38),0)</f>
        <v>386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396</v>
      </c>
      <c r="E39" s="221"/>
      <c r="F39" s="221">
        <v>0</v>
      </c>
      <c r="G39" s="221"/>
      <c r="H39" s="221">
        <f>ROUND(D39*(1+F39),0)</f>
        <v>396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407</v>
      </c>
      <c r="E40" s="221"/>
      <c r="F40" s="221">
        <v>0</v>
      </c>
      <c r="G40" s="221"/>
      <c r="H40" s="221">
        <f>ROUND(D40*(1+F40),0)</f>
        <v>407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418</v>
      </c>
      <c r="E41" s="269"/>
      <c r="F41" s="269">
        <v>0</v>
      </c>
      <c r="G41" s="269"/>
      <c r="H41" s="269">
        <f>ROUND(D41*(1+F41),0)</f>
        <v>418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1326</v>
      </c>
      <c r="C42" s="223"/>
      <c r="D42" s="224" t="s">
        <v>1327</v>
      </c>
      <c r="E42" s="225">
        <f>D$12</f>
        <v>214.3347034583212</v>
      </c>
      <c r="F42" s="226"/>
      <c r="G42" s="224" t="s">
        <v>1269</v>
      </c>
      <c r="H42" s="224">
        <f>ROUND((D$12-D7)/(COUNT(D$7:D$12)-1),1)</f>
        <v>10.7</v>
      </c>
      <c r="I42" s="224"/>
      <c r="J42" s="224" t="s">
        <v>1270</v>
      </c>
      <c r="K42" s="227" t="s">
        <v>1271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1272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1255</v>
      </c>
      <c r="D47" s="219" t="s">
        <v>1273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1257</v>
      </c>
      <c r="D48" s="219" t="s">
        <v>1258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1259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1274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1275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1262</v>
      </c>
      <c r="C53" s="202"/>
      <c r="D53" s="202" t="s">
        <v>1263</v>
      </c>
      <c r="E53" s="202"/>
      <c r="F53" s="202" t="s">
        <v>1264</v>
      </c>
      <c r="G53" s="202"/>
      <c r="H53" s="202" t="s">
        <v>1265</v>
      </c>
      <c r="I53" s="202"/>
      <c r="J53" s="202" t="s">
        <v>1266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214</v>
      </c>
      <c r="E54" s="221"/>
      <c r="F54" s="221">
        <v>0</v>
      </c>
      <c r="G54" s="221"/>
      <c r="H54" s="221">
        <f t="shared" ref="H54:H68" si="6">ROUND(D54*(1+F54),0)</f>
        <v>214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227</v>
      </c>
      <c r="E55" s="221"/>
      <c r="F55" s="221">
        <v>0</v>
      </c>
      <c r="G55" s="221"/>
      <c r="H55" s="221">
        <f t="shared" si="6"/>
        <v>227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241</v>
      </c>
      <c r="E56" s="221"/>
      <c r="F56" s="221">
        <v>0</v>
      </c>
      <c r="G56" s="221"/>
      <c r="H56" s="221">
        <f t="shared" si="6"/>
        <v>241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255</v>
      </c>
      <c r="E57" s="221"/>
      <c r="F57" s="221">
        <v>0</v>
      </c>
      <c r="G57" s="221"/>
      <c r="H57" s="221">
        <f t="shared" si="6"/>
        <v>255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270</v>
      </c>
      <c r="E58" s="269"/>
      <c r="F58" s="269">
        <v>0</v>
      </c>
      <c r="G58" s="269"/>
      <c r="H58" s="269">
        <f t="shared" si="6"/>
        <v>270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286</v>
      </c>
      <c r="E59" s="221"/>
      <c r="F59" s="221">
        <v>0</v>
      </c>
      <c r="G59" s="221"/>
      <c r="H59" s="221">
        <f t="shared" si="6"/>
        <v>286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303</v>
      </c>
      <c r="E60" s="221"/>
      <c r="F60" s="221">
        <v>0</v>
      </c>
      <c r="G60" s="221"/>
      <c r="H60" s="221">
        <f t="shared" si="6"/>
        <v>303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321</v>
      </c>
      <c r="E61" s="221"/>
      <c r="F61" s="221">
        <v>0</v>
      </c>
      <c r="G61" s="221"/>
      <c r="H61" s="221">
        <f t="shared" si="6"/>
        <v>321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340</v>
      </c>
      <c r="E62" s="221"/>
      <c r="F62" s="221">
        <v>0</v>
      </c>
      <c r="G62" s="221"/>
      <c r="H62" s="221">
        <f t="shared" si="6"/>
        <v>340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360</v>
      </c>
      <c r="E63" s="269"/>
      <c r="F63" s="269">
        <v>0</v>
      </c>
      <c r="G63" s="269"/>
      <c r="H63" s="269">
        <f t="shared" si="6"/>
        <v>360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381</v>
      </c>
      <c r="E64" s="221"/>
      <c r="F64" s="221">
        <v>0</v>
      </c>
      <c r="G64" s="221"/>
      <c r="H64" s="221">
        <f t="shared" si="6"/>
        <v>381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404</v>
      </c>
      <c r="E65" s="221"/>
      <c r="F65" s="221">
        <v>0</v>
      </c>
      <c r="G65" s="221"/>
      <c r="H65" s="221">
        <f t="shared" si="6"/>
        <v>404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428</v>
      </c>
      <c r="E66" s="221"/>
      <c r="F66" s="221">
        <v>0</v>
      </c>
      <c r="G66" s="221"/>
      <c r="H66" s="221">
        <f t="shared" si="6"/>
        <v>428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453</v>
      </c>
      <c r="E67" s="221"/>
      <c r="F67" s="221">
        <v>0</v>
      </c>
      <c r="G67" s="221"/>
      <c r="H67" s="221">
        <f t="shared" si="6"/>
        <v>453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480</v>
      </c>
      <c r="E68" s="269"/>
      <c r="F68" s="269">
        <v>0</v>
      </c>
      <c r="G68" s="269"/>
      <c r="H68" s="269">
        <f t="shared" si="6"/>
        <v>480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509</v>
      </c>
      <c r="E69" s="221"/>
      <c r="F69" s="221">
        <v>0</v>
      </c>
      <c r="G69" s="221"/>
      <c r="H69" s="221">
        <f>ROUND(D69*(1+F69),0)</f>
        <v>509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539</v>
      </c>
      <c r="E70" s="221"/>
      <c r="F70" s="221">
        <v>0</v>
      </c>
      <c r="G70" s="221"/>
      <c r="H70" s="221">
        <f>ROUND(D70*(1+F70),0)</f>
        <v>539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571</v>
      </c>
      <c r="E71" s="221"/>
      <c r="F71" s="221">
        <v>0</v>
      </c>
      <c r="G71" s="221"/>
      <c r="H71" s="221">
        <f>ROUND(D71*(1+F71),0)</f>
        <v>571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605</v>
      </c>
      <c r="E72" s="221"/>
      <c r="F72" s="221">
        <v>0</v>
      </c>
      <c r="G72" s="221"/>
      <c r="H72" s="221">
        <f>ROUND(D72*(1+F72),0)</f>
        <v>605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640</v>
      </c>
      <c r="E73" s="269"/>
      <c r="F73" s="269">
        <v>0</v>
      </c>
      <c r="G73" s="269"/>
      <c r="H73" s="269">
        <f>ROUND(D73*(1+F73),0)</f>
        <v>640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1276</v>
      </c>
      <c r="C74" s="223"/>
      <c r="D74" s="224" t="s">
        <v>1277</v>
      </c>
      <c r="E74" s="225">
        <f>D$12</f>
        <v>214.3347034583212</v>
      </c>
      <c r="F74" s="226"/>
      <c r="G74" s="224" t="s">
        <v>179</v>
      </c>
      <c r="H74" s="224">
        <f>ROUND((E$74/D$7)^(1/(COUNT(D$7:D$12)-1)),6)</f>
        <v>1.059304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160.69001409123695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-401.73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284.42657239652374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-426.64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299.32317419145653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-149.66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201.54440360841966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100.77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209.56012198636805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314.33999999999997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214.3347034583212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535.84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1278</v>
      </c>
      <c r="C97" s="212"/>
      <c r="D97" s="232">
        <f>SUM(D91:D96)</f>
        <v>1369.8789897323261</v>
      </c>
      <c r="E97" s="215"/>
      <c r="F97" s="233">
        <f>ROUND(SUM(F91:F96),0)</f>
        <v>18</v>
      </c>
      <c r="G97" s="212"/>
      <c r="H97" s="234">
        <f>SUM(H91:H96)</f>
        <v>-27.080000000000041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1279</v>
      </c>
      <c r="C98" s="208"/>
      <c r="D98" s="236" t="s">
        <v>1280</v>
      </c>
      <c r="E98" s="203"/>
      <c r="F98" s="203"/>
      <c r="G98" s="201">
        <f>((COUNT(B$91:B$96))*H$97-D$97*E$97)/((COUNT(B$91:B$96))*F$97-E$97*E$97)</f>
        <v>-1.5044444444444467</v>
      </c>
      <c r="H98" s="236" t="s">
        <v>1281</v>
      </c>
      <c r="I98" s="201"/>
      <c r="J98" s="201"/>
      <c r="K98" s="201">
        <f>ROUND((F97*D97-H97*E97)/(COUNT(B$91:B$96)*F97-E97*E97),0)</f>
        <v>228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1282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1262</v>
      </c>
      <c r="C102" s="202"/>
      <c r="D102" s="202" t="s">
        <v>1263</v>
      </c>
      <c r="E102" s="202"/>
      <c r="F102" s="202" t="s">
        <v>1264</v>
      </c>
      <c r="G102" s="202"/>
      <c r="H102" s="202" t="s">
        <v>1265</v>
      </c>
      <c r="I102" s="202"/>
      <c r="J102" s="202" t="s">
        <v>1266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225</v>
      </c>
      <c r="E103" s="221"/>
      <c r="F103" s="221">
        <v>0</v>
      </c>
      <c r="G103" s="221"/>
      <c r="H103" s="221">
        <f t="shared" ref="H103:H117" si="13">ROUND(D103*(1+F103),0)</f>
        <v>225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223</v>
      </c>
      <c r="E104" s="221"/>
      <c r="F104" s="221">
        <v>0</v>
      </c>
      <c r="G104" s="221"/>
      <c r="H104" s="221">
        <f t="shared" si="13"/>
        <v>223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222</v>
      </c>
      <c r="E105" s="221"/>
      <c r="F105" s="221">
        <v>0</v>
      </c>
      <c r="G105" s="221"/>
      <c r="H105" s="221">
        <f t="shared" si="13"/>
        <v>222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220</v>
      </c>
      <c r="E106" s="221"/>
      <c r="F106" s="221">
        <v>0</v>
      </c>
      <c r="G106" s="221"/>
      <c r="H106" s="221">
        <f t="shared" si="13"/>
        <v>220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219</v>
      </c>
      <c r="E107" s="269"/>
      <c r="F107" s="269">
        <v>0</v>
      </c>
      <c r="G107" s="269"/>
      <c r="H107" s="269">
        <f t="shared" si="13"/>
        <v>219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217</v>
      </c>
      <c r="E108" s="221"/>
      <c r="F108" s="221">
        <v>0</v>
      </c>
      <c r="G108" s="221"/>
      <c r="H108" s="221">
        <f t="shared" si="13"/>
        <v>217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216</v>
      </c>
      <c r="E109" s="221"/>
      <c r="F109" s="221">
        <v>0</v>
      </c>
      <c r="G109" s="221"/>
      <c r="H109" s="221">
        <f t="shared" si="13"/>
        <v>216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214</v>
      </c>
      <c r="E110" s="221"/>
      <c r="F110" s="221">
        <v>0</v>
      </c>
      <c r="G110" s="221"/>
      <c r="H110" s="221">
        <f t="shared" si="13"/>
        <v>214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213</v>
      </c>
      <c r="E111" s="221"/>
      <c r="F111" s="221">
        <v>0</v>
      </c>
      <c r="G111" s="221"/>
      <c r="H111" s="221">
        <f t="shared" si="13"/>
        <v>213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211</v>
      </c>
      <c r="E112" s="269"/>
      <c r="F112" s="269">
        <v>0</v>
      </c>
      <c r="G112" s="269"/>
      <c r="H112" s="269">
        <f t="shared" si="13"/>
        <v>211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210</v>
      </c>
      <c r="E113" s="221"/>
      <c r="F113" s="221">
        <v>0</v>
      </c>
      <c r="G113" s="221"/>
      <c r="H113" s="221">
        <f t="shared" si="13"/>
        <v>210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208</v>
      </c>
      <c r="E114" s="221"/>
      <c r="F114" s="221">
        <v>0</v>
      </c>
      <c r="G114" s="221"/>
      <c r="H114" s="221">
        <f t="shared" si="13"/>
        <v>208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207</v>
      </c>
      <c r="E115" s="221"/>
      <c r="F115" s="221">
        <v>0</v>
      </c>
      <c r="G115" s="221"/>
      <c r="H115" s="221">
        <f t="shared" si="13"/>
        <v>207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205</v>
      </c>
      <c r="E116" s="221"/>
      <c r="F116" s="221">
        <v>0</v>
      </c>
      <c r="G116" s="221"/>
      <c r="H116" s="221">
        <f t="shared" si="13"/>
        <v>205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204</v>
      </c>
      <c r="E117" s="269"/>
      <c r="F117" s="269">
        <v>0</v>
      </c>
      <c r="G117" s="269"/>
      <c r="H117" s="269">
        <f t="shared" si="13"/>
        <v>204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202</v>
      </c>
      <c r="E118" s="221"/>
      <c r="F118" s="221">
        <v>0</v>
      </c>
      <c r="G118" s="221"/>
      <c r="H118" s="221">
        <f>ROUND(D118*(1+F118),0)</f>
        <v>202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201</v>
      </c>
      <c r="E119" s="221"/>
      <c r="F119" s="221">
        <v>0</v>
      </c>
      <c r="G119" s="221"/>
      <c r="H119" s="221">
        <f>ROUND(D119*(1+F119),0)</f>
        <v>201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199</v>
      </c>
      <c r="E120" s="221"/>
      <c r="F120" s="221">
        <v>0</v>
      </c>
      <c r="G120" s="221"/>
      <c r="H120" s="221">
        <f>ROUND(D120*(1+F120),0)</f>
        <v>199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198</v>
      </c>
      <c r="E121" s="221"/>
      <c r="F121" s="221">
        <v>0</v>
      </c>
      <c r="G121" s="221"/>
      <c r="H121" s="221">
        <f>ROUND(D121*(1+F121),0)</f>
        <v>198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196</v>
      </c>
      <c r="E122" s="269"/>
      <c r="F122" s="269">
        <v>0</v>
      </c>
      <c r="G122" s="269"/>
      <c r="H122" s="269">
        <f>ROUND(D122*(1+F122),0)</f>
        <v>196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1283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1255</v>
      </c>
      <c r="D126" s="219" t="s">
        <v>1284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1285</v>
      </c>
      <c r="D127" s="219" t="s">
        <v>1286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1287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1288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1289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1262</v>
      </c>
      <c r="C131" s="202"/>
      <c r="D131" s="202" t="s">
        <v>1290</v>
      </c>
      <c r="E131" s="202" t="s">
        <v>1291</v>
      </c>
      <c r="F131" s="202" t="s">
        <v>1291</v>
      </c>
      <c r="G131" s="202" t="s">
        <v>1292</v>
      </c>
      <c r="H131" s="202" t="s">
        <v>1293</v>
      </c>
      <c r="I131" s="202"/>
      <c r="J131" s="202" t="s">
        <v>1294</v>
      </c>
      <c r="K131" s="202" t="s">
        <v>1295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160.69001409123695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284.42657239652374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123.73655830528679</v>
      </c>
      <c r="I133" s="231"/>
      <c r="J133" s="247">
        <f t="shared" ref="J133:J137" si="20">IF(H133="","",LOG(H133))</f>
        <v>2.0924980320831286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299.32317419145653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14.896601794932792</v>
      </c>
      <c r="I134" s="231"/>
      <c r="J134" s="247">
        <f t="shared" si="20"/>
        <v>1.173087208678844</v>
      </c>
      <c r="K134" s="247">
        <f t="shared" si="17"/>
        <v>0.35313443734206423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201.54440360841966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97.778770583036874</v>
      </c>
      <c r="I135" s="231"/>
      <c r="J135" s="247">
        <f t="shared" si="20"/>
        <v>1.9902445723800597</v>
      </c>
      <c r="K135" s="247">
        <f t="shared" si="17"/>
        <v>0.94958798757297214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209.56012198636805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8.0157183779483887</v>
      </c>
      <c r="I136" s="231"/>
      <c r="J136" s="247">
        <f t="shared" si="20"/>
        <v>0.90394245040796084</v>
      </c>
      <c r="K136" s="247">
        <f t="shared" si="17"/>
        <v>0.54422758385359393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214.3347034583212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4.7745814719531552</v>
      </c>
      <c r="I137" s="231"/>
      <c r="J137" s="247">
        <f t="shared" si="20"/>
        <v>0.67893530840404903</v>
      </c>
      <c r="K137" s="247">
        <f t="shared" si="17"/>
        <v>0.47455541545905444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1278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6.8387075719540418</v>
      </c>
      <c r="K138" s="253">
        <f>IF(K137="","",SUM(K132:K137))</f>
        <v>2.3215054242276847</v>
      </c>
      <c r="L138" s="203"/>
      <c r="M138" s="203"/>
      <c r="N138" s="203"/>
      <c r="O138" s="203"/>
    </row>
    <row r="139" spans="1:15" ht="15" customHeight="1">
      <c r="A139" s="203"/>
      <c r="B139" s="208" t="s">
        <v>1296</v>
      </c>
      <c r="C139" s="208"/>
      <c r="D139" s="201" t="s">
        <v>1269</v>
      </c>
      <c r="E139" s="201">
        <f>IF(G138="",0,10^ROUND((G138*J138-F138*K138)/((COUNT(B$132:B$137)-1)*G138-F138*F138),5))</f>
        <v>120.3677105161719</v>
      </c>
      <c r="F139" s="238" t="s">
        <v>1297</v>
      </c>
      <c r="G139" s="203"/>
      <c r="H139" s="208"/>
      <c r="I139" s="203"/>
      <c r="J139" s="254">
        <f>IF(G138="",0,ROUND(((COUNT(B$132:B$137)-1)*K138-J138*F138)/((COUNT(B$132:B$137)-1)*G138-F138*F138),5))</f>
        <v>-1.71407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1298</v>
      </c>
      <c r="E140" s="219"/>
      <c r="F140" s="219"/>
      <c r="G140" s="256"/>
      <c r="H140" s="201" t="s">
        <v>1299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1282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1262</v>
      </c>
      <c r="C143" s="202"/>
      <c r="D143" s="202" t="s">
        <v>1263</v>
      </c>
      <c r="E143" s="202"/>
      <c r="F143" s="202" t="s">
        <v>1264</v>
      </c>
      <c r="G143" s="202"/>
      <c r="H143" s="202" t="s">
        <v>1265</v>
      </c>
      <c r="I143" s="202"/>
      <c r="J143" s="202" t="s">
        <v>1266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169</v>
      </c>
      <c r="E144" s="257"/>
      <c r="F144" s="258">
        <v>0</v>
      </c>
      <c r="G144" s="258"/>
      <c r="H144" s="258">
        <f t="shared" ref="H144:H158" si="21">ROUND(D144*(1+F144),0)</f>
        <v>169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167</v>
      </c>
      <c r="E145" s="257"/>
      <c r="F145" s="258">
        <v>0</v>
      </c>
      <c r="G145" s="258"/>
      <c r="H145" s="258">
        <f t="shared" si="21"/>
        <v>167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165</v>
      </c>
      <c r="E146" s="257"/>
      <c r="F146" s="258">
        <v>0</v>
      </c>
      <c r="G146" s="258"/>
      <c r="H146" s="258">
        <f t="shared" si="21"/>
        <v>165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165</v>
      </c>
      <c r="E147" s="257"/>
      <c r="F147" s="258">
        <v>0</v>
      </c>
      <c r="G147" s="258"/>
      <c r="H147" s="258">
        <f t="shared" si="21"/>
        <v>165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164</v>
      </c>
      <c r="E148" s="271"/>
      <c r="F148" s="272">
        <v>0</v>
      </c>
      <c r="G148" s="272"/>
      <c r="H148" s="272">
        <f t="shared" si="21"/>
        <v>164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164</v>
      </c>
      <c r="E149" s="257"/>
      <c r="F149" s="258">
        <v>0</v>
      </c>
      <c r="G149" s="258"/>
      <c r="H149" s="258">
        <f t="shared" si="21"/>
        <v>164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163</v>
      </c>
      <c r="E150" s="257"/>
      <c r="F150" s="258">
        <v>0</v>
      </c>
      <c r="G150" s="258"/>
      <c r="H150" s="258">
        <f t="shared" si="21"/>
        <v>163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163</v>
      </c>
      <c r="E151" s="257"/>
      <c r="F151" s="258">
        <v>0</v>
      </c>
      <c r="G151" s="258"/>
      <c r="H151" s="258">
        <f t="shared" si="21"/>
        <v>163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163</v>
      </c>
      <c r="E152" s="257"/>
      <c r="F152" s="258">
        <v>0</v>
      </c>
      <c r="G152" s="258"/>
      <c r="H152" s="258">
        <f t="shared" si="21"/>
        <v>163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162</v>
      </c>
      <c r="E153" s="271"/>
      <c r="F153" s="272">
        <v>0</v>
      </c>
      <c r="G153" s="272"/>
      <c r="H153" s="272">
        <f t="shared" si="21"/>
        <v>162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162</v>
      </c>
      <c r="E154" s="257"/>
      <c r="F154" s="258">
        <v>0</v>
      </c>
      <c r="G154" s="258"/>
      <c r="H154" s="258">
        <f t="shared" si="21"/>
        <v>162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162</v>
      </c>
      <c r="E155" s="257"/>
      <c r="F155" s="258">
        <v>0</v>
      </c>
      <c r="G155" s="258"/>
      <c r="H155" s="258">
        <f t="shared" si="21"/>
        <v>162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162</v>
      </c>
      <c r="E156" s="257"/>
      <c r="F156" s="258">
        <v>0</v>
      </c>
      <c r="G156" s="258"/>
      <c r="H156" s="258">
        <f t="shared" si="21"/>
        <v>162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162</v>
      </c>
      <c r="E157" s="257"/>
      <c r="F157" s="258">
        <v>0</v>
      </c>
      <c r="G157" s="258"/>
      <c r="H157" s="258">
        <f t="shared" si="21"/>
        <v>162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162</v>
      </c>
      <c r="E158" s="271"/>
      <c r="F158" s="272">
        <v>0</v>
      </c>
      <c r="G158" s="272"/>
      <c r="H158" s="272">
        <f t="shared" si="21"/>
        <v>162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162</v>
      </c>
      <c r="E159" s="257"/>
      <c r="F159" s="258">
        <v>0</v>
      </c>
      <c r="G159" s="258"/>
      <c r="H159" s="258">
        <f>ROUND(D159*(1+F159),0)</f>
        <v>162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162</v>
      </c>
      <c r="E160" s="257"/>
      <c r="F160" s="258">
        <v>0</v>
      </c>
      <c r="G160" s="258"/>
      <c r="H160" s="258">
        <f>ROUND(D160*(1+F160),0)</f>
        <v>162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162</v>
      </c>
      <c r="E161" s="257"/>
      <c r="F161" s="258">
        <v>0</v>
      </c>
      <c r="G161" s="258"/>
      <c r="H161" s="258">
        <f>ROUND(D161*(1+F161),0)</f>
        <v>162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162</v>
      </c>
      <c r="E162" s="257"/>
      <c r="F162" s="258">
        <v>0</v>
      </c>
      <c r="G162" s="258"/>
      <c r="H162" s="258">
        <f>ROUND(D162*(1+F162),0)</f>
        <v>162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162</v>
      </c>
      <c r="E163" s="271"/>
      <c r="F163" s="272">
        <v>0</v>
      </c>
      <c r="G163" s="272"/>
      <c r="H163" s="272">
        <f>ROUND(D163*(1+F163),0)</f>
        <v>162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1300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1255</v>
      </c>
      <c r="D170" s="219" t="s">
        <v>1301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1285</v>
      </c>
      <c r="D171" s="219" t="s">
        <v>1286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1302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160.69001409123695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439.30998590876305</v>
      </c>
      <c r="H175" s="259">
        <f t="shared" ref="H175:H180" si="28">LOG(D175)</f>
        <v>2.2059888888366275</v>
      </c>
      <c r="I175" s="245">
        <f t="shared" ref="I175:I180" si="29">LOG(G175)</f>
        <v>2.6427710752793936</v>
      </c>
      <c r="J175" s="246">
        <f t="shared" ref="J175:J180" si="30">H175-I175</f>
        <v>-0.43678218644276612</v>
      </c>
      <c r="K175" s="246">
        <f t="shared" ref="K175:K180" si="31">E175*J175</f>
        <v>1.0919554661069153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284.42657239652374</v>
      </c>
      <c r="E176" s="244">
        <f t="shared" si="25"/>
        <v>-1.5</v>
      </c>
      <c r="F176" s="206">
        <f t="shared" si="26"/>
        <v>2.25</v>
      </c>
      <c r="G176" s="844">
        <f t="shared" si="27"/>
        <v>315.57342760347626</v>
      </c>
      <c r="H176" s="259">
        <f t="shared" si="28"/>
        <v>2.4539701676769057</v>
      </c>
      <c r="I176" s="245">
        <f t="shared" si="29"/>
        <v>2.4991004269485604</v>
      </c>
      <c r="J176" s="246">
        <f t="shared" si="30"/>
        <v>-4.5130259271654705E-2</v>
      </c>
      <c r="K176" s="246">
        <f t="shared" si="31"/>
        <v>6.7695388907482057E-2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299.32317419145653</v>
      </c>
      <c r="E177" s="244">
        <f t="shared" si="25"/>
        <v>-0.5</v>
      </c>
      <c r="F177" s="206">
        <f t="shared" si="26"/>
        <v>0.25</v>
      </c>
      <c r="G177" s="844">
        <f t="shared" si="27"/>
        <v>300.67682580854347</v>
      </c>
      <c r="H177" s="259">
        <f t="shared" si="28"/>
        <v>2.4761403420786086</v>
      </c>
      <c r="I177" s="245">
        <f t="shared" si="29"/>
        <v>2.4780999568291109</v>
      </c>
      <c r="J177" s="246">
        <f t="shared" si="30"/>
        <v>-1.9596147505023254E-3</v>
      </c>
      <c r="K177" s="246">
        <f t="shared" si="31"/>
        <v>9.7980737525116268E-4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201.54440360841966</v>
      </c>
      <c r="E178" s="244">
        <f t="shared" si="25"/>
        <v>0.5</v>
      </c>
      <c r="F178" s="206">
        <f t="shared" si="26"/>
        <v>0.25</v>
      </c>
      <c r="G178" s="844">
        <f t="shared" si="27"/>
        <v>398.45559639158034</v>
      </c>
      <c r="H178" s="259">
        <f t="shared" si="28"/>
        <v>2.304370743368624</v>
      </c>
      <c r="I178" s="245">
        <f t="shared" si="29"/>
        <v>2.6003799309602758</v>
      </c>
      <c r="J178" s="246">
        <f t="shared" si="30"/>
        <v>-0.29600918759165173</v>
      </c>
      <c r="K178" s="246">
        <f t="shared" si="31"/>
        <v>-0.14800459379582587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209.56012198636805</v>
      </c>
      <c r="E179" s="244">
        <f t="shared" si="25"/>
        <v>1.5</v>
      </c>
      <c r="F179" s="206">
        <f t="shared" si="26"/>
        <v>2.25</v>
      </c>
      <c r="G179" s="844">
        <f t="shared" si="27"/>
        <v>390.43987801363198</v>
      </c>
      <c r="H179" s="259">
        <f t="shared" si="28"/>
        <v>2.3213086425817453</v>
      </c>
      <c r="I179" s="245">
        <f t="shared" si="29"/>
        <v>2.5915541684126921</v>
      </c>
      <c r="J179" s="246">
        <f t="shared" si="30"/>
        <v>-0.27024552583094685</v>
      </c>
      <c r="K179" s="246">
        <f t="shared" si="31"/>
        <v>-0.40536828874642028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214.3347034583212</v>
      </c>
      <c r="E180" s="244">
        <f t="shared" si="25"/>
        <v>2.5</v>
      </c>
      <c r="F180" s="206">
        <f t="shared" si="26"/>
        <v>6.25</v>
      </c>
      <c r="G180" s="844">
        <f t="shared" si="27"/>
        <v>385.6652965416788</v>
      </c>
      <c r="H180" s="259">
        <f t="shared" si="28"/>
        <v>2.3310924944214486</v>
      </c>
      <c r="I180" s="245">
        <f t="shared" si="29"/>
        <v>2.5862105613484778</v>
      </c>
      <c r="J180" s="246">
        <f t="shared" si="30"/>
        <v>-0.25511806692702921</v>
      </c>
      <c r="K180" s="246">
        <f t="shared" si="31"/>
        <v>-0.63779516731757302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>
        <f>SUM(D175:D180)</f>
        <v>1369.8789897323261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-1.3052448408145509</v>
      </c>
      <c r="K181" s="263">
        <f>SUM(K175:K180)</f>
        <v>-3.0537387470170652E-2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>
        <f>ROUND(((E$181*K$181-F$181*J$181)/(COUNT(B$175:B$180)*F$181-E$181*E$181))/LOG(EXP(1)),5)</f>
        <v>0.50090999999999997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>
        <f>ROUND((COUNT(B$175:B$180)*K181-E181*J181)/(LOG(EXP(1))*(COUNT(B$175:B$180)*F181-E181*E181)),6)</f>
        <v>-3.9060000000000002E-3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224</v>
      </c>
      <c r="E188" s="221"/>
      <c r="F188" s="221">
        <v>0</v>
      </c>
      <c r="G188" s="221"/>
      <c r="H188" s="221">
        <f t="shared" ref="H188:H202" si="33">ROUND(D188*(1+F188),0)</f>
        <v>224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224</v>
      </c>
      <c r="E189" s="221"/>
      <c r="F189" s="221">
        <v>0</v>
      </c>
      <c r="G189" s="221"/>
      <c r="H189" s="221">
        <f t="shared" si="33"/>
        <v>224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223</v>
      </c>
      <c r="E190" s="221"/>
      <c r="F190" s="221">
        <v>0</v>
      </c>
      <c r="G190" s="221"/>
      <c r="H190" s="221">
        <f t="shared" si="33"/>
        <v>223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223</v>
      </c>
      <c r="E191" s="221"/>
      <c r="F191" s="221">
        <v>0</v>
      </c>
      <c r="G191" s="221"/>
      <c r="H191" s="221">
        <f t="shared" si="33"/>
        <v>223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222</v>
      </c>
      <c r="E192" s="269"/>
      <c r="F192" s="269">
        <v>0</v>
      </c>
      <c r="G192" s="269"/>
      <c r="H192" s="269">
        <f t="shared" si="33"/>
        <v>222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222</v>
      </c>
      <c r="E193" s="221"/>
      <c r="F193" s="221">
        <v>0</v>
      </c>
      <c r="G193" s="221"/>
      <c r="H193" s="221">
        <f t="shared" si="33"/>
        <v>222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221</v>
      </c>
      <c r="E194" s="221"/>
      <c r="F194" s="221">
        <v>0</v>
      </c>
      <c r="G194" s="221"/>
      <c r="H194" s="221">
        <f t="shared" si="33"/>
        <v>221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221</v>
      </c>
      <c r="E195" s="221"/>
      <c r="F195" s="221">
        <v>0</v>
      </c>
      <c r="G195" s="221"/>
      <c r="H195" s="221">
        <f t="shared" si="33"/>
        <v>221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220</v>
      </c>
      <c r="E196" s="221"/>
      <c r="F196" s="221">
        <v>0</v>
      </c>
      <c r="G196" s="221"/>
      <c r="H196" s="221">
        <f t="shared" si="33"/>
        <v>220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220</v>
      </c>
      <c r="E197" s="269"/>
      <c r="F197" s="269">
        <v>0</v>
      </c>
      <c r="G197" s="269"/>
      <c r="H197" s="269">
        <f t="shared" si="33"/>
        <v>220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219</v>
      </c>
      <c r="E198" s="221"/>
      <c r="F198" s="221">
        <v>0</v>
      </c>
      <c r="G198" s="221"/>
      <c r="H198" s="221">
        <f t="shared" si="33"/>
        <v>219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218</v>
      </c>
      <c r="E199" s="221"/>
      <c r="F199" s="221">
        <v>0</v>
      </c>
      <c r="G199" s="221"/>
      <c r="H199" s="221">
        <f t="shared" si="33"/>
        <v>218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218</v>
      </c>
      <c r="E200" s="221"/>
      <c r="F200" s="221">
        <v>0</v>
      </c>
      <c r="G200" s="221"/>
      <c r="H200" s="221">
        <f t="shared" si="33"/>
        <v>218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217</v>
      </c>
      <c r="E201" s="221"/>
      <c r="F201" s="221">
        <v>0</v>
      </c>
      <c r="G201" s="221"/>
      <c r="H201" s="221">
        <f t="shared" si="33"/>
        <v>217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217</v>
      </c>
      <c r="E202" s="269"/>
      <c r="F202" s="269">
        <v>0</v>
      </c>
      <c r="G202" s="269"/>
      <c r="H202" s="269">
        <f t="shared" si="33"/>
        <v>217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216</v>
      </c>
      <c r="E203" s="221"/>
      <c r="F203" s="221">
        <v>0</v>
      </c>
      <c r="G203" s="221"/>
      <c r="H203" s="221">
        <f>ROUND(D203*(1+F203),0)</f>
        <v>216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216</v>
      </c>
      <c r="E204" s="221"/>
      <c r="F204" s="221">
        <v>0</v>
      </c>
      <c r="G204" s="221"/>
      <c r="H204" s="221">
        <f>ROUND(D204*(1+F204),0)</f>
        <v>216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215</v>
      </c>
      <c r="E205" s="221"/>
      <c r="F205" s="221">
        <v>0</v>
      </c>
      <c r="G205" s="221"/>
      <c r="H205" s="221">
        <f>ROUND(D205*(1+F205),0)</f>
        <v>215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215</v>
      </c>
      <c r="E206" s="221"/>
      <c r="F206" s="221">
        <v>0</v>
      </c>
      <c r="G206" s="221"/>
      <c r="H206" s="221">
        <f>ROUND(D206*(1+F206),0)</f>
        <v>215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214</v>
      </c>
      <c r="E207" s="269"/>
      <c r="F207" s="269">
        <v>0</v>
      </c>
      <c r="G207" s="269"/>
      <c r="H207" s="269">
        <f>ROUND(D207*(1+F207),0)</f>
        <v>214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214</v>
      </c>
      <c r="E215" s="257">
        <f t="array" ref="E215">IF(B54=B215,H54)</f>
        <v>214</v>
      </c>
      <c r="F215" s="257">
        <f t="array" ref="F215">IF(B103=B215,H103)</f>
        <v>225</v>
      </c>
      <c r="G215" s="257">
        <f t="array" ref="G215">IF(B144=B215,H144)</f>
        <v>169</v>
      </c>
      <c r="H215" s="257">
        <f t="array" ref="H215">IF(B188=B215,H188)</f>
        <v>224</v>
      </c>
      <c r="I215" s="257">
        <f t="shared" ref="I215:I229" si="34">IF(G215=0,AVERAGE(D215,E215,F215,H215),AVERAGE(D215:H215))</f>
        <v>209.2</v>
      </c>
      <c r="J215" s="266">
        <f t="shared" ref="J215:J229" si="35">ROUND(AVERAGE(D215,F215:G215),0)</f>
        <v>203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225</v>
      </c>
      <c r="E216" s="257">
        <f t="array" ref="E216">IF(B55=B216,H55)</f>
        <v>227</v>
      </c>
      <c r="F216" s="257">
        <f t="array" ref="F216">IF(B104=B216,H104)</f>
        <v>223</v>
      </c>
      <c r="G216" s="257">
        <f t="array" ref="G216">IF(B145=B216,H145)</f>
        <v>167</v>
      </c>
      <c r="H216" s="257">
        <f t="array" ref="H216">IF(B189=B216,H189)</f>
        <v>224</v>
      </c>
      <c r="I216" s="257">
        <f t="shared" si="34"/>
        <v>213.2</v>
      </c>
      <c r="J216" s="266">
        <f t="shared" si="35"/>
        <v>205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236</v>
      </c>
      <c r="E217" s="257">
        <f t="array" ref="E217">IF(B56=B217,H56)</f>
        <v>241</v>
      </c>
      <c r="F217" s="257">
        <f t="array" ref="F217">IF(B105=B217,H105)</f>
        <v>222</v>
      </c>
      <c r="G217" s="257">
        <f t="array" ref="G217">IF(B146=B217,H146)</f>
        <v>165</v>
      </c>
      <c r="H217" s="257">
        <f t="array" ref="H217">IF(B190=B217,H190)</f>
        <v>223</v>
      </c>
      <c r="I217" s="257">
        <f t="shared" si="34"/>
        <v>217.4</v>
      </c>
      <c r="J217" s="266">
        <f t="shared" si="35"/>
        <v>208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246</v>
      </c>
      <c r="E218" s="257">
        <f t="array" ref="E218">IF(B57=B218,H57)</f>
        <v>255</v>
      </c>
      <c r="F218" s="257">
        <f t="array" ref="F218">IF(B106=B218,H106)</f>
        <v>220</v>
      </c>
      <c r="G218" s="257">
        <f t="array" ref="G218">IF(B147=B218,H147)</f>
        <v>165</v>
      </c>
      <c r="H218" s="257">
        <f t="array" ref="H218">IF(B191=B218,H191)</f>
        <v>223</v>
      </c>
      <c r="I218" s="257">
        <f t="shared" si="34"/>
        <v>221.8</v>
      </c>
      <c r="J218" s="266">
        <f t="shared" si="35"/>
        <v>210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257</v>
      </c>
      <c r="E219" s="271">
        <f t="array" ref="E219">IF(B58=B219,H58)</f>
        <v>270</v>
      </c>
      <c r="F219" s="271">
        <f t="array" ref="F219">IF(B107=B219,H107)</f>
        <v>219</v>
      </c>
      <c r="G219" s="271">
        <f t="array" ref="G219">IF(B148=B219,H148)</f>
        <v>164</v>
      </c>
      <c r="H219" s="271">
        <f t="array" ref="H219">IF(B192=B219,H192)</f>
        <v>222</v>
      </c>
      <c r="I219" s="271">
        <f t="shared" si="34"/>
        <v>226.4</v>
      </c>
      <c r="J219" s="273">
        <f t="shared" si="35"/>
        <v>213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268</v>
      </c>
      <c r="E220" s="257">
        <f t="array" ref="E220">IF(B59=B220,H59)</f>
        <v>286</v>
      </c>
      <c r="F220" s="257">
        <f t="array" ref="F220">IF(B108=B220,H108)</f>
        <v>217</v>
      </c>
      <c r="G220" s="257">
        <f t="array" ref="G220">IF(B149=B220,H149)</f>
        <v>164</v>
      </c>
      <c r="H220" s="257">
        <f t="array" ref="H220">IF(B193=B220,H193)</f>
        <v>222</v>
      </c>
      <c r="I220" s="257">
        <f t="shared" si="34"/>
        <v>231.4</v>
      </c>
      <c r="J220" s="266">
        <f t="shared" si="35"/>
        <v>216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279</v>
      </c>
      <c r="E221" s="257">
        <f t="array" ref="E221">IF(B60=B221,H60)</f>
        <v>303</v>
      </c>
      <c r="F221" s="257">
        <f t="array" ref="F221">IF(B109=B221,H109)</f>
        <v>216</v>
      </c>
      <c r="G221" s="257">
        <f t="array" ref="G221">IF(B150=B221,H150)</f>
        <v>163</v>
      </c>
      <c r="H221" s="257">
        <f t="array" ref="H221">IF(B194=B221,H194)</f>
        <v>221</v>
      </c>
      <c r="I221" s="257">
        <f t="shared" si="34"/>
        <v>236.4</v>
      </c>
      <c r="J221" s="266">
        <f t="shared" si="35"/>
        <v>219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289</v>
      </c>
      <c r="E222" s="257">
        <f t="array" ref="E222">IF(B61=B222,H61)</f>
        <v>321</v>
      </c>
      <c r="F222" s="257">
        <f t="array" ref="F222">IF(B110=B222,H110)</f>
        <v>214</v>
      </c>
      <c r="G222" s="257">
        <f t="array" ref="G222">IF(B151=B222,H151)</f>
        <v>163</v>
      </c>
      <c r="H222" s="257">
        <f t="array" ref="H222">IF(B195=B222,H195)</f>
        <v>221</v>
      </c>
      <c r="I222" s="257">
        <f t="shared" si="34"/>
        <v>241.6</v>
      </c>
      <c r="J222" s="266">
        <f t="shared" si="35"/>
        <v>222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300</v>
      </c>
      <c r="E223" s="257">
        <f t="array" ref="E223">IF(B62=B223,H62)</f>
        <v>340</v>
      </c>
      <c r="F223" s="257">
        <f t="array" ref="F223">IF(B111=B223,H111)</f>
        <v>213</v>
      </c>
      <c r="G223" s="257">
        <f t="array" ref="G223">IF(B152=B223,H152)</f>
        <v>163</v>
      </c>
      <c r="H223" s="257">
        <f t="array" ref="H223">IF(B196=B223,H196)</f>
        <v>220</v>
      </c>
      <c r="I223" s="257">
        <f t="shared" si="34"/>
        <v>247.2</v>
      </c>
      <c r="J223" s="266">
        <f t="shared" si="35"/>
        <v>225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311</v>
      </c>
      <c r="E224" s="271">
        <f t="array" ref="E224">IF(B63=B224,H63)</f>
        <v>360</v>
      </c>
      <c r="F224" s="271">
        <f t="array" ref="F224">IF(B112=B224,H112)</f>
        <v>211</v>
      </c>
      <c r="G224" s="271">
        <f t="array" ref="G224">IF(B153=B224,H153)</f>
        <v>162</v>
      </c>
      <c r="H224" s="271">
        <f t="array" ref="H224">IF(B197=B224,H197)</f>
        <v>220</v>
      </c>
      <c r="I224" s="271">
        <f t="shared" si="34"/>
        <v>252.8</v>
      </c>
      <c r="J224" s="273">
        <f t="shared" si="35"/>
        <v>228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321</v>
      </c>
      <c r="E225" s="257">
        <f t="array" ref="E225">IF(B64=B225,H64)</f>
        <v>381</v>
      </c>
      <c r="F225" s="257">
        <f t="array" ref="F225">IF(B113=B225,H113)</f>
        <v>210</v>
      </c>
      <c r="G225" s="257">
        <f t="array" ref="G225">IF(B154=B225,H154)</f>
        <v>162</v>
      </c>
      <c r="H225" s="257">
        <f t="array" ref="H225">IF(B198=B225,H198)</f>
        <v>219</v>
      </c>
      <c r="I225" s="257">
        <f t="shared" si="34"/>
        <v>258.60000000000002</v>
      </c>
      <c r="J225" s="266">
        <f t="shared" si="35"/>
        <v>231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332</v>
      </c>
      <c r="E226" s="257">
        <f t="array" ref="E226">IF(B65=B226,H65)</f>
        <v>404</v>
      </c>
      <c r="F226" s="257">
        <f t="array" ref="F226">IF(B114=B226,H114)</f>
        <v>208</v>
      </c>
      <c r="G226" s="257">
        <f t="array" ref="G226">IF(B155=B226,H155)</f>
        <v>162</v>
      </c>
      <c r="H226" s="257">
        <f t="array" ref="H226">IF(B199=B226,H199)</f>
        <v>218</v>
      </c>
      <c r="I226" s="257">
        <f t="shared" si="34"/>
        <v>264.8</v>
      </c>
      <c r="J226" s="266">
        <f t="shared" si="35"/>
        <v>234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343</v>
      </c>
      <c r="E227" s="257">
        <f t="array" ref="E227">IF(B66=B227,H66)</f>
        <v>428</v>
      </c>
      <c r="F227" s="257">
        <f t="array" ref="F227">IF(B115=B227,H115)</f>
        <v>207</v>
      </c>
      <c r="G227" s="257">
        <f t="array" ref="G227">IF(B156=B227,H156)</f>
        <v>162</v>
      </c>
      <c r="H227" s="257">
        <f t="array" ref="H227">IF(B200=B227,H200)</f>
        <v>218</v>
      </c>
      <c r="I227" s="257">
        <f t="shared" si="34"/>
        <v>271.60000000000002</v>
      </c>
      <c r="J227" s="266">
        <f t="shared" si="35"/>
        <v>237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353</v>
      </c>
      <c r="E228" s="257">
        <f t="array" ref="E228">IF(B67=B228,H67)</f>
        <v>453</v>
      </c>
      <c r="F228" s="257">
        <f t="array" ref="F228">IF(B116=B228,H116)</f>
        <v>205</v>
      </c>
      <c r="G228" s="257">
        <f t="array" ref="G228">IF(B157=B228,H157)</f>
        <v>162</v>
      </c>
      <c r="H228" s="257">
        <f t="array" ref="H228">IF(B201=B228,H201)</f>
        <v>217</v>
      </c>
      <c r="I228" s="257">
        <f t="shared" si="34"/>
        <v>278</v>
      </c>
      <c r="J228" s="266">
        <f t="shared" si="35"/>
        <v>240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364</v>
      </c>
      <c r="E229" s="271">
        <f t="array" ref="E229">IF(B68=B229,H68)</f>
        <v>480</v>
      </c>
      <c r="F229" s="271">
        <f t="array" ref="F229">IF(B117=B229,H117)</f>
        <v>204</v>
      </c>
      <c r="G229" s="271">
        <f t="array" ref="G229">IF(B158=B229,H158)</f>
        <v>162</v>
      </c>
      <c r="H229" s="271">
        <f t="array" ref="H229">IF(B202=B229,H202)</f>
        <v>217</v>
      </c>
      <c r="I229" s="271">
        <f t="shared" si="34"/>
        <v>285.39999999999998</v>
      </c>
      <c r="J229" s="273">
        <f t="shared" si="35"/>
        <v>243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375</v>
      </c>
      <c r="E230" s="257">
        <f t="array" ref="E230">IF(B69=B230,H69)</f>
        <v>509</v>
      </c>
      <c r="F230" s="257">
        <f t="array" ref="F230">IF(B118=B230,H118)</f>
        <v>202</v>
      </c>
      <c r="G230" s="257">
        <f t="array" ref="G230">IF(B159=B230,H159)</f>
        <v>162</v>
      </c>
      <c r="H230" s="257">
        <f t="array" ref="H230">IF(B203=B230,H203)</f>
        <v>216</v>
      </c>
      <c r="I230" s="257">
        <f>IF(G230=0,AVERAGE(D230,E230,F230,H230),AVERAGE(D230:H230))</f>
        <v>292.8</v>
      </c>
      <c r="J230" s="266">
        <f>ROUND(AVERAGE(D230,F230:G230),0)</f>
        <v>246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386</v>
      </c>
      <c r="E231" s="257">
        <f t="array" ref="E231">IF(B70=B231,H70)</f>
        <v>539</v>
      </c>
      <c r="F231" s="257">
        <f t="array" ref="F231">IF(B119=B231,H119)</f>
        <v>201</v>
      </c>
      <c r="G231" s="257">
        <f t="array" ref="G231">IF(B160=B231,H160)</f>
        <v>162</v>
      </c>
      <c r="H231" s="257">
        <f t="array" ref="H231">IF(B204=B231,H204)</f>
        <v>216</v>
      </c>
      <c r="I231" s="257">
        <f>IF(G231=0,AVERAGE(D231,E231,F231,H231),AVERAGE(D231:H231))</f>
        <v>300.8</v>
      </c>
      <c r="J231" s="266">
        <f>ROUND(AVERAGE(D231,F231:G231),0)</f>
        <v>250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396</v>
      </c>
      <c r="E232" s="257">
        <f t="array" ref="E232">IF(B71=B232,H71)</f>
        <v>571</v>
      </c>
      <c r="F232" s="257">
        <f t="array" ref="F232">IF(B120=B232,H120)</f>
        <v>199</v>
      </c>
      <c r="G232" s="257">
        <f t="array" ref="G232">IF(B161=B232,H161)</f>
        <v>162</v>
      </c>
      <c r="H232" s="257">
        <f t="array" ref="H232">IF(B205=B232,H205)</f>
        <v>215</v>
      </c>
      <c r="I232" s="257">
        <f>IF(G232=0,AVERAGE(D232,E232,F232,H232),AVERAGE(D232:H232))</f>
        <v>308.60000000000002</v>
      </c>
      <c r="J232" s="266">
        <f>ROUND(AVERAGE(D232,F232:G232),0)</f>
        <v>252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407</v>
      </c>
      <c r="E233" s="257">
        <f t="array" ref="E233">IF(B72=B233,H72)</f>
        <v>605</v>
      </c>
      <c r="F233" s="257">
        <f t="array" ref="F233">IF(B121=B233,H121)</f>
        <v>198</v>
      </c>
      <c r="G233" s="257">
        <f t="array" ref="G233">IF(B162=B233,H162)</f>
        <v>162</v>
      </c>
      <c r="H233" s="257">
        <f t="array" ref="H233">IF(B206=B233,H206)</f>
        <v>215</v>
      </c>
      <c r="I233" s="257">
        <f>IF(G233=0,AVERAGE(D233,E233,F233,H233),AVERAGE(D233:H233))</f>
        <v>317.39999999999998</v>
      </c>
      <c r="J233" s="266">
        <f>ROUND(AVERAGE(D233,F233:G233),0)</f>
        <v>256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418</v>
      </c>
      <c r="E234" s="271">
        <f t="array" ref="E234">IF(B73=B234,H73)</f>
        <v>640</v>
      </c>
      <c r="F234" s="271">
        <f t="array" ref="F234">IF(B122=B234,H122)</f>
        <v>196</v>
      </c>
      <c r="G234" s="271">
        <f t="array" ref="G234">IF(B163=B234,H163)</f>
        <v>162</v>
      </c>
      <c r="H234" s="271">
        <f t="array" ref="H234">IF(B207=B234,H207)</f>
        <v>214</v>
      </c>
      <c r="I234" s="271">
        <f>IF(G234=0,AVERAGE(D234,E234,F234,H234),AVERAGE(D234:H234))</f>
        <v>326</v>
      </c>
      <c r="J234" s="273">
        <f>ROUND(AVERAGE(D234,F234:G234),0)</f>
        <v>259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1328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1329</v>
      </c>
      <c r="C4" s="197">
        <v>2016</v>
      </c>
    </row>
    <row r="5" spans="1:15" ht="15" customHeight="1" thickBot="1">
      <c r="A5" s="198"/>
      <c r="B5" s="196" t="s">
        <v>1330</v>
      </c>
      <c r="C5" s="199"/>
      <c r="D5" s="196" t="s">
        <v>1781</v>
      </c>
      <c r="F5" s="200" t="s">
        <v>1331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1332</v>
      </c>
      <c r="C6" s="202"/>
      <c r="D6" s="202" t="s">
        <v>1333</v>
      </c>
      <c r="E6" s="202"/>
      <c r="F6" s="202" t="s">
        <v>1334</v>
      </c>
      <c r="G6" s="202"/>
      <c r="H6" s="202" t="s">
        <v>1335</v>
      </c>
      <c r="I6" s="202"/>
      <c r="J6" s="202" t="s">
        <v>1336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+'삼성면(10년) (물)'!D8</f>
        <v>284.42657239652374</v>
      </c>
      <c r="E7" s="844"/>
      <c r="F7" s="206">
        <v>0</v>
      </c>
      <c r="G7" s="206"/>
      <c r="H7" s="207">
        <v>0</v>
      </c>
      <c r="I7" s="208"/>
      <c r="J7" s="209" t="s">
        <v>1337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+'삼성면(10년) (물)'!D9</f>
        <v>299.32317419145653</v>
      </c>
      <c r="E8" s="844"/>
      <c r="F8" s="206">
        <f>D8-D7</f>
        <v>14.896601794932792</v>
      </c>
      <c r="G8" s="206"/>
      <c r="H8" s="207">
        <f>ROUND(F8/D7*100,2)</f>
        <v>5.24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+'삼성면(10년) (물)'!D10</f>
        <v>201.54440360841966</v>
      </c>
      <c r="E9" s="844"/>
      <c r="F9" s="206">
        <f>D9-D8</f>
        <v>-97.778770583036874</v>
      </c>
      <c r="G9" s="206"/>
      <c r="H9" s="207">
        <f>ROUND(F9/D8*100,2)</f>
        <v>-32.67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+'삼성면(10년) (물)'!D11</f>
        <v>209.56012198636805</v>
      </c>
      <c r="E10" s="844"/>
      <c r="F10" s="206">
        <f>D10-D9</f>
        <v>8.0157183779483887</v>
      </c>
      <c r="G10" s="206"/>
      <c r="H10" s="207">
        <f>ROUND(F10/D9*100,2)</f>
        <v>3.98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+'삼성면(10년) (물)'!D12</f>
        <v>214.3347034583212</v>
      </c>
      <c r="E11" s="844"/>
      <c r="F11" s="206">
        <f>D11-D10</f>
        <v>4.7745814719531552</v>
      </c>
      <c r="G11" s="206"/>
      <c r="H11" s="207">
        <f>ROUND(F11/D10*100,2)</f>
        <v>2.2799999999999998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1338</v>
      </c>
      <c r="C12" s="212"/>
      <c r="D12" s="213">
        <f>SUM(D7:D11)</f>
        <v>1209.1889756410892</v>
      </c>
      <c r="E12" s="214"/>
      <c r="F12" s="215"/>
      <c r="G12" s="215"/>
      <c r="H12" s="216">
        <f>SUM(H7:H11)</f>
        <v>-21.169999999999998</v>
      </c>
      <c r="I12" s="216"/>
      <c r="J12" s="217">
        <f>ROUND(AVERAGE(H7:H11),1)</f>
        <v>-4.2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1339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1340</v>
      </c>
      <c r="D15" s="219" t="s">
        <v>1341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1342</v>
      </c>
      <c r="D16" s="219" t="s">
        <v>1343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1344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1345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1346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1332</v>
      </c>
      <c r="C20" s="202"/>
      <c r="D20" s="202" t="s">
        <v>1347</v>
      </c>
      <c r="E20" s="202"/>
      <c r="F20" s="202" t="s">
        <v>1348</v>
      </c>
      <c r="G20" s="202"/>
      <c r="H20" s="202" t="s">
        <v>1349</v>
      </c>
      <c r="I20" s="202"/>
      <c r="J20" s="202" t="s">
        <v>1336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214</v>
      </c>
      <c r="E21" s="221"/>
      <c r="F21" s="221">
        <v>0</v>
      </c>
      <c r="G21" s="221"/>
      <c r="H21" s="221">
        <f t="shared" ref="H21:H40" si="1">ROUND(D21*(1+F21),0)</f>
        <v>214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197</v>
      </c>
      <c r="E22" s="221"/>
      <c r="F22" s="221">
        <v>0</v>
      </c>
      <c r="G22" s="221"/>
      <c r="H22" s="221">
        <f t="shared" si="1"/>
        <v>197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179</v>
      </c>
      <c r="E23" s="221"/>
      <c r="F23" s="221">
        <v>0</v>
      </c>
      <c r="G23" s="221"/>
      <c r="H23" s="221">
        <f t="shared" si="1"/>
        <v>179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162</v>
      </c>
      <c r="E24" s="221"/>
      <c r="F24" s="221">
        <v>0</v>
      </c>
      <c r="G24" s="221"/>
      <c r="H24" s="221">
        <f t="shared" si="1"/>
        <v>162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144</v>
      </c>
      <c r="E25" s="269"/>
      <c r="F25" s="269">
        <v>0</v>
      </c>
      <c r="G25" s="269"/>
      <c r="H25" s="269">
        <f t="shared" si="1"/>
        <v>144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127</v>
      </c>
      <c r="E26" s="221"/>
      <c r="F26" s="221">
        <v>0</v>
      </c>
      <c r="G26" s="221"/>
      <c r="H26" s="221">
        <f t="shared" si="1"/>
        <v>127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109</v>
      </c>
      <c r="E27" s="221"/>
      <c r="F27" s="221">
        <v>0</v>
      </c>
      <c r="G27" s="221"/>
      <c r="H27" s="221">
        <f t="shared" si="1"/>
        <v>109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92</v>
      </c>
      <c r="E28" s="221"/>
      <c r="F28" s="221">
        <v>0</v>
      </c>
      <c r="G28" s="221"/>
      <c r="H28" s="221">
        <f t="shared" si="1"/>
        <v>92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74</v>
      </c>
      <c r="E29" s="221"/>
      <c r="F29" s="221">
        <v>0</v>
      </c>
      <c r="G29" s="221"/>
      <c r="H29" s="221">
        <f t="shared" si="1"/>
        <v>74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57</v>
      </c>
      <c r="E30" s="269"/>
      <c r="F30" s="269">
        <v>0</v>
      </c>
      <c r="G30" s="269"/>
      <c r="H30" s="269">
        <f t="shared" si="1"/>
        <v>57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39</v>
      </c>
      <c r="E31" s="221"/>
      <c r="F31" s="221">
        <v>0</v>
      </c>
      <c r="G31" s="221"/>
      <c r="H31" s="221">
        <f t="shared" si="1"/>
        <v>39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22</v>
      </c>
      <c r="E32" s="221"/>
      <c r="F32" s="221">
        <v>0</v>
      </c>
      <c r="G32" s="221"/>
      <c r="H32" s="221">
        <f t="shared" si="1"/>
        <v>22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4</v>
      </c>
      <c r="E33" s="221"/>
      <c r="F33" s="221">
        <v>0</v>
      </c>
      <c r="G33" s="221"/>
      <c r="H33" s="221">
        <f t="shared" si="1"/>
        <v>4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-13</v>
      </c>
      <c r="E34" s="221"/>
      <c r="F34" s="221">
        <v>0</v>
      </c>
      <c r="G34" s="221"/>
      <c r="H34" s="221">
        <f t="shared" si="1"/>
        <v>-13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-31</v>
      </c>
      <c r="E35" s="269"/>
      <c r="F35" s="269">
        <v>0</v>
      </c>
      <c r="G35" s="269"/>
      <c r="H35" s="269">
        <f t="shared" si="1"/>
        <v>-31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-48</v>
      </c>
      <c r="E36" s="221"/>
      <c r="F36" s="221">
        <v>0</v>
      </c>
      <c r="G36" s="221"/>
      <c r="H36" s="221">
        <f t="shared" si="1"/>
        <v>-48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-66</v>
      </c>
      <c r="E37" s="221"/>
      <c r="F37" s="221">
        <v>0</v>
      </c>
      <c r="G37" s="221"/>
      <c r="H37" s="221">
        <f t="shared" si="1"/>
        <v>-66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-83</v>
      </c>
      <c r="E38" s="221"/>
      <c r="F38" s="221">
        <v>0</v>
      </c>
      <c r="G38" s="221"/>
      <c r="H38" s="221">
        <f t="shared" si="1"/>
        <v>-83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-101</v>
      </c>
      <c r="E39" s="221"/>
      <c r="F39" s="221">
        <v>0</v>
      </c>
      <c r="G39" s="221"/>
      <c r="H39" s="221">
        <f t="shared" si="1"/>
        <v>-101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-118</v>
      </c>
      <c r="E40" s="269"/>
      <c r="F40" s="269">
        <v>0</v>
      </c>
      <c r="G40" s="269"/>
      <c r="H40" s="269">
        <f t="shared" si="1"/>
        <v>-118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214.3347034583212</v>
      </c>
      <c r="F41" s="226"/>
      <c r="G41" s="224" t="s">
        <v>1350</v>
      </c>
      <c r="H41" s="224">
        <f>ROUND((D$11-D$7)/(COUNT(D$7:D$11)-1),1)</f>
        <v>-17.5</v>
      </c>
      <c r="I41" s="224"/>
      <c r="J41" s="224" t="s">
        <v>1351</v>
      </c>
      <c r="K41" s="227" t="s">
        <v>1352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1353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1340</v>
      </c>
      <c r="D46" s="219" t="s">
        <v>1354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1342</v>
      </c>
      <c r="D47" s="219" t="s">
        <v>1343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1344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1355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1356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1332</v>
      </c>
      <c r="C52" s="202"/>
      <c r="D52" s="202" t="s">
        <v>1347</v>
      </c>
      <c r="E52" s="202"/>
      <c r="F52" s="202" t="s">
        <v>1348</v>
      </c>
      <c r="G52" s="202"/>
      <c r="H52" s="202" t="s">
        <v>1349</v>
      </c>
      <c r="I52" s="202"/>
      <c r="J52" s="202" t="s">
        <v>1336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214</v>
      </c>
      <c r="E53" s="221"/>
      <c r="F53" s="221">
        <v>0</v>
      </c>
      <c r="G53" s="221"/>
      <c r="H53" s="221">
        <f t="shared" ref="H53:H72" si="3">ROUND(D53*(1+F53),0)</f>
        <v>214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200</v>
      </c>
      <c r="E54" s="221"/>
      <c r="F54" s="221">
        <v>0</v>
      </c>
      <c r="G54" s="221"/>
      <c r="H54" s="221">
        <f t="shared" si="3"/>
        <v>200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186</v>
      </c>
      <c r="E55" s="221"/>
      <c r="F55" s="221">
        <v>0</v>
      </c>
      <c r="G55" s="221"/>
      <c r="H55" s="221">
        <f t="shared" si="3"/>
        <v>186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173</v>
      </c>
      <c r="E56" s="221"/>
      <c r="F56" s="221">
        <v>0</v>
      </c>
      <c r="G56" s="221"/>
      <c r="H56" s="221">
        <f t="shared" si="3"/>
        <v>173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162</v>
      </c>
      <c r="E57" s="269"/>
      <c r="F57" s="269">
        <v>0</v>
      </c>
      <c r="G57" s="269"/>
      <c r="H57" s="269">
        <f t="shared" si="3"/>
        <v>162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150</v>
      </c>
      <c r="E58" s="221"/>
      <c r="F58" s="221">
        <v>0</v>
      </c>
      <c r="G58" s="221"/>
      <c r="H58" s="221">
        <f t="shared" si="3"/>
        <v>150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140</v>
      </c>
      <c r="E59" s="221"/>
      <c r="F59" s="221">
        <v>0</v>
      </c>
      <c r="G59" s="221"/>
      <c r="H59" s="221">
        <f t="shared" si="3"/>
        <v>140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131</v>
      </c>
      <c r="E60" s="221"/>
      <c r="F60" s="221">
        <v>0</v>
      </c>
      <c r="G60" s="221"/>
      <c r="H60" s="221">
        <f t="shared" si="3"/>
        <v>131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122</v>
      </c>
      <c r="E61" s="221"/>
      <c r="F61" s="221">
        <v>0</v>
      </c>
      <c r="G61" s="221"/>
      <c r="H61" s="221">
        <f t="shared" si="3"/>
        <v>122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113</v>
      </c>
      <c r="E62" s="269"/>
      <c r="F62" s="269">
        <v>0</v>
      </c>
      <c r="G62" s="269"/>
      <c r="H62" s="269">
        <f t="shared" si="3"/>
        <v>113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106</v>
      </c>
      <c r="E63" s="221"/>
      <c r="F63" s="221">
        <v>0</v>
      </c>
      <c r="G63" s="221"/>
      <c r="H63" s="221">
        <f t="shared" si="3"/>
        <v>106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98</v>
      </c>
      <c r="E64" s="221"/>
      <c r="F64" s="221">
        <v>0</v>
      </c>
      <c r="G64" s="221"/>
      <c r="H64" s="221">
        <f t="shared" si="3"/>
        <v>98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92</v>
      </c>
      <c r="E65" s="221"/>
      <c r="F65" s="221">
        <v>0</v>
      </c>
      <c r="G65" s="221"/>
      <c r="H65" s="221">
        <f t="shared" si="3"/>
        <v>92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85</v>
      </c>
      <c r="E66" s="221"/>
      <c r="F66" s="221">
        <v>0</v>
      </c>
      <c r="G66" s="221"/>
      <c r="H66" s="221">
        <f t="shared" si="3"/>
        <v>85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80</v>
      </c>
      <c r="E67" s="269"/>
      <c r="F67" s="269">
        <v>0</v>
      </c>
      <c r="G67" s="269"/>
      <c r="H67" s="269">
        <f t="shared" si="3"/>
        <v>80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74</v>
      </c>
      <c r="E68" s="221"/>
      <c r="F68" s="221">
        <v>0</v>
      </c>
      <c r="G68" s="221"/>
      <c r="H68" s="221">
        <f t="shared" si="3"/>
        <v>74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69</v>
      </c>
      <c r="E69" s="221"/>
      <c r="F69" s="221">
        <v>0</v>
      </c>
      <c r="G69" s="221"/>
      <c r="H69" s="221">
        <f t="shared" si="3"/>
        <v>69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64</v>
      </c>
      <c r="E70" s="221"/>
      <c r="F70" s="221">
        <v>0</v>
      </c>
      <c r="G70" s="221"/>
      <c r="H70" s="221">
        <f t="shared" si="3"/>
        <v>64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60</v>
      </c>
      <c r="E71" s="221"/>
      <c r="F71" s="221">
        <v>0</v>
      </c>
      <c r="G71" s="221"/>
      <c r="H71" s="221">
        <f t="shared" si="3"/>
        <v>60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56</v>
      </c>
      <c r="E72" s="269"/>
      <c r="F72" s="269">
        <v>0</v>
      </c>
      <c r="G72" s="269"/>
      <c r="H72" s="269">
        <f t="shared" si="3"/>
        <v>56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1357</v>
      </c>
      <c r="C73" s="223"/>
      <c r="D73" s="224" t="s">
        <v>1161</v>
      </c>
      <c r="E73" s="225">
        <f>D$11</f>
        <v>214.3347034583212</v>
      </c>
      <c r="F73" s="226"/>
      <c r="G73" s="224" t="s">
        <v>1358</v>
      </c>
      <c r="H73" s="224">
        <f>ROUND((E$73/D$7)^(1/(COUNT(D$7:D$11)-1)),6)</f>
        <v>0.93171000000000004</v>
      </c>
      <c r="I73" s="224"/>
      <c r="J73" s="224" t="s">
        <v>1351</v>
      </c>
      <c r="K73" s="227" t="s">
        <v>1352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1359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1340</v>
      </c>
      <c r="D84" s="219" t="s">
        <v>1360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1361</v>
      </c>
      <c r="D85" s="219" t="s">
        <v>1362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1363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1364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1365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1332</v>
      </c>
      <c r="C89" s="202"/>
      <c r="D89" s="202" t="s">
        <v>1366</v>
      </c>
      <c r="E89" s="202" t="s">
        <v>1367</v>
      </c>
      <c r="F89" s="202" t="s">
        <v>1368</v>
      </c>
      <c r="G89" s="202"/>
      <c r="H89" s="202" t="s">
        <v>1369</v>
      </c>
      <c r="I89" s="202"/>
      <c r="J89" s="202" t="s">
        <v>1336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284.42657239652374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-568.85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299.32317419145653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-299.32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201.54440360841966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209.56012198636805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209.56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214.3347034583212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428.67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>
        <f>SUM(D90:D94)</f>
        <v>1209.1889756410892</v>
      </c>
      <c r="E95" s="215"/>
      <c r="F95" s="233">
        <f>ROUND(SUM(F90:F94),0)</f>
        <v>10</v>
      </c>
      <c r="G95" s="212"/>
      <c r="H95" s="211">
        <f>SUM(H90:H94)</f>
        <v>-229.94000000000011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>
        <f>((COUNT(B$90:B$94))*H$95-D$95*E$95)/((COUNT(B$90:B$94))*F$95-E$95*E$95)</f>
        <v>-22.99400000000001</v>
      </c>
      <c r="H96" s="236" t="s">
        <v>199</v>
      </c>
      <c r="I96" s="201"/>
      <c r="J96" s="201"/>
      <c r="K96" s="201">
        <f>ROUND((F95*D95-H95*E95)/(COUNT(B$90:B$94)*F95-E95*E95),0)</f>
        <v>242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197</v>
      </c>
      <c r="E101" s="221"/>
      <c r="F101" s="221">
        <v>0</v>
      </c>
      <c r="G101" s="221"/>
      <c r="H101" s="221">
        <f t="shared" ref="H101:H120" si="5">ROUND(D101*(1+F101),0)</f>
        <v>197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174</v>
      </c>
      <c r="E102" s="221"/>
      <c r="F102" s="221">
        <v>0</v>
      </c>
      <c r="G102" s="221"/>
      <c r="H102" s="221">
        <f t="shared" si="5"/>
        <v>174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151</v>
      </c>
      <c r="E103" s="221"/>
      <c r="F103" s="221">
        <v>0</v>
      </c>
      <c r="G103" s="221"/>
      <c r="H103" s="221">
        <f t="shared" si="5"/>
        <v>151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128</v>
      </c>
      <c r="E104" s="221"/>
      <c r="F104" s="221">
        <v>0</v>
      </c>
      <c r="G104" s="221"/>
      <c r="H104" s="221">
        <f t="shared" si="5"/>
        <v>128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105</v>
      </c>
      <c r="E105" s="269"/>
      <c r="F105" s="269">
        <v>0</v>
      </c>
      <c r="G105" s="269"/>
      <c r="H105" s="269">
        <f t="shared" si="5"/>
        <v>105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82</v>
      </c>
      <c r="E106" s="221"/>
      <c r="F106" s="221">
        <v>0</v>
      </c>
      <c r="G106" s="221"/>
      <c r="H106" s="221">
        <f t="shared" si="5"/>
        <v>82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59</v>
      </c>
      <c r="E107" s="221"/>
      <c r="F107" s="221">
        <v>0</v>
      </c>
      <c r="G107" s="221"/>
      <c r="H107" s="221">
        <f t="shared" si="5"/>
        <v>59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36</v>
      </c>
      <c r="E108" s="221"/>
      <c r="F108" s="221">
        <v>0</v>
      </c>
      <c r="G108" s="221"/>
      <c r="H108" s="221">
        <f t="shared" si="5"/>
        <v>36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13</v>
      </c>
      <c r="E109" s="221"/>
      <c r="F109" s="221">
        <v>0</v>
      </c>
      <c r="G109" s="221"/>
      <c r="H109" s="221">
        <f t="shared" si="5"/>
        <v>13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-11</v>
      </c>
      <c r="E110" s="269"/>
      <c r="F110" s="269">
        <v>0</v>
      </c>
      <c r="G110" s="269"/>
      <c r="H110" s="269">
        <f t="shared" si="5"/>
        <v>-11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-34</v>
      </c>
      <c r="E111" s="221"/>
      <c r="F111" s="221">
        <v>0</v>
      </c>
      <c r="G111" s="221"/>
      <c r="H111" s="221">
        <f t="shared" si="5"/>
        <v>-34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-57</v>
      </c>
      <c r="E112" s="221"/>
      <c r="F112" s="221">
        <v>0</v>
      </c>
      <c r="G112" s="221"/>
      <c r="H112" s="221">
        <f t="shared" si="5"/>
        <v>-57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-80</v>
      </c>
      <c r="E113" s="221"/>
      <c r="F113" s="221">
        <v>0</v>
      </c>
      <c r="G113" s="221"/>
      <c r="H113" s="221">
        <f t="shared" si="5"/>
        <v>-80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-103</v>
      </c>
      <c r="E114" s="221"/>
      <c r="F114" s="221">
        <v>0</v>
      </c>
      <c r="G114" s="221"/>
      <c r="H114" s="221">
        <f t="shared" si="5"/>
        <v>-103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-126</v>
      </c>
      <c r="E115" s="269"/>
      <c r="F115" s="269">
        <v>0</v>
      </c>
      <c r="G115" s="269"/>
      <c r="H115" s="269">
        <f t="shared" si="5"/>
        <v>-126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-149</v>
      </c>
      <c r="E116" s="221"/>
      <c r="F116" s="221">
        <v>0</v>
      </c>
      <c r="G116" s="221"/>
      <c r="H116" s="221">
        <f t="shared" si="5"/>
        <v>-149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-172</v>
      </c>
      <c r="E117" s="221"/>
      <c r="F117" s="221">
        <v>0</v>
      </c>
      <c r="G117" s="221"/>
      <c r="H117" s="221">
        <f t="shared" si="5"/>
        <v>-172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-195</v>
      </c>
      <c r="E118" s="221"/>
      <c r="F118" s="221">
        <v>0</v>
      </c>
      <c r="G118" s="221"/>
      <c r="H118" s="221">
        <f t="shared" si="5"/>
        <v>-195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-218</v>
      </c>
      <c r="E119" s="221"/>
      <c r="F119" s="221">
        <v>0</v>
      </c>
      <c r="G119" s="221"/>
      <c r="H119" s="221">
        <f t="shared" si="5"/>
        <v>-218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-241</v>
      </c>
      <c r="E120" s="269"/>
      <c r="F120" s="269">
        <v>0</v>
      </c>
      <c r="G120" s="269"/>
      <c r="H120" s="269">
        <f t="shared" si="5"/>
        <v>-241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284.42657239652374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299.32317419145653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14.896601794932792</v>
      </c>
      <c r="I131" s="231"/>
      <c r="J131" s="247">
        <f>IF(H131="","",LOG(H131))</f>
        <v>1.173087208678844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201.54440360841966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82.882168788104082</v>
      </c>
      <c r="I132" s="231"/>
      <c r="J132" s="247">
        <f>IF(H132="","",LOG(H132))</f>
        <v>1.9184611067880135</v>
      </c>
      <c r="K132" s="247">
        <f>IF(J132="","",J132*F132)</f>
        <v>0.57751433865791224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209.56012198636805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74.866450410155693</v>
      </c>
      <c r="I133" s="231"/>
      <c r="J133" s="247">
        <f>IF(H133="","",LOG(H133))</f>
        <v>1.874287242720313</v>
      </c>
      <c r="K133" s="247">
        <f>IF(J133="","",J133*F133)</f>
        <v>0.89426228095177218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214.3347034583212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70.091868938202538</v>
      </c>
      <c r="I134" s="231"/>
      <c r="J134" s="247">
        <f>IF(H134="","",LOG(H134))</f>
        <v>1.8456676402193419</v>
      </c>
      <c r="K134" s="247">
        <f>IF(J134="","",J134*F134)</f>
        <v>1.1112026434647577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1338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6.8115031984065126</v>
      </c>
      <c r="K135" s="253">
        <f>IF(K134="","",SUM(K130:K134))</f>
        <v>2.5829792630744421</v>
      </c>
      <c r="L135" s="203"/>
      <c r="M135" s="203"/>
      <c r="N135" s="203"/>
      <c r="O135" s="203"/>
    </row>
    <row r="136" spans="1:15" ht="15" customHeight="1">
      <c r="A136" s="203"/>
      <c r="B136" s="208" t="s">
        <v>1370</v>
      </c>
      <c r="C136" s="208"/>
      <c r="D136" s="201" t="s">
        <v>1350</v>
      </c>
      <c r="E136" s="201">
        <f>IF(G135="",0,5^ROUND((G135*J135-F135*K135)/((COUNT(B$130:B$134)-1)*G135-F135*F135),5))</f>
        <v>8.2388649944469385</v>
      </c>
      <c r="F136" s="238" t="s">
        <v>1371</v>
      </c>
      <c r="G136" s="203"/>
      <c r="H136" s="208"/>
      <c r="I136" s="203"/>
      <c r="J136" s="254">
        <f>IF(G135="",0,ROUND(((COUNT(B$130:B$134)-1)*K135-J135*F135)/((COUNT(B$130:B$134)-1)*G135-F135*F135),5))</f>
        <v>1.1376900000000001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1372</v>
      </c>
      <c r="E137" s="219"/>
      <c r="F137" s="219"/>
      <c r="G137" s="256"/>
      <c r="H137" s="201" t="s">
        <v>1373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1374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1332</v>
      </c>
      <c r="C140" s="202"/>
      <c r="D140" s="202" t="s">
        <v>1347</v>
      </c>
      <c r="E140" s="202"/>
      <c r="F140" s="202" t="s">
        <v>1348</v>
      </c>
      <c r="G140" s="202"/>
      <c r="H140" s="202" t="s">
        <v>1349</v>
      </c>
      <c r="I140" s="202"/>
      <c r="J140" s="202" t="s">
        <v>1336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325</v>
      </c>
      <c r="E141" s="257"/>
      <c r="F141" s="258">
        <v>0</v>
      </c>
      <c r="G141" s="258"/>
      <c r="H141" s="258">
        <f t="shared" ref="H141:H160" si="7">ROUND(D141*(1+F141),0)</f>
        <v>325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336</v>
      </c>
      <c r="E142" s="257"/>
      <c r="F142" s="258">
        <v>0</v>
      </c>
      <c r="G142" s="258"/>
      <c r="H142" s="258">
        <f t="shared" si="7"/>
        <v>336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348</v>
      </c>
      <c r="E143" s="257"/>
      <c r="F143" s="258">
        <v>0</v>
      </c>
      <c r="G143" s="258"/>
      <c r="H143" s="258">
        <f t="shared" si="7"/>
        <v>348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360</v>
      </c>
      <c r="E144" s="257"/>
      <c r="F144" s="258">
        <v>0</v>
      </c>
      <c r="G144" s="258"/>
      <c r="H144" s="258">
        <f t="shared" si="7"/>
        <v>360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373</v>
      </c>
      <c r="E145" s="271"/>
      <c r="F145" s="272">
        <v>0</v>
      </c>
      <c r="G145" s="272"/>
      <c r="H145" s="272">
        <f t="shared" si="7"/>
        <v>373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385</v>
      </c>
      <c r="E146" s="257"/>
      <c r="F146" s="258">
        <v>0</v>
      </c>
      <c r="G146" s="258"/>
      <c r="H146" s="258">
        <f t="shared" si="7"/>
        <v>385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398</v>
      </c>
      <c r="E147" s="257"/>
      <c r="F147" s="258">
        <v>0</v>
      </c>
      <c r="G147" s="258"/>
      <c r="H147" s="258">
        <f t="shared" si="7"/>
        <v>398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411</v>
      </c>
      <c r="E148" s="257"/>
      <c r="F148" s="258">
        <v>0</v>
      </c>
      <c r="G148" s="258"/>
      <c r="H148" s="258">
        <f t="shared" si="7"/>
        <v>411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424</v>
      </c>
      <c r="E149" s="257"/>
      <c r="F149" s="258">
        <v>0</v>
      </c>
      <c r="G149" s="258"/>
      <c r="H149" s="258">
        <f t="shared" si="7"/>
        <v>424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437</v>
      </c>
      <c r="E150" s="271"/>
      <c r="F150" s="272">
        <v>0</v>
      </c>
      <c r="G150" s="272"/>
      <c r="H150" s="272">
        <f t="shared" si="7"/>
        <v>437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451</v>
      </c>
      <c r="E151" s="257"/>
      <c r="F151" s="258">
        <v>0</v>
      </c>
      <c r="G151" s="258"/>
      <c r="H151" s="258">
        <f t="shared" si="7"/>
        <v>451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464</v>
      </c>
      <c r="E152" s="257"/>
      <c r="F152" s="258">
        <v>0</v>
      </c>
      <c r="G152" s="258"/>
      <c r="H152" s="258">
        <f t="shared" si="7"/>
        <v>464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478</v>
      </c>
      <c r="E153" s="257"/>
      <c r="F153" s="258">
        <v>0</v>
      </c>
      <c r="G153" s="258"/>
      <c r="H153" s="258">
        <f t="shared" si="7"/>
        <v>478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492</v>
      </c>
      <c r="E154" s="257"/>
      <c r="F154" s="258">
        <v>0</v>
      </c>
      <c r="G154" s="258"/>
      <c r="H154" s="258">
        <f t="shared" si="7"/>
        <v>492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506</v>
      </c>
      <c r="E155" s="271"/>
      <c r="F155" s="272">
        <v>0</v>
      </c>
      <c r="G155" s="272"/>
      <c r="H155" s="272">
        <f t="shared" si="7"/>
        <v>506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520</v>
      </c>
      <c r="E156" s="257"/>
      <c r="F156" s="258">
        <v>0</v>
      </c>
      <c r="G156" s="258"/>
      <c r="H156" s="258">
        <f t="shared" si="7"/>
        <v>520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534</v>
      </c>
      <c r="E157" s="257"/>
      <c r="F157" s="258">
        <v>0</v>
      </c>
      <c r="G157" s="258"/>
      <c r="H157" s="258">
        <f t="shared" si="7"/>
        <v>534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548</v>
      </c>
      <c r="E158" s="257"/>
      <c r="F158" s="258">
        <v>0</v>
      </c>
      <c r="G158" s="258"/>
      <c r="H158" s="258">
        <f t="shared" si="7"/>
        <v>548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562</v>
      </c>
      <c r="E159" s="257"/>
      <c r="F159" s="258">
        <v>0</v>
      </c>
      <c r="G159" s="258"/>
      <c r="H159" s="258">
        <f t="shared" si="7"/>
        <v>562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577</v>
      </c>
      <c r="E160" s="271"/>
      <c r="F160" s="272">
        <v>0</v>
      </c>
      <c r="G160" s="272"/>
      <c r="H160" s="272">
        <f t="shared" si="7"/>
        <v>577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1375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1340</v>
      </c>
      <c r="D167" s="219" t="s">
        <v>1376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1361</v>
      </c>
      <c r="D168" s="219" t="s">
        <v>1377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1378</v>
      </c>
      <c r="E169" s="2250">
        <f>K7</f>
        <v>600</v>
      </c>
      <c r="F169" s="2250"/>
      <c r="G169" s="219" t="s">
        <v>1136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1137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1010</v>
      </c>
      <c r="C171" s="202"/>
      <c r="D171" s="202" t="s">
        <v>1121</v>
      </c>
      <c r="E171" s="202" t="s">
        <v>1122</v>
      </c>
      <c r="F171" s="202" t="s">
        <v>1123</v>
      </c>
      <c r="G171" s="202" t="s">
        <v>1138</v>
      </c>
      <c r="H171" s="202" t="s">
        <v>1139</v>
      </c>
      <c r="I171" s="202" t="s">
        <v>1140</v>
      </c>
      <c r="J171" s="202" t="s">
        <v>1134</v>
      </c>
      <c r="K171" s="202" t="s">
        <v>1141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284.42657239652374</v>
      </c>
      <c r="E172" s="244">
        <f>((COUNT(B$172:B$176)-1)/2)+(B172-$C$4)</f>
        <v>-2</v>
      </c>
      <c r="F172" s="206">
        <f>E172^2</f>
        <v>4</v>
      </c>
      <c r="G172" s="844">
        <f>E$169-D172</f>
        <v>315.57342760347626</v>
      </c>
      <c r="H172" s="259">
        <f>LOG(D172)</f>
        <v>2.4539701676769057</v>
      </c>
      <c r="I172" s="245">
        <f>LOG(G172)</f>
        <v>2.4991004269485604</v>
      </c>
      <c r="J172" s="246">
        <f>H172-I172</f>
        <v>-4.5130259271654705E-2</v>
      </c>
      <c r="K172" s="246">
        <f>E172*J172</f>
        <v>9.0260518543309409E-2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299.32317419145653</v>
      </c>
      <c r="E173" s="244">
        <f>((COUNT(B$172:B$176)-1)/2)+(B173-$C$4)</f>
        <v>-1</v>
      </c>
      <c r="F173" s="206">
        <f>E173^2</f>
        <v>1</v>
      </c>
      <c r="G173" s="844">
        <f>E$169-D173</f>
        <v>300.67682580854347</v>
      </c>
      <c r="H173" s="259">
        <f>LOG(D173)</f>
        <v>2.4761403420786086</v>
      </c>
      <c r="I173" s="245">
        <f>LOG(G173)</f>
        <v>2.4780999568291109</v>
      </c>
      <c r="J173" s="246">
        <f>H173-I173</f>
        <v>-1.9596147505023254E-3</v>
      </c>
      <c r="K173" s="246">
        <f>E173*J173</f>
        <v>1.9596147505023254E-3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201.54440360841966</v>
      </c>
      <c r="E174" s="244">
        <f>((COUNT(B$172:B$176)-1)/2)+(B174-$C$4)</f>
        <v>0</v>
      </c>
      <c r="F174" s="206">
        <f>E174^2</f>
        <v>0</v>
      </c>
      <c r="G174" s="844">
        <f>E$169-D174</f>
        <v>398.45559639158034</v>
      </c>
      <c r="H174" s="259">
        <f>LOG(D174)</f>
        <v>2.304370743368624</v>
      </c>
      <c r="I174" s="245">
        <f>LOG(G174)</f>
        <v>2.6003799309602758</v>
      </c>
      <c r="J174" s="246">
        <f>H174-I174</f>
        <v>-0.29600918759165173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209.56012198636805</v>
      </c>
      <c r="E175" s="244">
        <f>((COUNT(B$172:B$176)-1)/2)+(B175-$C$4)</f>
        <v>1</v>
      </c>
      <c r="F175" s="206">
        <f>E175^2</f>
        <v>1</v>
      </c>
      <c r="G175" s="844">
        <f>E$169-D175</f>
        <v>390.43987801363198</v>
      </c>
      <c r="H175" s="259">
        <f>LOG(D175)</f>
        <v>2.3213086425817453</v>
      </c>
      <c r="I175" s="245">
        <f>LOG(G175)</f>
        <v>2.5915541684126921</v>
      </c>
      <c r="J175" s="246">
        <f>H175-I175</f>
        <v>-0.27024552583094685</v>
      </c>
      <c r="K175" s="246">
        <f>E175*J175</f>
        <v>-0.27024552583094685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214.3347034583212</v>
      </c>
      <c r="E176" s="244">
        <f>((COUNT(B$172:B$176)-1)/2)+(B176-$C$4)</f>
        <v>2</v>
      </c>
      <c r="F176" s="206">
        <f>E176^2</f>
        <v>4</v>
      </c>
      <c r="G176" s="844">
        <f>E$169-D176</f>
        <v>385.6652965416788</v>
      </c>
      <c r="H176" s="259">
        <f>LOG(D176)</f>
        <v>2.3310924944214486</v>
      </c>
      <c r="I176" s="245">
        <f>LOG(G176)</f>
        <v>2.5862105613484778</v>
      </c>
      <c r="J176" s="246">
        <f>H176-I176</f>
        <v>-0.25511806692702921</v>
      </c>
      <c r="K176" s="246">
        <f>E176*J176</f>
        <v>-0.51023613385405842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1056</v>
      </c>
      <c r="C177" s="212"/>
      <c r="D177" s="260">
        <f>SUM(D172:D176)</f>
        <v>1209.1889756410892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-0.86846265437178483</v>
      </c>
      <c r="K177" s="263">
        <f>SUM(K172:K176)</f>
        <v>-0.68826152639119353</v>
      </c>
      <c r="L177" s="203"/>
      <c r="M177" s="203"/>
      <c r="N177" s="203"/>
      <c r="O177" s="203"/>
    </row>
    <row r="178" spans="1:15" ht="15" customHeight="1">
      <c r="A178" s="203"/>
      <c r="B178" s="208" t="s">
        <v>1142</v>
      </c>
      <c r="C178" s="208"/>
      <c r="D178" s="201" t="s">
        <v>1143</v>
      </c>
      <c r="E178" s="236" t="s">
        <v>1144</v>
      </c>
      <c r="F178" s="203"/>
      <c r="G178" s="219" t="str">
        <f>"X = x × LOG e = "&amp;E177&amp;" 이고,"</f>
        <v>X = x × LOG e = 0 이고,</v>
      </c>
      <c r="H178" s="219"/>
      <c r="I178" s="219" t="s">
        <v>1145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1146</v>
      </c>
      <c r="E179" s="219"/>
      <c r="F179" s="219"/>
      <c r="G179" s="219"/>
      <c r="H179" s="254">
        <f>ROUND(((E$177*K$177-F$177*J$177)/(COUNT(B$172:B$176)*F$177-E$177*E$177))/LOG(EXP(1)),5)</f>
        <v>0.39994000000000002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1147</v>
      </c>
      <c r="E180" s="219"/>
      <c r="F180" s="219"/>
      <c r="G180" s="264" t="s">
        <v>1148</v>
      </c>
      <c r="H180" s="219"/>
      <c r="I180" s="219"/>
      <c r="J180" s="219"/>
      <c r="K180" s="265">
        <f>ROUND((COUNT(B$172:B$176)*K177-E177*J177)/(LOG(EXP(1))*(COUNT(B$172:B$176)*F177-E177*E177)),6)</f>
        <v>-0.15847800000000001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1061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1010</v>
      </c>
      <c r="C183" s="202"/>
      <c r="D183" s="202" t="s">
        <v>1025</v>
      </c>
      <c r="E183" s="202"/>
      <c r="F183" s="202" t="s">
        <v>1026</v>
      </c>
      <c r="G183" s="202"/>
      <c r="H183" s="202" t="s">
        <v>1027</v>
      </c>
      <c r="I183" s="202"/>
      <c r="J183" s="202" t="s">
        <v>1014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149</v>
      </c>
      <c r="E184" s="221"/>
      <c r="F184" s="221">
        <v>0</v>
      </c>
      <c r="G184" s="221"/>
      <c r="H184" s="221">
        <f t="shared" ref="H184:H203" si="9">ROUND(D184*(1+F184),0)</f>
        <v>149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132</v>
      </c>
      <c r="E185" s="221"/>
      <c r="F185" s="221">
        <v>0</v>
      </c>
      <c r="G185" s="221"/>
      <c r="H185" s="221">
        <f t="shared" si="9"/>
        <v>132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116</v>
      </c>
      <c r="E186" s="221"/>
      <c r="F186" s="221">
        <v>0</v>
      </c>
      <c r="G186" s="221"/>
      <c r="H186" s="221">
        <f t="shared" si="9"/>
        <v>116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102</v>
      </c>
      <c r="E187" s="221"/>
      <c r="F187" s="221">
        <v>0</v>
      </c>
      <c r="G187" s="221"/>
      <c r="H187" s="221">
        <f t="shared" si="9"/>
        <v>102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90</v>
      </c>
      <c r="E188" s="269"/>
      <c r="F188" s="269">
        <v>0</v>
      </c>
      <c r="G188" s="269"/>
      <c r="H188" s="269">
        <f t="shared" si="9"/>
        <v>90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78</v>
      </c>
      <c r="E189" s="221"/>
      <c r="F189" s="221">
        <v>0</v>
      </c>
      <c r="G189" s="221"/>
      <c r="H189" s="221">
        <f t="shared" si="9"/>
        <v>78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68</v>
      </c>
      <c r="E190" s="221"/>
      <c r="F190" s="221">
        <v>0</v>
      </c>
      <c r="G190" s="221"/>
      <c r="H190" s="221">
        <f t="shared" si="9"/>
        <v>68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59</v>
      </c>
      <c r="E191" s="221"/>
      <c r="F191" s="221">
        <v>0</v>
      </c>
      <c r="G191" s="221"/>
      <c r="H191" s="221">
        <f t="shared" si="9"/>
        <v>59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51</v>
      </c>
      <c r="E192" s="221"/>
      <c r="F192" s="221">
        <v>0</v>
      </c>
      <c r="G192" s="221"/>
      <c r="H192" s="221">
        <f t="shared" si="9"/>
        <v>51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44</v>
      </c>
      <c r="E193" s="269"/>
      <c r="F193" s="269">
        <v>0</v>
      </c>
      <c r="G193" s="269"/>
      <c r="H193" s="269">
        <f t="shared" si="9"/>
        <v>44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38</v>
      </c>
      <c r="E194" s="221"/>
      <c r="F194" s="221">
        <v>0</v>
      </c>
      <c r="G194" s="221"/>
      <c r="H194" s="221">
        <f t="shared" si="9"/>
        <v>38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33</v>
      </c>
      <c r="E195" s="221"/>
      <c r="F195" s="221">
        <v>0</v>
      </c>
      <c r="G195" s="221"/>
      <c r="H195" s="221">
        <f t="shared" si="9"/>
        <v>33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29</v>
      </c>
      <c r="E196" s="221"/>
      <c r="F196" s="221">
        <v>0</v>
      </c>
      <c r="G196" s="221"/>
      <c r="H196" s="221">
        <f t="shared" si="9"/>
        <v>29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25</v>
      </c>
      <c r="E197" s="221"/>
      <c r="F197" s="221">
        <v>0</v>
      </c>
      <c r="G197" s="221"/>
      <c r="H197" s="221">
        <f t="shared" si="9"/>
        <v>25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21</v>
      </c>
      <c r="E198" s="269"/>
      <c r="F198" s="269">
        <v>0</v>
      </c>
      <c r="G198" s="269"/>
      <c r="H198" s="269">
        <f t="shared" si="9"/>
        <v>21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18</v>
      </c>
      <c r="E199" s="221"/>
      <c r="F199" s="221">
        <v>0</v>
      </c>
      <c r="G199" s="221"/>
      <c r="H199" s="221">
        <f t="shared" si="9"/>
        <v>18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16</v>
      </c>
      <c r="E200" s="221"/>
      <c r="F200" s="221">
        <v>0</v>
      </c>
      <c r="G200" s="221"/>
      <c r="H200" s="221">
        <f t="shared" si="9"/>
        <v>16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14</v>
      </c>
      <c r="E201" s="221"/>
      <c r="F201" s="221">
        <v>0</v>
      </c>
      <c r="G201" s="221"/>
      <c r="H201" s="221">
        <f t="shared" si="9"/>
        <v>14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12</v>
      </c>
      <c r="E202" s="221"/>
      <c r="F202" s="221">
        <v>0</v>
      </c>
      <c r="G202" s="221"/>
      <c r="H202" s="221">
        <f t="shared" si="9"/>
        <v>12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10</v>
      </c>
      <c r="E203" s="269"/>
      <c r="F203" s="269">
        <v>0</v>
      </c>
      <c r="G203" s="269"/>
      <c r="H203" s="269">
        <f t="shared" si="9"/>
        <v>10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1149</v>
      </c>
      <c r="G209" s="208"/>
      <c r="H209" s="203"/>
      <c r="I209" s="203"/>
      <c r="J209" s="203"/>
      <c r="K209" s="228" t="s">
        <v>1150</v>
      </c>
      <c r="L209" s="203"/>
      <c r="M209" s="203"/>
      <c r="N209" s="203"/>
      <c r="O209" s="203"/>
    </row>
    <row r="210" spans="1:15" ht="15" customHeight="1">
      <c r="A210" s="203"/>
      <c r="B210" s="202" t="s">
        <v>1010</v>
      </c>
      <c r="C210" s="202"/>
      <c r="D210" s="202" t="s">
        <v>1151</v>
      </c>
      <c r="E210" s="202" t="s">
        <v>1152</v>
      </c>
      <c r="F210" s="202" t="s">
        <v>1153</v>
      </c>
      <c r="G210" s="202" t="s">
        <v>992</v>
      </c>
      <c r="H210" s="202" t="s">
        <v>1154</v>
      </c>
      <c r="I210" s="202" t="s">
        <v>1155</v>
      </c>
      <c r="J210" s="202" t="s">
        <v>1156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214</v>
      </c>
      <c r="E211" s="257">
        <f t="array" ref="E211">IF(B53=B211,H53)</f>
        <v>214</v>
      </c>
      <c r="F211" s="257">
        <f t="array" ref="F211">IF(B101=B211,H101)</f>
        <v>197</v>
      </c>
      <c r="G211" s="257">
        <f t="array" ref="G211">IF(B141=B211,H141)</f>
        <v>325</v>
      </c>
      <c r="H211" s="257">
        <f t="array" ref="H211">IF(B184=B211,H184)</f>
        <v>149</v>
      </c>
      <c r="I211" s="257">
        <f t="shared" ref="I211:I230" si="10">IF(G211=0,AVERAGE(D211,E211,F211,H211),AVERAGE(D211:H211))</f>
        <v>219.8</v>
      </c>
      <c r="J211" s="266">
        <f t="shared" ref="J211:J230" si="11">ROUND(AVERAGE(D211,F211:G211),0)</f>
        <v>245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197</v>
      </c>
      <c r="E212" s="257">
        <f t="array" ref="E212">IF(B54=B212,H54)</f>
        <v>200</v>
      </c>
      <c r="F212" s="257">
        <f t="array" ref="F212">IF(B102=B212,H102)</f>
        <v>174</v>
      </c>
      <c r="G212" s="257">
        <f t="array" ref="G212">IF(B142=B212,H142)</f>
        <v>336</v>
      </c>
      <c r="H212" s="257">
        <f t="array" ref="H212">IF(B185=B212,H185)</f>
        <v>132</v>
      </c>
      <c r="I212" s="257">
        <f t="shared" si="10"/>
        <v>207.8</v>
      </c>
      <c r="J212" s="266">
        <f t="shared" si="11"/>
        <v>236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179</v>
      </c>
      <c r="E213" s="257">
        <f t="array" ref="E213">IF(B55=B213,H55)</f>
        <v>186</v>
      </c>
      <c r="F213" s="257">
        <f t="array" ref="F213">IF(B103=B213,H103)</f>
        <v>151</v>
      </c>
      <c r="G213" s="257">
        <f t="array" ref="G213">IF(B143=B213,H143)</f>
        <v>348</v>
      </c>
      <c r="H213" s="257">
        <f t="array" ref="H213">IF(B186=B213,H186)</f>
        <v>116</v>
      </c>
      <c r="I213" s="257">
        <f t="shared" si="10"/>
        <v>196</v>
      </c>
      <c r="J213" s="266">
        <f t="shared" si="11"/>
        <v>226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162</v>
      </c>
      <c r="E214" s="257">
        <f t="array" ref="E214">IF(B56=B214,H56)</f>
        <v>173</v>
      </c>
      <c r="F214" s="257">
        <f t="array" ref="F214">IF(B104=B214,H104)</f>
        <v>128</v>
      </c>
      <c r="G214" s="257">
        <f t="array" ref="G214">IF(B144=B214,H144)</f>
        <v>360</v>
      </c>
      <c r="H214" s="257">
        <f t="array" ref="H214">IF(B187=B214,H187)</f>
        <v>102</v>
      </c>
      <c r="I214" s="257">
        <f t="shared" si="10"/>
        <v>185</v>
      </c>
      <c r="J214" s="266">
        <f t="shared" si="11"/>
        <v>217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144</v>
      </c>
      <c r="E215" s="271">
        <f t="array" ref="E215">IF(B57=B215,H57)</f>
        <v>162</v>
      </c>
      <c r="F215" s="271">
        <f t="array" ref="F215">IF(B105=B215,H105)</f>
        <v>105</v>
      </c>
      <c r="G215" s="271">
        <f t="array" ref="G215">IF(B145=B215,H145)</f>
        <v>373</v>
      </c>
      <c r="H215" s="271">
        <f t="array" ref="H215">IF(B188=B215,H188)</f>
        <v>90</v>
      </c>
      <c r="I215" s="271">
        <f t="shared" si="10"/>
        <v>174.8</v>
      </c>
      <c r="J215" s="273">
        <f t="shared" si="11"/>
        <v>207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127</v>
      </c>
      <c r="E216" s="257">
        <f t="array" ref="E216">IF(B58=B216,H58)</f>
        <v>150</v>
      </c>
      <c r="F216" s="257">
        <f t="array" ref="F216">IF(B106=B216,H106)</f>
        <v>82</v>
      </c>
      <c r="G216" s="257">
        <f t="array" ref="G216">IF(B146=B216,H146)</f>
        <v>385</v>
      </c>
      <c r="H216" s="257">
        <f t="array" ref="H216">IF(B189=B216,H189)</f>
        <v>78</v>
      </c>
      <c r="I216" s="257">
        <f t="shared" si="10"/>
        <v>164.4</v>
      </c>
      <c r="J216" s="266">
        <f t="shared" si="11"/>
        <v>198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109</v>
      </c>
      <c r="E217" s="257">
        <f t="array" ref="E217">IF(B59=B217,H59)</f>
        <v>140</v>
      </c>
      <c r="F217" s="257">
        <f t="array" ref="F217">IF(B107=B217,H107)</f>
        <v>59</v>
      </c>
      <c r="G217" s="257">
        <f t="array" ref="G217">IF(B147=B217,H147)</f>
        <v>398</v>
      </c>
      <c r="H217" s="257">
        <f t="array" ref="H217">IF(B190=B217,H190)</f>
        <v>68</v>
      </c>
      <c r="I217" s="257">
        <f t="shared" si="10"/>
        <v>154.80000000000001</v>
      </c>
      <c r="J217" s="266">
        <f t="shared" si="11"/>
        <v>189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92</v>
      </c>
      <c r="E218" s="257">
        <f t="array" ref="E218">IF(B60=B218,H60)</f>
        <v>131</v>
      </c>
      <c r="F218" s="257">
        <f t="array" ref="F218">IF(B108=B218,H108)</f>
        <v>36</v>
      </c>
      <c r="G218" s="257">
        <f t="array" ref="G218">IF(B148=B218,H148)</f>
        <v>411</v>
      </c>
      <c r="H218" s="257">
        <f t="array" ref="H218">IF(B191=B218,H191)</f>
        <v>59</v>
      </c>
      <c r="I218" s="257">
        <f t="shared" si="10"/>
        <v>145.80000000000001</v>
      </c>
      <c r="J218" s="266">
        <f t="shared" si="11"/>
        <v>180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74</v>
      </c>
      <c r="E219" s="257">
        <f t="array" ref="E219">IF(B61=B219,H61)</f>
        <v>122</v>
      </c>
      <c r="F219" s="257">
        <f t="array" ref="F219">IF(B109=B219,H109)</f>
        <v>13</v>
      </c>
      <c r="G219" s="257">
        <f t="array" ref="G219">IF(B149=B219,H149)</f>
        <v>424</v>
      </c>
      <c r="H219" s="257">
        <f t="array" ref="H219">IF(B192=B219,H192)</f>
        <v>51</v>
      </c>
      <c r="I219" s="257">
        <f t="shared" si="10"/>
        <v>136.80000000000001</v>
      </c>
      <c r="J219" s="266">
        <f t="shared" si="11"/>
        <v>170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57</v>
      </c>
      <c r="E220" s="271">
        <f t="array" ref="E220">IF(B62=B220,H62)</f>
        <v>113</v>
      </c>
      <c r="F220" s="271">
        <f t="array" ref="F220">IF(B110=B220,H110)</f>
        <v>-11</v>
      </c>
      <c r="G220" s="271">
        <f t="array" ref="G220">IF(B150=B220,H150)</f>
        <v>437</v>
      </c>
      <c r="H220" s="271">
        <f t="array" ref="H220">IF(B193=B220,H193)</f>
        <v>44</v>
      </c>
      <c r="I220" s="271">
        <f t="shared" si="10"/>
        <v>128</v>
      </c>
      <c r="J220" s="273">
        <f t="shared" si="11"/>
        <v>161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39</v>
      </c>
      <c r="E221" s="257">
        <f t="array" ref="E221">IF(B63=B221,H63)</f>
        <v>106</v>
      </c>
      <c r="F221" s="257">
        <f t="array" ref="F221">IF(B111=B221,H111)</f>
        <v>-34</v>
      </c>
      <c r="G221" s="257">
        <f t="array" ref="G221">IF(B151=B221,H151)</f>
        <v>451</v>
      </c>
      <c r="H221" s="257">
        <f t="array" ref="H221">IF(B194=B221,H194)</f>
        <v>38</v>
      </c>
      <c r="I221" s="257">
        <f t="shared" si="10"/>
        <v>120</v>
      </c>
      <c r="J221" s="266">
        <f t="shared" si="11"/>
        <v>152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22</v>
      </c>
      <c r="E222" s="257">
        <f t="array" ref="E222">IF(B64=B222,H64)</f>
        <v>98</v>
      </c>
      <c r="F222" s="257">
        <f t="array" ref="F222">IF(B112=B222,H112)</f>
        <v>-57</v>
      </c>
      <c r="G222" s="257">
        <f t="array" ref="G222">IF(B152=B222,H152)</f>
        <v>464</v>
      </c>
      <c r="H222" s="257">
        <f t="array" ref="H222">IF(B195=B222,H195)</f>
        <v>33</v>
      </c>
      <c r="I222" s="257">
        <f t="shared" si="10"/>
        <v>112</v>
      </c>
      <c r="J222" s="266">
        <f t="shared" si="11"/>
        <v>143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4</v>
      </c>
      <c r="E223" s="257">
        <f t="array" ref="E223">IF(B65=B223,H65)</f>
        <v>92</v>
      </c>
      <c r="F223" s="257">
        <f t="array" ref="F223">IF(B113=B223,H113)</f>
        <v>-80</v>
      </c>
      <c r="G223" s="257">
        <f t="array" ref="G223">IF(B153=B223,H153)</f>
        <v>478</v>
      </c>
      <c r="H223" s="257">
        <f t="array" ref="H223">IF(B196=B223,H196)</f>
        <v>29</v>
      </c>
      <c r="I223" s="257">
        <f t="shared" si="10"/>
        <v>104.6</v>
      </c>
      <c r="J223" s="266">
        <f t="shared" si="11"/>
        <v>134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-13</v>
      </c>
      <c r="E224" s="257">
        <f t="array" ref="E224">IF(B66=B224,H66)</f>
        <v>85</v>
      </c>
      <c r="F224" s="257">
        <f t="array" ref="F224">IF(B114=B224,H114)</f>
        <v>-103</v>
      </c>
      <c r="G224" s="257">
        <f t="array" ref="G224">IF(B154=B224,H154)</f>
        <v>492</v>
      </c>
      <c r="H224" s="257">
        <f t="array" ref="H224">IF(B197=B224,H197)</f>
        <v>25</v>
      </c>
      <c r="I224" s="257">
        <f t="shared" si="10"/>
        <v>97.2</v>
      </c>
      <c r="J224" s="266">
        <f t="shared" si="11"/>
        <v>125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-31</v>
      </c>
      <c r="E225" s="271">
        <f t="array" ref="E225">IF(B67=B225,H67)</f>
        <v>80</v>
      </c>
      <c r="F225" s="271">
        <f t="array" ref="F225">IF(B115=B225,H115)</f>
        <v>-126</v>
      </c>
      <c r="G225" s="271">
        <f t="array" ref="G225">IF(B155=B225,H155)</f>
        <v>506</v>
      </c>
      <c r="H225" s="271">
        <f t="array" ref="H225">IF(B198=B225,H198)</f>
        <v>21</v>
      </c>
      <c r="I225" s="271">
        <f t="shared" si="10"/>
        <v>90</v>
      </c>
      <c r="J225" s="273">
        <f t="shared" si="11"/>
        <v>116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-48</v>
      </c>
      <c r="E226" s="257">
        <f t="array" ref="E226">IF(B68=B226,H68)</f>
        <v>74</v>
      </c>
      <c r="F226" s="257">
        <f t="array" ref="F226">IF(B116=B226,H116)</f>
        <v>-149</v>
      </c>
      <c r="G226" s="257">
        <f t="array" ref="G226">IF(B156=B226,H156)</f>
        <v>520</v>
      </c>
      <c r="H226" s="257">
        <f t="array" ref="H226">IF(B199=B226,H199)</f>
        <v>18</v>
      </c>
      <c r="I226" s="257">
        <f t="shared" si="10"/>
        <v>83</v>
      </c>
      <c r="J226" s="266">
        <f t="shared" si="11"/>
        <v>108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-66</v>
      </c>
      <c r="E227" s="257">
        <f t="array" ref="E227">IF(B69=B227,H69)</f>
        <v>69</v>
      </c>
      <c r="F227" s="257">
        <f t="array" ref="F227">IF(B117=B227,H117)</f>
        <v>-172</v>
      </c>
      <c r="G227" s="257">
        <f t="array" ref="G227">IF(B157=B227,H157)</f>
        <v>534</v>
      </c>
      <c r="H227" s="257">
        <f t="array" ref="H227">IF(B200=B227,H200)</f>
        <v>16</v>
      </c>
      <c r="I227" s="257">
        <f t="shared" si="10"/>
        <v>76.2</v>
      </c>
      <c r="J227" s="266">
        <f t="shared" si="11"/>
        <v>99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-83</v>
      </c>
      <c r="E228" s="257">
        <f t="array" ref="E228">IF(B70=B228,H70)</f>
        <v>64</v>
      </c>
      <c r="F228" s="257">
        <f t="array" ref="F228">IF(B118=B228,H118)</f>
        <v>-195</v>
      </c>
      <c r="G228" s="257">
        <f t="array" ref="G228">IF(B158=B228,H158)</f>
        <v>548</v>
      </c>
      <c r="H228" s="257">
        <f t="array" ref="H228">IF(B201=B228,H201)</f>
        <v>14</v>
      </c>
      <c r="I228" s="257">
        <f t="shared" si="10"/>
        <v>69.599999999999994</v>
      </c>
      <c r="J228" s="266">
        <f t="shared" si="11"/>
        <v>90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-101</v>
      </c>
      <c r="E229" s="257">
        <f t="array" ref="E229">IF(B71=B229,H71)</f>
        <v>60</v>
      </c>
      <c r="F229" s="257">
        <f t="array" ref="F229">IF(B119=B229,H119)</f>
        <v>-218</v>
      </c>
      <c r="G229" s="257">
        <f t="array" ref="G229">IF(B159=B229,H159)</f>
        <v>562</v>
      </c>
      <c r="H229" s="257">
        <f t="array" ref="H229">IF(B202=B229,H202)</f>
        <v>12</v>
      </c>
      <c r="I229" s="257">
        <f t="shared" si="10"/>
        <v>63</v>
      </c>
      <c r="J229" s="266">
        <f t="shared" si="11"/>
        <v>81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-118</v>
      </c>
      <c r="E230" s="271">
        <f t="array" ref="E230">IF(B72=B230,H72)</f>
        <v>56</v>
      </c>
      <c r="F230" s="271">
        <f t="array" ref="F230">IF(B120=B230,H120)</f>
        <v>-241</v>
      </c>
      <c r="G230" s="271">
        <f t="array" ref="G230">IF(B160=B230,H160)</f>
        <v>577</v>
      </c>
      <c r="H230" s="271">
        <f t="array" ref="H230">IF(B203=B230,H203)</f>
        <v>10</v>
      </c>
      <c r="I230" s="271">
        <f t="shared" si="10"/>
        <v>56.8</v>
      </c>
      <c r="J230" s="273">
        <f t="shared" si="11"/>
        <v>73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1379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1007</v>
      </c>
      <c r="C4" s="197">
        <v>2016</v>
      </c>
    </row>
    <row r="5" spans="1:15" ht="15" customHeight="1" thickBot="1">
      <c r="A5" s="198"/>
      <c r="B5" s="196" t="s">
        <v>1008</v>
      </c>
      <c r="C5" s="199"/>
      <c r="D5" s="196" t="s">
        <v>1782</v>
      </c>
      <c r="F5" s="200" t="s">
        <v>1009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1010</v>
      </c>
      <c r="C6" s="202"/>
      <c r="D6" s="202" t="s">
        <v>1011</v>
      </c>
      <c r="E6" s="202"/>
      <c r="F6" s="202" t="s">
        <v>1012</v>
      </c>
      <c r="G6" s="202"/>
      <c r="H6" s="202" t="s">
        <v>1013</v>
      </c>
      <c r="I6" s="202"/>
      <c r="J6" s="202" t="s">
        <v>1014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실적산정'!I60</f>
        <v>319.10240385024196</v>
      </c>
      <c r="E7" s="844"/>
      <c r="F7" s="206">
        <v>0</v>
      </c>
      <c r="G7" s="206"/>
      <c r="H7" s="207">
        <v>0</v>
      </c>
      <c r="I7" s="208"/>
      <c r="J7" s="209" t="s">
        <v>1015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실적산정'!I61</f>
        <v>257.0017854039279</v>
      </c>
      <c r="E8" s="844"/>
      <c r="F8" s="206">
        <f t="shared" ref="F8:F12" si="1">D8-D7</f>
        <v>-62.100618446314058</v>
      </c>
      <c r="G8" s="206"/>
      <c r="H8" s="207">
        <f t="shared" ref="H8:H12" si="2">ROUND(F8/D7*100,2)</f>
        <v>-19.46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실적산정'!I62</f>
        <v>296.66505641627271</v>
      </c>
      <c r="E9" s="844"/>
      <c r="F9" s="206">
        <f t="shared" si="1"/>
        <v>39.663271012344808</v>
      </c>
      <c r="G9" s="206"/>
      <c r="H9" s="207">
        <f t="shared" si="2"/>
        <v>15.43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실적산정'!I63</f>
        <v>271.74962219080584</v>
      </c>
      <c r="E10" s="844"/>
      <c r="F10" s="206">
        <f t="shared" si="1"/>
        <v>-24.915434225466868</v>
      </c>
      <c r="G10" s="206"/>
      <c r="H10" s="207">
        <f t="shared" si="2"/>
        <v>-8.4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실적산정'!I64</f>
        <v>241.97291323423258</v>
      </c>
      <c r="E11" s="844"/>
      <c r="F11" s="206">
        <f t="shared" si="1"/>
        <v>-29.776708956573259</v>
      </c>
      <c r="G11" s="206"/>
      <c r="H11" s="207">
        <f t="shared" si="2"/>
        <v>-10.96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실적산정'!I65</f>
        <v>215.49152078434304</v>
      </c>
      <c r="E12" s="844"/>
      <c r="F12" s="206">
        <f t="shared" si="1"/>
        <v>-26.48139244988954</v>
      </c>
      <c r="G12" s="206"/>
      <c r="H12" s="207">
        <f t="shared" si="2"/>
        <v>-10.94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1056</v>
      </c>
      <c r="C13" s="212"/>
      <c r="D13" s="213">
        <f>SUM(D7:D12)</f>
        <v>1601.9833018798238</v>
      </c>
      <c r="E13" s="214"/>
      <c r="F13" s="215"/>
      <c r="G13" s="215"/>
      <c r="H13" s="918">
        <f>SUM(H7:H12)</f>
        <v>-34.33</v>
      </c>
      <c r="I13" s="216"/>
      <c r="J13" s="217">
        <f>ROUND(AVERAGE(H7:H12),1)</f>
        <v>-5.7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1017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1018</v>
      </c>
      <c r="D16" s="219" t="s">
        <v>1019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1020</v>
      </c>
      <c r="D17" s="219" t="s">
        <v>1021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1022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1023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1024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1010</v>
      </c>
      <c r="C21" s="202"/>
      <c r="D21" s="202" t="s">
        <v>1025</v>
      </c>
      <c r="E21" s="202"/>
      <c r="F21" s="202" t="s">
        <v>1026</v>
      </c>
      <c r="G21" s="202"/>
      <c r="H21" s="202" t="s">
        <v>1027</v>
      </c>
      <c r="I21" s="202"/>
      <c r="J21" s="202" t="s">
        <v>1014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215</v>
      </c>
      <c r="E22" s="221"/>
      <c r="F22" s="221">
        <v>0</v>
      </c>
      <c r="G22" s="221"/>
      <c r="H22" s="221">
        <f t="shared" ref="H22:H36" si="4">ROUND(D22*(1+F22),0)</f>
        <v>215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195</v>
      </c>
      <c r="E23" s="221"/>
      <c r="F23" s="221">
        <v>0</v>
      </c>
      <c r="G23" s="221"/>
      <c r="H23" s="221">
        <f t="shared" si="4"/>
        <v>195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174</v>
      </c>
      <c r="E24" s="221"/>
      <c r="F24" s="221">
        <v>0</v>
      </c>
      <c r="G24" s="221"/>
      <c r="H24" s="221">
        <f t="shared" si="4"/>
        <v>174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153</v>
      </c>
      <c r="E25" s="221"/>
      <c r="F25" s="221">
        <v>0</v>
      </c>
      <c r="G25" s="221"/>
      <c r="H25" s="221">
        <f t="shared" si="4"/>
        <v>153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133</v>
      </c>
      <c r="E26" s="269"/>
      <c r="F26" s="269">
        <v>0</v>
      </c>
      <c r="G26" s="269"/>
      <c r="H26" s="269">
        <f t="shared" si="4"/>
        <v>133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112</v>
      </c>
      <c r="E27" s="221"/>
      <c r="F27" s="221">
        <v>0</v>
      </c>
      <c r="G27" s="221"/>
      <c r="H27" s="221">
        <f t="shared" si="4"/>
        <v>112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91</v>
      </c>
      <c r="E28" s="221"/>
      <c r="F28" s="221">
        <v>0</v>
      </c>
      <c r="G28" s="221"/>
      <c r="H28" s="221">
        <f t="shared" si="4"/>
        <v>91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71</v>
      </c>
      <c r="E29" s="221"/>
      <c r="F29" s="221">
        <v>0</v>
      </c>
      <c r="G29" s="221"/>
      <c r="H29" s="221">
        <f t="shared" si="4"/>
        <v>71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50</v>
      </c>
      <c r="E30" s="221"/>
      <c r="F30" s="221">
        <v>0</v>
      </c>
      <c r="G30" s="221"/>
      <c r="H30" s="221">
        <f t="shared" si="4"/>
        <v>50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29</v>
      </c>
      <c r="E31" s="269"/>
      <c r="F31" s="269">
        <v>0</v>
      </c>
      <c r="G31" s="269"/>
      <c r="H31" s="269">
        <f t="shared" si="4"/>
        <v>29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8</v>
      </c>
      <c r="E32" s="221"/>
      <c r="F32" s="221">
        <v>0</v>
      </c>
      <c r="G32" s="221"/>
      <c r="H32" s="221">
        <f t="shared" si="4"/>
        <v>8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-12</v>
      </c>
      <c r="E33" s="221"/>
      <c r="F33" s="221">
        <v>0</v>
      </c>
      <c r="G33" s="221"/>
      <c r="H33" s="221">
        <f t="shared" si="4"/>
        <v>-12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-33</v>
      </c>
      <c r="E34" s="221"/>
      <c r="F34" s="221">
        <v>0</v>
      </c>
      <c r="G34" s="221"/>
      <c r="H34" s="221">
        <f t="shared" si="4"/>
        <v>-33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-54</v>
      </c>
      <c r="E35" s="221"/>
      <c r="F35" s="221">
        <v>0</v>
      </c>
      <c r="G35" s="221"/>
      <c r="H35" s="221">
        <f t="shared" si="4"/>
        <v>-54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-74</v>
      </c>
      <c r="E36" s="269"/>
      <c r="F36" s="269">
        <v>0</v>
      </c>
      <c r="G36" s="269"/>
      <c r="H36" s="269">
        <f t="shared" si="4"/>
        <v>-74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-95</v>
      </c>
      <c r="E37" s="221"/>
      <c r="F37" s="221">
        <v>0</v>
      </c>
      <c r="G37" s="221"/>
      <c r="H37" s="221">
        <f>ROUND(D37*(1+F37),0)</f>
        <v>-95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-116</v>
      </c>
      <c r="E38" s="221"/>
      <c r="F38" s="221">
        <v>0</v>
      </c>
      <c r="G38" s="221"/>
      <c r="H38" s="221">
        <f>ROUND(D38*(1+F38),0)</f>
        <v>-116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-136</v>
      </c>
      <c r="E39" s="221"/>
      <c r="F39" s="221">
        <v>0</v>
      </c>
      <c r="G39" s="221"/>
      <c r="H39" s="221">
        <f>ROUND(D39*(1+F39),0)</f>
        <v>-136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-157</v>
      </c>
      <c r="E40" s="221"/>
      <c r="F40" s="221">
        <v>0</v>
      </c>
      <c r="G40" s="221"/>
      <c r="H40" s="221">
        <f>ROUND(D40*(1+F40),0)</f>
        <v>-157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-178</v>
      </c>
      <c r="E41" s="269"/>
      <c r="F41" s="269">
        <v>0</v>
      </c>
      <c r="G41" s="269"/>
      <c r="H41" s="269">
        <f>ROUND(D41*(1+F41),0)</f>
        <v>-178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1380</v>
      </c>
      <c r="C42" s="223"/>
      <c r="D42" s="224" t="s">
        <v>1381</v>
      </c>
      <c r="E42" s="225">
        <f>D$12</f>
        <v>215.49152078434304</v>
      </c>
      <c r="F42" s="226"/>
      <c r="G42" s="224" t="s">
        <v>1030</v>
      </c>
      <c r="H42" s="224">
        <f>ROUND((D$12-D7)/(COUNT(D$7:D$12)-1),1)</f>
        <v>-20.7</v>
      </c>
      <c r="I42" s="224"/>
      <c r="J42" s="224" t="s">
        <v>1031</v>
      </c>
      <c r="K42" s="227" t="s">
        <v>1032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1033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1018</v>
      </c>
      <c r="D47" s="219" t="s">
        <v>1034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1020</v>
      </c>
      <c r="D48" s="219" t="s">
        <v>1021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1022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1035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1036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1010</v>
      </c>
      <c r="C53" s="202"/>
      <c r="D53" s="202" t="s">
        <v>1025</v>
      </c>
      <c r="E53" s="202"/>
      <c r="F53" s="202" t="s">
        <v>1026</v>
      </c>
      <c r="G53" s="202"/>
      <c r="H53" s="202" t="s">
        <v>1027</v>
      </c>
      <c r="I53" s="202"/>
      <c r="J53" s="202" t="s">
        <v>1014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215</v>
      </c>
      <c r="E54" s="221"/>
      <c r="F54" s="221">
        <v>0</v>
      </c>
      <c r="G54" s="221"/>
      <c r="H54" s="221">
        <f t="shared" ref="H54:H68" si="6">ROUND(D54*(1+F54),0)</f>
        <v>215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199</v>
      </c>
      <c r="E55" s="221"/>
      <c r="F55" s="221">
        <v>0</v>
      </c>
      <c r="G55" s="221"/>
      <c r="H55" s="221">
        <f t="shared" si="6"/>
        <v>199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184</v>
      </c>
      <c r="E56" s="221"/>
      <c r="F56" s="221">
        <v>0</v>
      </c>
      <c r="G56" s="221"/>
      <c r="H56" s="221">
        <f t="shared" si="6"/>
        <v>184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170</v>
      </c>
      <c r="E57" s="221"/>
      <c r="F57" s="221">
        <v>0</v>
      </c>
      <c r="G57" s="221"/>
      <c r="H57" s="221">
        <f t="shared" si="6"/>
        <v>170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157</v>
      </c>
      <c r="E58" s="269"/>
      <c r="F58" s="269">
        <v>0</v>
      </c>
      <c r="G58" s="269"/>
      <c r="H58" s="269">
        <f t="shared" si="6"/>
        <v>157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146</v>
      </c>
      <c r="E59" s="221"/>
      <c r="F59" s="221">
        <v>0</v>
      </c>
      <c r="G59" s="221"/>
      <c r="H59" s="221">
        <f t="shared" si="6"/>
        <v>146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135</v>
      </c>
      <c r="E60" s="221"/>
      <c r="F60" s="221">
        <v>0</v>
      </c>
      <c r="G60" s="221"/>
      <c r="H60" s="221">
        <f t="shared" si="6"/>
        <v>135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124</v>
      </c>
      <c r="E61" s="221"/>
      <c r="F61" s="221">
        <v>0</v>
      </c>
      <c r="G61" s="221"/>
      <c r="H61" s="221">
        <f t="shared" si="6"/>
        <v>124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115</v>
      </c>
      <c r="E62" s="221"/>
      <c r="F62" s="221">
        <v>0</v>
      </c>
      <c r="G62" s="221"/>
      <c r="H62" s="221">
        <f t="shared" si="6"/>
        <v>115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106</v>
      </c>
      <c r="E63" s="269"/>
      <c r="F63" s="269">
        <v>0</v>
      </c>
      <c r="G63" s="269"/>
      <c r="H63" s="269">
        <f t="shared" si="6"/>
        <v>106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98</v>
      </c>
      <c r="E64" s="221"/>
      <c r="F64" s="221">
        <v>0</v>
      </c>
      <c r="G64" s="221"/>
      <c r="H64" s="221">
        <f t="shared" si="6"/>
        <v>98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91</v>
      </c>
      <c r="E65" s="221"/>
      <c r="F65" s="221">
        <v>0</v>
      </c>
      <c r="G65" s="221"/>
      <c r="H65" s="221">
        <f t="shared" si="6"/>
        <v>91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84</v>
      </c>
      <c r="E66" s="221"/>
      <c r="F66" s="221">
        <v>0</v>
      </c>
      <c r="G66" s="221"/>
      <c r="H66" s="221">
        <f t="shared" si="6"/>
        <v>84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78</v>
      </c>
      <c r="E67" s="221"/>
      <c r="F67" s="221">
        <v>0</v>
      </c>
      <c r="G67" s="221"/>
      <c r="H67" s="221">
        <f t="shared" si="6"/>
        <v>78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72</v>
      </c>
      <c r="E68" s="269"/>
      <c r="F68" s="269">
        <v>0</v>
      </c>
      <c r="G68" s="269"/>
      <c r="H68" s="269">
        <f t="shared" si="6"/>
        <v>72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66</v>
      </c>
      <c r="E69" s="221"/>
      <c r="F69" s="221">
        <v>0</v>
      </c>
      <c r="G69" s="221"/>
      <c r="H69" s="221">
        <f>ROUND(D69*(1+F69),0)</f>
        <v>66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61</v>
      </c>
      <c r="E70" s="221"/>
      <c r="F70" s="221">
        <v>0</v>
      </c>
      <c r="G70" s="221"/>
      <c r="H70" s="221">
        <f>ROUND(D70*(1+F70),0)</f>
        <v>61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57</v>
      </c>
      <c r="E71" s="221"/>
      <c r="F71" s="221">
        <v>0</v>
      </c>
      <c r="G71" s="221"/>
      <c r="H71" s="221">
        <f>ROUND(D71*(1+F71),0)</f>
        <v>57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52</v>
      </c>
      <c r="E72" s="221"/>
      <c r="F72" s="221">
        <v>0</v>
      </c>
      <c r="G72" s="221"/>
      <c r="H72" s="221">
        <f>ROUND(D72*(1+F72),0)</f>
        <v>52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48</v>
      </c>
      <c r="E73" s="269"/>
      <c r="F73" s="269">
        <v>0</v>
      </c>
      <c r="G73" s="269"/>
      <c r="H73" s="269">
        <f>ROUND(D73*(1+F73),0)</f>
        <v>48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1037</v>
      </c>
      <c r="C74" s="223"/>
      <c r="D74" s="224" t="s">
        <v>1038</v>
      </c>
      <c r="E74" s="225">
        <f>D$12</f>
        <v>215.49152078434304</v>
      </c>
      <c r="F74" s="226"/>
      <c r="G74" s="224" t="s">
        <v>1114</v>
      </c>
      <c r="H74" s="224">
        <f>ROUND((E$74/D$7)^(1/(COUNT(D$7:D$12)-1)),6)</f>
        <v>0.924485</v>
      </c>
      <c r="I74" s="224"/>
      <c r="J74" s="224" t="s">
        <v>1031</v>
      </c>
      <c r="K74" s="227" t="s">
        <v>1032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1115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1018</v>
      </c>
      <c r="D85" s="219" t="s">
        <v>1116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1064</v>
      </c>
      <c r="D86" s="219" t="s">
        <v>1117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1118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1119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1120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1010</v>
      </c>
      <c r="C90" s="202"/>
      <c r="D90" s="202" t="s">
        <v>1121</v>
      </c>
      <c r="E90" s="202" t="s">
        <v>1122</v>
      </c>
      <c r="F90" s="202" t="s">
        <v>1123</v>
      </c>
      <c r="G90" s="202"/>
      <c r="H90" s="202" t="s">
        <v>1124</v>
      </c>
      <c r="I90" s="202"/>
      <c r="J90" s="202" t="s">
        <v>1014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319.10240385024196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-797.76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257.0017854039279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-385.5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296.66505641627271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-148.33000000000001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271.74962219080584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135.87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241.97291323423258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362.96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215.49152078434304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538.73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1056</v>
      </c>
      <c r="C97" s="212"/>
      <c r="D97" s="232">
        <f>SUM(D91:D96)</f>
        <v>1601.9833018798238</v>
      </c>
      <c r="E97" s="215"/>
      <c r="F97" s="233">
        <f>ROUND(SUM(F91:F96),0)</f>
        <v>18</v>
      </c>
      <c r="G97" s="212"/>
      <c r="H97" s="234">
        <f>SUM(H91:H96)</f>
        <v>-294.02999999999975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1125</v>
      </c>
      <c r="C98" s="208"/>
      <c r="D98" s="236" t="s">
        <v>1126</v>
      </c>
      <c r="E98" s="203"/>
      <c r="F98" s="203"/>
      <c r="G98" s="201">
        <f>((COUNT(B$91:B$96))*H$97-D$97*E$97)/((COUNT(B$91:B$96))*F$97-E$97*E$97)</f>
        <v>-16.334999999999987</v>
      </c>
      <c r="H98" s="236" t="s">
        <v>1127</v>
      </c>
      <c r="I98" s="201"/>
      <c r="J98" s="201"/>
      <c r="K98" s="201">
        <f>ROUND((F97*D97-H97*E97)/(COUNT(B$91:B$96)*F97-E97*E97),0)</f>
        <v>267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1061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1010</v>
      </c>
      <c r="C102" s="202"/>
      <c r="D102" s="202" t="s">
        <v>1025</v>
      </c>
      <c r="E102" s="202"/>
      <c r="F102" s="202" t="s">
        <v>1026</v>
      </c>
      <c r="G102" s="202"/>
      <c r="H102" s="202" t="s">
        <v>1027</v>
      </c>
      <c r="I102" s="202"/>
      <c r="J102" s="202" t="s">
        <v>1014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227</v>
      </c>
      <c r="E103" s="221"/>
      <c r="F103" s="221">
        <v>0</v>
      </c>
      <c r="G103" s="221"/>
      <c r="H103" s="221">
        <f t="shared" ref="H103:H117" si="13">ROUND(D103*(1+F103),0)</f>
        <v>227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210</v>
      </c>
      <c r="E104" s="221"/>
      <c r="F104" s="221">
        <v>0</v>
      </c>
      <c r="G104" s="221"/>
      <c r="H104" s="221">
        <f t="shared" si="13"/>
        <v>210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194</v>
      </c>
      <c r="E105" s="221"/>
      <c r="F105" s="221">
        <v>0</v>
      </c>
      <c r="G105" s="221"/>
      <c r="H105" s="221">
        <f t="shared" si="13"/>
        <v>194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178</v>
      </c>
      <c r="E106" s="221"/>
      <c r="F106" s="221">
        <v>0</v>
      </c>
      <c r="G106" s="221"/>
      <c r="H106" s="221">
        <f t="shared" si="13"/>
        <v>178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161</v>
      </c>
      <c r="E107" s="269"/>
      <c r="F107" s="269">
        <v>0</v>
      </c>
      <c r="G107" s="269"/>
      <c r="H107" s="269">
        <f t="shared" si="13"/>
        <v>161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145</v>
      </c>
      <c r="E108" s="221"/>
      <c r="F108" s="221">
        <v>0</v>
      </c>
      <c r="G108" s="221"/>
      <c r="H108" s="221">
        <f t="shared" si="13"/>
        <v>145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129</v>
      </c>
      <c r="E109" s="221"/>
      <c r="F109" s="221">
        <v>0</v>
      </c>
      <c r="G109" s="221"/>
      <c r="H109" s="221">
        <f t="shared" si="13"/>
        <v>129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112</v>
      </c>
      <c r="E110" s="221"/>
      <c r="F110" s="221">
        <v>0</v>
      </c>
      <c r="G110" s="221"/>
      <c r="H110" s="221">
        <f t="shared" si="13"/>
        <v>112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96</v>
      </c>
      <c r="E111" s="221"/>
      <c r="F111" s="221">
        <v>0</v>
      </c>
      <c r="G111" s="221"/>
      <c r="H111" s="221">
        <f t="shared" si="13"/>
        <v>96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80</v>
      </c>
      <c r="E112" s="269"/>
      <c r="F112" s="269">
        <v>0</v>
      </c>
      <c r="G112" s="269"/>
      <c r="H112" s="269">
        <f t="shared" si="13"/>
        <v>80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63</v>
      </c>
      <c r="E113" s="221"/>
      <c r="F113" s="221">
        <v>0</v>
      </c>
      <c r="G113" s="221"/>
      <c r="H113" s="221">
        <f t="shared" si="13"/>
        <v>63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47</v>
      </c>
      <c r="E114" s="221"/>
      <c r="F114" s="221">
        <v>0</v>
      </c>
      <c r="G114" s="221"/>
      <c r="H114" s="221">
        <f t="shared" si="13"/>
        <v>47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31</v>
      </c>
      <c r="E115" s="221"/>
      <c r="F115" s="221">
        <v>0</v>
      </c>
      <c r="G115" s="221"/>
      <c r="H115" s="221">
        <f t="shared" si="13"/>
        <v>31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14</v>
      </c>
      <c r="E116" s="221"/>
      <c r="F116" s="221">
        <v>0</v>
      </c>
      <c r="G116" s="221"/>
      <c r="H116" s="221">
        <f t="shared" si="13"/>
        <v>14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-3</v>
      </c>
      <c r="E117" s="269"/>
      <c r="F117" s="269">
        <v>0</v>
      </c>
      <c r="G117" s="269"/>
      <c r="H117" s="269">
        <f t="shared" si="13"/>
        <v>-3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-19</v>
      </c>
      <c r="E118" s="221"/>
      <c r="F118" s="221">
        <v>0</v>
      </c>
      <c r="G118" s="221"/>
      <c r="H118" s="221">
        <f>ROUND(D118*(1+F118),0)</f>
        <v>-19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-36</v>
      </c>
      <c r="E119" s="221"/>
      <c r="F119" s="221">
        <v>0</v>
      </c>
      <c r="G119" s="221"/>
      <c r="H119" s="221">
        <f>ROUND(D119*(1+F119),0)</f>
        <v>-36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-52</v>
      </c>
      <c r="E120" s="221"/>
      <c r="F120" s="221">
        <v>0</v>
      </c>
      <c r="G120" s="221"/>
      <c r="H120" s="221">
        <f>ROUND(D120*(1+F120),0)</f>
        <v>-52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-68</v>
      </c>
      <c r="E121" s="221"/>
      <c r="F121" s="221">
        <v>0</v>
      </c>
      <c r="G121" s="221"/>
      <c r="H121" s="221">
        <f>ROUND(D121*(1+F121),0)</f>
        <v>-68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-85</v>
      </c>
      <c r="E122" s="269"/>
      <c r="F122" s="269">
        <v>0</v>
      </c>
      <c r="G122" s="269"/>
      <c r="H122" s="269">
        <f>ROUND(D122*(1+F122),0)</f>
        <v>-85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1128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1018</v>
      </c>
      <c r="D126" s="219" t="s">
        <v>1129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1064</v>
      </c>
      <c r="D127" s="219" t="s">
        <v>1065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1130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1131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1132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1010</v>
      </c>
      <c r="C131" s="202"/>
      <c r="D131" s="202" t="s">
        <v>1121</v>
      </c>
      <c r="E131" s="202" t="s">
        <v>1122</v>
      </c>
      <c r="F131" s="202" t="s">
        <v>1122</v>
      </c>
      <c r="G131" s="202" t="s">
        <v>1123</v>
      </c>
      <c r="H131" s="202" t="s">
        <v>1133</v>
      </c>
      <c r="I131" s="202"/>
      <c r="J131" s="202" t="s">
        <v>1134</v>
      </c>
      <c r="K131" s="202" t="s">
        <v>1135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319.10240385024196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257.0017854039279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62.100618446314058</v>
      </c>
      <c r="I133" s="231"/>
      <c r="J133" s="247">
        <f t="shared" ref="J133:J137" si="20">IF(H133="","",LOG(H133))</f>
        <v>1.793095925240737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296.66505641627271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39.663271012344808</v>
      </c>
      <c r="I134" s="231"/>
      <c r="J134" s="247">
        <f t="shared" si="20"/>
        <v>1.5983885274192731</v>
      </c>
      <c r="K134" s="247">
        <f t="shared" si="17"/>
        <v>0.48116289147838104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271.74962219080584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24.915434225466868</v>
      </c>
      <c r="I135" s="231"/>
      <c r="J135" s="247">
        <f t="shared" si="20"/>
        <v>1.3964684604446977</v>
      </c>
      <c r="K135" s="247">
        <f t="shared" si="17"/>
        <v>0.66628478402380953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241.97291323423258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29.776708956573259</v>
      </c>
      <c r="I136" s="231"/>
      <c r="J136" s="247">
        <f t="shared" si="20"/>
        <v>1.4738766960695466</v>
      </c>
      <c r="K136" s="247">
        <f t="shared" si="17"/>
        <v>0.88736219085411716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215.49152078434304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26.48139244988954</v>
      </c>
      <c r="I137" s="231"/>
      <c r="J137" s="247">
        <f t="shared" si="20"/>
        <v>1.422940817527631</v>
      </c>
      <c r="K137" s="247">
        <f t="shared" si="17"/>
        <v>0.99459294939718645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1056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7.6847704267018857</v>
      </c>
      <c r="K138" s="253">
        <f>IF(K137="","",SUM(K132:K137))</f>
        <v>3.0294028157534942</v>
      </c>
      <c r="L138" s="203"/>
      <c r="M138" s="203"/>
      <c r="N138" s="203"/>
      <c r="O138" s="203"/>
    </row>
    <row r="139" spans="1:15" ht="15" customHeight="1">
      <c r="A139" s="203"/>
      <c r="B139" s="208" t="s">
        <v>1057</v>
      </c>
      <c r="C139" s="208"/>
      <c r="D139" s="201" t="s">
        <v>1030</v>
      </c>
      <c r="E139" s="201">
        <f>IF(G138="",0,10^ROUND((G138*J138-F138*K138)/((COUNT(B$132:B$137)-1)*G138-F138*F138),5))</f>
        <v>58.047029493638071</v>
      </c>
      <c r="F139" s="238" t="s">
        <v>1058</v>
      </c>
      <c r="G139" s="203"/>
      <c r="H139" s="208"/>
      <c r="I139" s="203"/>
      <c r="J139" s="254">
        <f>IF(G138="",0,ROUND(((COUNT(B$132:B$137)-1)*K138-J138*F138)/((COUNT(B$132:B$137)-1)*G138-F138*F138),5))</f>
        <v>-0.54545999999999994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1059</v>
      </c>
      <c r="E140" s="219"/>
      <c r="F140" s="219"/>
      <c r="G140" s="256"/>
      <c r="H140" s="201" t="s">
        <v>1060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1061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1010</v>
      </c>
      <c r="C143" s="202"/>
      <c r="D143" s="202" t="s">
        <v>1025</v>
      </c>
      <c r="E143" s="202"/>
      <c r="F143" s="202" t="s">
        <v>1026</v>
      </c>
      <c r="G143" s="202"/>
      <c r="H143" s="202" t="s">
        <v>1027</v>
      </c>
      <c r="I143" s="202"/>
      <c r="J143" s="202" t="s">
        <v>1014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344</v>
      </c>
      <c r="E144" s="257"/>
      <c r="F144" s="258">
        <v>0</v>
      </c>
      <c r="G144" s="258"/>
      <c r="H144" s="258">
        <f t="shared" ref="H144:H158" si="21">ROUND(D144*(1+F144),0)</f>
        <v>344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341</v>
      </c>
      <c r="E145" s="257"/>
      <c r="F145" s="258">
        <v>0</v>
      </c>
      <c r="G145" s="258"/>
      <c r="H145" s="258">
        <f t="shared" si="21"/>
        <v>341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340</v>
      </c>
      <c r="E146" s="257"/>
      <c r="F146" s="258">
        <v>0</v>
      </c>
      <c r="G146" s="258"/>
      <c r="H146" s="258">
        <f t="shared" si="21"/>
        <v>340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338</v>
      </c>
      <c r="E147" s="257"/>
      <c r="F147" s="258">
        <v>0</v>
      </c>
      <c r="G147" s="258"/>
      <c r="H147" s="258">
        <f t="shared" si="21"/>
        <v>338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337</v>
      </c>
      <c r="E148" s="271"/>
      <c r="F148" s="272">
        <v>0</v>
      </c>
      <c r="G148" s="272"/>
      <c r="H148" s="272">
        <f t="shared" si="21"/>
        <v>337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336</v>
      </c>
      <c r="E149" s="257"/>
      <c r="F149" s="258">
        <v>0</v>
      </c>
      <c r="G149" s="258"/>
      <c r="H149" s="258">
        <f t="shared" si="21"/>
        <v>336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335</v>
      </c>
      <c r="E150" s="257"/>
      <c r="F150" s="258">
        <v>0</v>
      </c>
      <c r="G150" s="258"/>
      <c r="H150" s="258">
        <f t="shared" si="21"/>
        <v>335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335</v>
      </c>
      <c r="E151" s="257"/>
      <c r="F151" s="258">
        <v>0</v>
      </c>
      <c r="G151" s="258"/>
      <c r="H151" s="258">
        <f t="shared" si="21"/>
        <v>335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334</v>
      </c>
      <c r="E152" s="257"/>
      <c r="F152" s="258">
        <v>0</v>
      </c>
      <c r="G152" s="258"/>
      <c r="H152" s="258">
        <f t="shared" si="21"/>
        <v>334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333</v>
      </c>
      <c r="E153" s="271"/>
      <c r="F153" s="272">
        <v>0</v>
      </c>
      <c r="G153" s="272"/>
      <c r="H153" s="272">
        <f t="shared" si="21"/>
        <v>333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333</v>
      </c>
      <c r="E154" s="257"/>
      <c r="F154" s="258">
        <v>0</v>
      </c>
      <c r="G154" s="258"/>
      <c r="H154" s="258">
        <f t="shared" si="21"/>
        <v>333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332</v>
      </c>
      <c r="E155" s="257"/>
      <c r="F155" s="258">
        <v>0</v>
      </c>
      <c r="G155" s="258"/>
      <c r="H155" s="258">
        <f t="shared" si="21"/>
        <v>332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332</v>
      </c>
      <c r="E156" s="257"/>
      <c r="F156" s="258">
        <v>0</v>
      </c>
      <c r="G156" s="258"/>
      <c r="H156" s="258">
        <f t="shared" si="21"/>
        <v>332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332</v>
      </c>
      <c r="E157" s="257"/>
      <c r="F157" s="258">
        <v>0</v>
      </c>
      <c r="G157" s="258"/>
      <c r="H157" s="258">
        <f t="shared" si="21"/>
        <v>332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331</v>
      </c>
      <c r="E158" s="271"/>
      <c r="F158" s="272">
        <v>0</v>
      </c>
      <c r="G158" s="272"/>
      <c r="H158" s="272">
        <f t="shared" si="21"/>
        <v>331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331</v>
      </c>
      <c r="E159" s="257"/>
      <c r="F159" s="258">
        <v>0</v>
      </c>
      <c r="G159" s="258"/>
      <c r="H159" s="258">
        <f>ROUND(D159*(1+F159),0)</f>
        <v>331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331</v>
      </c>
      <c r="E160" s="257"/>
      <c r="F160" s="258">
        <v>0</v>
      </c>
      <c r="G160" s="258"/>
      <c r="H160" s="258">
        <f>ROUND(D160*(1+F160),0)</f>
        <v>331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330</v>
      </c>
      <c r="E161" s="257"/>
      <c r="F161" s="258">
        <v>0</v>
      </c>
      <c r="G161" s="258"/>
      <c r="H161" s="258">
        <f>ROUND(D161*(1+F161),0)</f>
        <v>330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330</v>
      </c>
      <c r="E162" s="257"/>
      <c r="F162" s="258">
        <v>0</v>
      </c>
      <c r="G162" s="258"/>
      <c r="H162" s="258">
        <f>ROUND(D162*(1+F162),0)</f>
        <v>330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330</v>
      </c>
      <c r="E163" s="271"/>
      <c r="F163" s="272">
        <v>0</v>
      </c>
      <c r="G163" s="272"/>
      <c r="H163" s="272">
        <f>ROUND(D163*(1+F163),0)</f>
        <v>330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1062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1018</v>
      </c>
      <c r="D170" s="219" t="s">
        <v>1063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1064</v>
      </c>
      <c r="D171" s="219" t="s">
        <v>1065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1066</v>
      </c>
      <c r="E172" s="2250">
        <f>K7</f>
        <v>600</v>
      </c>
      <c r="F172" s="2250"/>
      <c r="G172" s="219" t="s">
        <v>1136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1137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1010</v>
      </c>
      <c r="C174" s="202"/>
      <c r="D174" s="202" t="s">
        <v>1121</v>
      </c>
      <c r="E174" s="202" t="s">
        <v>1122</v>
      </c>
      <c r="F174" s="202" t="s">
        <v>1123</v>
      </c>
      <c r="G174" s="202" t="s">
        <v>1138</v>
      </c>
      <c r="H174" s="202" t="s">
        <v>1139</v>
      </c>
      <c r="I174" s="202" t="s">
        <v>1140</v>
      </c>
      <c r="J174" s="202" t="s">
        <v>1134</v>
      </c>
      <c r="K174" s="202" t="s">
        <v>1141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319.10240385024196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280.89759614975804</v>
      </c>
      <c r="H175" s="259">
        <f t="shared" ref="H175:H180" si="28">LOG(D175)</f>
        <v>2.5039300758167107</v>
      </c>
      <c r="I175" s="245">
        <f t="shared" ref="I175:I180" si="29">LOG(G175)</f>
        <v>2.4485480226356739</v>
      </c>
      <c r="J175" s="246">
        <f t="shared" ref="J175:J180" si="30">H175-I175</f>
        <v>5.5382053181036728E-2</v>
      </c>
      <c r="K175" s="246">
        <f t="shared" ref="K175:K180" si="31">E175*J175</f>
        <v>-0.13845513295259182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257.0017854039279</v>
      </c>
      <c r="E176" s="244">
        <f t="shared" si="25"/>
        <v>-1.5</v>
      </c>
      <c r="F176" s="206">
        <f t="shared" si="26"/>
        <v>2.25</v>
      </c>
      <c r="G176" s="844">
        <f t="shared" si="27"/>
        <v>342.9982145960721</v>
      </c>
      <c r="H176" s="259">
        <f t="shared" si="28"/>
        <v>2.409936140406705</v>
      </c>
      <c r="I176" s="245">
        <f t="shared" si="29"/>
        <v>2.5352918594215113</v>
      </c>
      <c r="J176" s="246">
        <f t="shared" si="30"/>
        <v>-0.12535571901480624</v>
      </c>
      <c r="K176" s="246">
        <f t="shared" si="31"/>
        <v>0.18803357852220937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296.66505641627271</v>
      </c>
      <c r="E177" s="244">
        <f t="shared" si="25"/>
        <v>-0.5</v>
      </c>
      <c r="F177" s="206">
        <f t="shared" si="26"/>
        <v>0.25</v>
      </c>
      <c r="G177" s="844">
        <f t="shared" si="27"/>
        <v>303.33494358372729</v>
      </c>
      <c r="H177" s="259">
        <f t="shared" si="28"/>
        <v>2.4722663946507835</v>
      </c>
      <c r="I177" s="245">
        <f t="shared" si="29"/>
        <v>2.481922443055292</v>
      </c>
      <c r="J177" s="246">
        <f t="shared" si="30"/>
        <v>-9.6560484045085104E-3</v>
      </c>
      <c r="K177" s="246">
        <f t="shared" si="31"/>
        <v>4.8280242022542552E-3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271.74962219080584</v>
      </c>
      <c r="E178" s="244">
        <f t="shared" si="25"/>
        <v>0.5</v>
      </c>
      <c r="F178" s="206">
        <f t="shared" si="26"/>
        <v>0.25</v>
      </c>
      <c r="G178" s="844">
        <f t="shared" si="27"/>
        <v>328.25037780919416</v>
      </c>
      <c r="H178" s="259">
        <f t="shared" si="28"/>
        <v>2.4341689489660148</v>
      </c>
      <c r="I178" s="245">
        <f t="shared" si="29"/>
        <v>2.5162052346255042</v>
      </c>
      <c r="J178" s="246">
        <f t="shared" si="30"/>
        <v>-8.2036285659489394E-2</v>
      </c>
      <c r="K178" s="246">
        <f t="shared" si="31"/>
        <v>-4.1018142829744697E-2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241.97291323423258</v>
      </c>
      <c r="E179" s="244">
        <f t="shared" si="25"/>
        <v>1.5</v>
      </c>
      <c r="F179" s="206">
        <f t="shared" si="26"/>
        <v>2.25</v>
      </c>
      <c r="G179" s="844">
        <f t="shared" si="27"/>
        <v>358.02708676576742</v>
      </c>
      <c r="H179" s="259">
        <f t="shared" si="28"/>
        <v>2.3837667532064679</v>
      </c>
      <c r="I179" s="245">
        <f t="shared" si="29"/>
        <v>2.5539158847106389</v>
      </c>
      <c r="J179" s="246">
        <f t="shared" si="30"/>
        <v>-0.17014913150417099</v>
      </c>
      <c r="K179" s="246">
        <f t="shared" si="31"/>
        <v>-0.25522369725625649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215.49152078434304</v>
      </c>
      <c r="E180" s="244">
        <f t="shared" si="25"/>
        <v>2.5</v>
      </c>
      <c r="F180" s="206">
        <f t="shared" si="26"/>
        <v>6.25</v>
      </c>
      <c r="G180" s="844">
        <f t="shared" si="27"/>
        <v>384.50847921565696</v>
      </c>
      <c r="H180" s="259">
        <f t="shared" si="28"/>
        <v>2.3334301861022295</v>
      </c>
      <c r="I180" s="245">
        <f t="shared" si="29"/>
        <v>2.5849059213441268</v>
      </c>
      <c r="J180" s="246">
        <f t="shared" si="30"/>
        <v>-0.25147573524189726</v>
      </c>
      <c r="K180" s="246">
        <f t="shared" si="31"/>
        <v>-0.62868933810474315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1056</v>
      </c>
      <c r="C181" s="212"/>
      <c r="D181" s="260">
        <f>SUM(D175:D180)</f>
        <v>1601.9833018798238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-0.58329086664383567</v>
      </c>
      <c r="K181" s="263">
        <f>SUM(K175:K180)</f>
        <v>-0.87052470841887253</v>
      </c>
      <c r="L181" s="203"/>
      <c r="M181" s="203"/>
      <c r="N181" s="203"/>
      <c r="O181" s="203"/>
    </row>
    <row r="182" spans="1:15" ht="15" customHeight="1">
      <c r="A182" s="203"/>
      <c r="B182" s="208" t="s">
        <v>1142</v>
      </c>
      <c r="C182" s="208"/>
      <c r="D182" s="201" t="s">
        <v>1143</v>
      </c>
      <c r="E182" s="236" t="s">
        <v>1144</v>
      </c>
      <c r="F182" s="203"/>
      <c r="G182" s="219" t="str">
        <f>"X = x × LOG e = "&amp;E181&amp;" 이고,"</f>
        <v>X = x × LOG e = 0 이고,</v>
      </c>
      <c r="H182" s="219"/>
      <c r="I182" s="219" t="s">
        <v>1145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1146</v>
      </c>
      <c r="E183" s="219"/>
      <c r="F183" s="219"/>
      <c r="G183" s="219"/>
      <c r="H183" s="254">
        <f>ROUND(((E$181*K$181-F$181*J$181)/(COUNT(B$175:B$180)*F$181-E$181*E$181))/LOG(EXP(1)),5)</f>
        <v>0.22384999999999999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1147</v>
      </c>
      <c r="E184" s="219"/>
      <c r="F184" s="219"/>
      <c r="G184" s="264" t="s">
        <v>1148</v>
      </c>
      <c r="H184" s="219"/>
      <c r="I184" s="219"/>
      <c r="J184" s="219"/>
      <c r="K184" s="265">
        <f>ROUND((COUNT(B$175:B$180)*K181-E181*J181)/(LOG(EXP(1))*(COUNT(B$175:B$180)*F181-E181*E181)),6)</f>
        <v>-0.111359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1061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1010</v>
      </c>
      <c r="C187" s="202"/>
      <c r="D187" s="202" t="s">
        <v>1025</v>
      </c>
      <c r="E187" s="202"/>
      <c r="F187" s="202" t="s">
        <v>1026</v>
      </c>
      <c r="G187" s="202"/>
      <c r="H187" s="202" t="s">
        <v>1027</v>
      </c>
      <c r="I187" s="202"/>
      <c r="J187" s="202" t="s">
        <v>1014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196</v>
      </c>
      <c r="E188" s="221"/>
      <c r="F188" s="221">
        <v>0</v>
      </c>
      <c r="G188" s="221"/>
      <c r="H188" s="221">
        <f t="shared" ref="H188:H202" si="33">ROUND(D188*(1+F188),0)</f>
        <v>196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182</v>
      </c>
      <c r="E189" s="221"/>
      <c r="F189" s="221">
        <v>0</v>
      </c>
      <c r="G189" s="221"/>
      <c r="H189" s="221">
        <f t="shared" si="33"/>
        <v>182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168</v>
      </c>
      <c r="E190" s="221"/>
      <c r="F190" s="221">
        <v>0</v>
      </c>
      <c r="G190" s="221"/>
      <c r="H190" s="221">
        <f t="shared" si="33"/>
        <v>168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155</v>
      </c>
      <c r="E191" s="221"/>
      <c r="F191" s="221">
        <v>0</v>
      </c>
      <c r="G191" s="221"/>
      <c r="H191" s="221">
        <f t="shared" si="33"/>
        <v>155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143</v>
      </c>
      <c r="E192" s="269"/>
      <c r="F192" s="269">
        <v>0</v>
      </c>
      <c r="G192" s="269"/>
      <c r="H192" s="269">
        <f t="shared" si="33"/>
        <v>143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131</v>
      </c>
      <c r="E193" s="221"/>
      <c r="F193" s="221">
        <v>0</v>
      </c>
      <c r="G193" s="221"/>
      <c r="H193" s="221">
        <f t="shared" si="33"/>
        <v>131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120</v>
      </c>
      <c r="E194" s="221"/>
      <c r="F194" s="221">
        <v>0</v>
      </c>
      <c r="G194" s="221"/>
      <c r="H194" s="221">
        <f t="shared" si="33"/>
        <v>120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110</v>
      </c>
      <c r="E195" s="221"/>
      <c r="F195" s="221">
        <v>0</v>
      </c>
      <c r="G195" s="221"/>
      <c r="H195" s="221">
        <f t="shared" si="33"/>
        <v>110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100</v>
      </c>
      <c r="E196" s="221"/>
      <c r="F196" s="221">
        <v>0</v>
      </c>
      <c r="G196" s="221"/>
      <c r="H196" s="221">
        <f t="shared" si="33"/>
        <v>100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91</v>
      </c>
      <c r="E197" s="269"/>
      <c r="F197" s="269">
        <v>0</v>
      </c>
      <c r="G197" s="269"/>
      <c r="H197" s="269">
        <f t="shared" si="33"/>
        <v>91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83</v>
      </c>
      <c r="E198" s="221"/>
      <c r="F198" s="221">
        <v>0</v>
      </c>
      <c r="G198" s="221"/>
      <c r="H198" s="221">
        <f t="shared" si="33"/>
        <v>83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75</v>
      </c>
      <c r="E199" s="221"/>
      <c r="F199" s="221">
        <v>0</v>
      </c>
      <c r="G199" s="221"/>
      <c r="H199" s="221">
        <f t="shared" si="33"/>
        <v>75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68</v>
      </c>
      <c r="E200" s="221"/>
      <c r="F200" s="221">
        <v>0</v>
      </c>
      <c r="G200" s="221"/>
      <c r="H200" s="221">
        <f t="shared" si="33"/>
        <v>68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62</v>
      </c>
      <c r="E201" s="221"/>
      <c r="F201" s="221">
        <v>0</v>
      </c>
      <c r="G201" s="221"/>
      <c r="H201" s="221">
        <f t="shared" si="33"/>
        <v>62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56</v>
      </c>
      <c r="E202" s="269"/>
      <c r="F202" s="269">
        <v>0</v>
      </c>
      <c r="G202" s="269"/>
      <c r="H202" s="269">
        <f t="shared" si="33"/>
        <v>56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51</v>
      </c>
      <c r="E203" s="221"/>
      <c r="F203" s="221">
        <v>0</v>
      </c>
      <c r="G203" s="221"/>
      <c r="H203" s="221">
        <f>ROUND(D203*(1+F203),0)</f>
        <v>51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46</v>
      </c>
      <c r="E204" s="221"/>
      <c r="F204" s="221">
        <v>0</v>
      </c>
      <c r="G204" s="221"/>
      <c r="H204" s="221">
        <f>ROUND(D204*(1+F204),0)</f>
        <v>46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41</v>
      </c>
      <c r="E205" s="221"/>
      <c r="F205" s="221">
        <v>0</v>
      </c>
      <c r="G205" s="221"/>
      <c r="H205" s="221">
        <f>ROUND(D205*(1+F205),0)</f>
        <v>41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37</v>
      </c>
      <c r="E206" s="221"/>
      <c r="F206" s="221">
        <v>0</v>
      </c>
      <c r="G206" s="221"/>
      <c r="H206" s="221">
        <f>ROUND(D206*(1+F206),0)</f>
        <v>37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34</v>
      </c>
      <c r="E207" s="269"/>
      <c r="F207" s="269">
        <v>0</v>
      </c>
      <c r="G207" s="269"/>
      <c r="H207" s="269">
        <f>ROUND(D207*(1+F207),0)</f>
        <v>34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1149</v>
      </c>
      <c r="G213" s="208"/>
      <c r="H213" s="203"/>
      <c r="I213" s="203"/>
      <c r="J213" s="203"/>
      <c r="K213" s="228" t="s">
        <v>1150</v>
      </c>
      <c r="L213" s="203"/>
      <c r="M213" s="203"/>
      <c r="N213" s="203"/>
      <c r="O213" s="203"/>
    </row>
    <row r="214" spans="1:15" ht="15" customHeight="1">
      <c r="A214" s="203"/>
      <c r="B214" s="202" t="s">
        <v>1010</v>
      </c>
      <c r="C214" s="202"/>
      <c r="D214" s="202" t="s">
        <v>1151</v>
      </c>
      <c r="E214" s="202" t="s">
        <v>1152</v>
      </c>
      <c r="F214" s="202" t="s">
        <v>1153</v>
      </c>
      <c r="G214" s="202" t="s">
        <v>992</v>
      </c>
      <c r="H214" s="202" t="s">
        <v>1154</v>
      </c>
      <c r="I214" s="202" t="s">
        <v>1155</v>
      </c>
      <c r="J214" s="202" t="s">
        <v>1156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215</v>
      </c>
      <c r="E215" s="257">
        <f t="array" ref="E215">IF(B54=B215,H54)</f>
        <v>215</v>
      </c>
      <c r="F215" s="257">
        <f t="array" ref="F215">IF(B103=B215,H103)</f>
        <v>227</v>
      </c>
      <c r="G215" s="257">
        <f t="array" ref="G215">IF(B144=B215,H144)</f>
        <v>344</v>
      </c>
      <c r="H215" s="257">
        <f t="array" ref="H215">IF(B188=B215,H188)</f>
        <v>196</v>
      </c>
      <c r="I215" s="257">
        <f t="shared" ref="I215:I229" si="34">IF(G215=0,AVERAGE(D215,E215,F215,H215),AVERAGE(D215:H215))</f>
        <v>239.4</v>
      </c>
      <c r="J215" s="266">
        <f t="shared" ref="J215:J229" si="35">ROUND(AVERAGE(D215,F215:G215),0)</f>
        <v>262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195</v>
      </c>
      <c r="E216" s="257">
        <f t="array" ref="E216">IF(B55=B216,H55)</f>
        <v>199</v>
      </c>
      <c r="F216" s="257">
        <f t="array" ref="F216">IF(B104=B216,H104)</f>
        <v>210</v>
      </c>
      <c r="G216" s="257">
        <f t="array" ref="G216">IF(B145=B216,H145)</f>
        <v>341</v>
      </c>
      <c r="H216" s="257">
        <f t="array" ref="H216">IF(B189=B216,H189)</f>
        <v>182</v>
      </c>
      <c r="I216" s="257">
        <f t="shared" si="34"/>
        <v>225.4</v>
      </c>
      <c r="J216" s="266">
        <f t="shared" si="35"/>
        <v>249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174</v>
      </c>
      <c r="E217" s="257">
        <f t="array" ref="E217">IF(B56=B217,H56)</f>
        <v>184</v>
      </c>
      <c r="F217" s="257">
        <f t="array" ref="F217">IF(B105=B217,H105)</f>
        <v>194</v>
      </c>
      <c r="G217" s="257">
        <f t="array" ref="G217">IF(B146=B217,H146)</f>
        <v>340</v>
      </c>
      <c r="H217" s="257">
        <f t="array" ref="H217">IF(B190=B217,H190)</f>
        <v>168</v>
      </c>
      <c r="I217" s="257">
        <f t="shared" si="34"/>
        <v>212</v>
      </c>
      <c r="J217" s="266">
        <f t="shared" si="35"/>
        <v>236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153</v>
      </c>
      <c r="E218" s="257">
        <f t="array" ref="E218">IF(B57=B218,H57)</f>
        <v>170</v>
      </c>
      <c r="F218" s="257">
        <f t="array" ref="F218">IF(B106=B218,H106)</f>
        <v>178</v>
      </c>
      <c r="G218" s="257">
        <f t="array" ref="G218">IF(B147=B218,H147)</f>
        <v>338</v>
      </c>
      <c r="H218" s="257">
        <f t="array" ref="H218">IF(B191=B218,H191)</f>
        <v>155</v>
      </c>
      <c r="I218" s="257">
        <f t="shared" si="34"/>
        <v>198.8</v>
      </c>
      <c r="J218" s="266">
        <f t="shared" si="35"/>
        <v>223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133</v>
      </c>
      <c r="E219" s="271">
        <f t="array" ref="E219">IF(B58=B219,H58)</f>
        <v>157</v>
      </c>
      <c r="F219" s="271">
        <f t="array" ref="F219">IF(B107=B219,H107)</f>
        <v>161</v>
      </c>
      <c r="G219" s="271">
        <f t="array" ref="G219">IF(B148=B219,H148)</f>
        <v>337</v>
      </c>
      <c r="H219" s="271">
        <f t="array" ref="H219">IF(B192=B219,H192)</f>
        <v>143</v>
      </c>
      <c r="I219" s="271">
        <f t="shared" si="34"/>
        <v>186.2</v>
      </c>
      <c r="J219" s="273">
        <f t="shared" si="35"/>
        <v>210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112</v>
      </c>
      <c r="E220" s="257">
        <f t="array" ref="E220">IF(B59=B220,H59)</f>
        <v>146</v>
      </c>
      <c r="F220" s="257">
        <f t="array" ref="F220">IF(B108=B220,H108)</f>
        <v>145</v>
      </c>
      <c r="G220" s="257">
        <f t="array" ref="G220">IF(B149=B220,H149)</f>
        <v>336</v>
      </c>
      <c r="H220" s="257">
        <f t="array" ref="H220">IF(B193=B220,H193)</f>
        <v>131</v>
      </c>
      <c r="I220" s="257">
        <f t="shared" si="34"/>
        <v>174</v>
      </c>
      <c r="J220" s="266">
        <f t="shared" si="35"/>
        <v>198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91</v>
      </c>
      <c r="E221" s="257">
        <f t="array" ref="E221">IF(B60=B221,H60)</f>
        <v>135</v>
      </c>
      <c r="F221" s="257">
        <f t="array" ref="F221">IF(B109=B221,H109)</f>
        <v>129</v>
      </c>
      <c r="G221" s="257">
        <f t="array" ref="G221">IF(B150=B221,H150)</f>
        <v>335</v>
      </c>
      <c r="H221" s="257">
        <f t="array" ref="H221">IF(B194=B221,H194)</f>
        <v>120</v>
      </c>
      <c r="I221" s="257">
        <f t="shared" si="34"/>
        <v>162</v>
      </c>
      <c r="J221" s="266">
        <f t="shared" si="35"/>
        <v>185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71</v>
      </c>
      <c r="E222" s="257">
        <f t="array" ref="E222">IF(B61=B222,H61)</f>
        <v>124</v>
      </c>
      <c r="F222" s="257">
        <f t="array" ref="F222">IF(B110=B222,H110)</f>
        <v>112</v>
      </c>
      <c r="G222" s="257">
        <f t="array" ref="G222">IF(B151=B222,H151)</f>
        <v>335</v>
      </c>
      <c r="H222" s="257">
        <f t="array" ref="H222">IF(B195=B222,H195)</f>
        <v>110</v>
      </c>
      <c r="I222" s="257">
        <f t="shared" si="34"/>
        <v>150.4</v>
      </c>
      <c r="J222" s="266">
        <f t="shared" si="35"/>
        <v>173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50</v>
      </c>
      <c r="E223" s="257">
        <f t="array" ref="E223">IF(B62=B223,H62)</f>
        <v>115</v>
      </c>
      <c r="F223" s="257">
        <f t="array" ref="F223">IF(B111=B223,H111)</f>
        <v>96</v>
      </c>
      <c r="G223" s="257">
        <f t="array" ref="G223">IF(B152=B223,H152)</f>
        <v>334</v>
      </c>
      <c r="H223" s="257">
        <f t="array" ref="H223">IF(B196=B223,H196)</f>
        <v>100</v>
      </c>
      <c r="I223" s="257">
        <f t="shared" si="34"/>
        <v>139</v>
      </c>
      <c r="J223" s="266">
        <f t="shared" si="35"/>
        <v>160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29</v>
      </c>
      <c r="E224" s="271">
        <f t="array" ref="E224">IF(B63=B224,H63)</f>
        <v>106</v>
      </c>
      <c r="F224" s="271">
        <f t="array" ref="F224">IF(B112=B224,H112)</f>
        <v>80</v>
      </c>
      <c r="G224" s="271">
        <f t="array" ref="G224">IF(B153=B224,H153)</f>
        <v>333</v>
      </c>
      <c r="H224" s="271">
        <f t="array" ref="H224">IF(B197=B224,H197)</f>
        <v>91</v>
      </c>
      <c r="I224" s="271">
        <f t="shared" si="34"/>
        <v>127.8</v>
      </c>
      <c r="J224" s="273">
        <f t="shared" si="35"/>
        <v>147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8</v>
      </c>
      <c r="E225" s="257">
        <f t="array" ref="E225">IF(B64=B225,H64)</f>
        <v>98</v>
      </c>
      <c r="F225" s="257">
        <f t="array" ref="F225">IF(B113=B225,H113)</f>
        <v>63</v>
      </c>
      <c r="G225" s="257">
        <f t="array" ref="G225">IF(B154=B225,H154)</f>
        <v>333</v>
      </c>
      <c r="H225" s="257">
        <f t="array" ref="H225">IF(B198=B225,H198)</f>
        <v>83</v>
      </c>
      <c r="I225" s="257">
        <f t="shared" si="34"/>
        <v>117</v>
      </c>
      <c r="J225" s="266">
        <f t="shared" si="35"/>
        <v>135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-12</v>
      </c>
      <c r="E226" s="257">
        <f t="array" ref="E226">IF(B65=B226,H65)</f>
        <v>91</v>
      </c>
      <c r="F226" s="257">
        <f t="array" ref="F226">IF(B114=B226,H114)</f>
        <v>47</v>
      </c>
      <c r="G226" s="257">
        <f t="array" ref="G226">IF(B155=B226,H155)</f>
        <v>332</v>
      </c>
      <c r="H226" s="257">
        <f t="array" ref="H226">IF(B199=B226,H199)</f>
        <v>75</v>
      </c>
      <c r="I226" s="257">
        <f t="shared" si="34"/>
        <v>106.6</v>
      </c>
      <c r="J226" s="266">
        <f t="shared" si="35"/>
        <v>122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-33</v>
      </c>
      <c r="E227" s="257">
        <f t="array" ref="E227">IF(B66=B227,H66)</f>
        <v>84</v>
      </c>
      <c r="F227" s="257">
        <f t="array" ref="F227">IF(B115=B227,H115)</f>
        <v>31</v>
      </c>
      <c r="G227" s="257">
        <f t="array" ref="G227">IF(B156=B227,H156)</f>
        <v>332</v>
      </c>
      <c r="H227" s="257">
        <f t="array" ref="H227">IF(B200=B227,H200)</f>
        <v>68</v>
      </c>
      <c r="I227" s="257">
        <f t="shared" si="34"/>
        <v>96.4</v>
      </c>
      <c r="J227" s="266">
        <f t="shared" si="35"/>
        <v>110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-54</v>
      </c>
      <c r="E228" s="257">
        <f t="array" ref="E228">IF(B67=B228,H67)</f>
        <v>78</v>
      </c>
      <c r="F228" s="257">
        <f t="array" ref="F228">IF(B116=B228,H116)</f>
        <v>14</v>
      </c>
      <c r="G228" s="257">
        <f t="array" ref="G228">IF(B157=B228,H157)</f>
        <v>332</v>
      </c>
      <c r="H228" s="257">
        <f t="array" ref="H228">IF(B201=B228,H201)</f>
        <v>62</v>
      </c>
      <c r="I228" s="257">
        <f t="shared" si="34"/>
        <v>86.4</v>
      </c>
      <c r="J228" s="266">
        <f t="shared" si="35"/>
        <v>97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-74</v>
      </c>
      <c r="E229" s="271">
        <f t="array" ref="E229">IF(B68=B229,H68)</f>
        <v>72</v>
      </c>
      <c r="F229" s="271">
        <f t="array" ref="F229">IF(B117=B229,H117)</f>
        <v>-3</v>
      </c>
      <c r="G229" s="271">
        <f t="array" ref="G229">IF(B158=B229,H158)</f>
        <v>331</v>
      </c>
      <c r="H229" s="271">
        <f t="array" ref="H229">IF(B202=B229,H202)</f>
        <v>56</v>
      </c>
      <c r="I229" s="271">
        <f t="shared" si="34"/>
        <v>76.400000000000006</v>
      </c>
      <c r="J229" s="273">
        <f t="shared" si="35"/>
        <v>85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-95</v>
      </c>
      <c r="E230" s="257">
        <f t="array" ref="E230">IF(B69=B230,H69)</f>
        <v>66</v>
      </c>
      <c r="F230" s="257">
        <f t="array" ref="F230">IF(B118=B230,H118)</f>
        <v>-19</v>
      </c>
      <c r="G230" s="257">
        <f t="array" ref="G230">IF(B159=B230,H159)</f>
        <v>331</v>
      </c>
      <c r="H230" s="257">
        <f t="array" ref="H230">IF(B203=B230,H203)</f>
        <v>51</v>
      </c>
      <c r="I230" s="257">
        <f>IF(G230=0,AVERAGE(D230,E230,F230,H230),AVERAGE(D230:H230))</f>
        <v>66.8</v>
      </c>
      <c r="J230" s="266">
        <f>ROUND(AVERAGE(D230,F230:G230),0)</f>
        <v>72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-116</v>
      </c>
      <c r="E231" s="257">
        <f t="array" ref="E231">IF(B70=B231,H70)</f>
        <v>61</v>
      </c>
      <c r="F231" s="257">
        <f t="array" ref="F231">IF(B119=B231,H119)</f>
        <v>-36</v>
      </c>
      <c r="G231" s="257">
        <f t="array" ref="G231">IF(B160=B231,H160)</f>
        <v>331</v>
      </c>
      <c r="H231" s="257">
        <f t="array" ref="H231">IF(B204=B231,H204)</f>
        <v>46</v>
      </c>
      <c r="I231" s="257">
        <f>IF(G231=0,AVERAGE(D231,E231,F231,H231),AVERAGE(D231:H231))</f>
        <v>57.2</v>
      </c>
      <c r="J231" s="266">
        <f>ROUND(AVERAGE(D231,F231:G231),0)</f>
        <v>60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-136</v>
      </c>
      <c r="E232" s="257">
        <f t="array" ref="E232">IF(B71=B232,H71)</f>
        <v>57</v>
      </c>
      <c r="F232" s="257">
        <f t="array" ref="F232">IF(B120=B232,H120)</f>
        <v>-52</v>
      </c>
      <c r="G232" s="257">
        <f t="array" ref="G232">IF(B161=B232,H161)</f>
        <v>330</v>
      </c>
      <c r="H232" s="257">
        <f t="array" ref="H232">IF(B205=B232,H205)</f>
        <v>41</v>
      </c>
      <c r="I232" s="257">
        <f>IF(G232=0,AVERAGE(D232,E232,F232,H232),AVERAGE(D232:H232))</f>
        <v>48</v>
      </c>
      <c r="J232" s="266">
        <f>ROUND(AVERAGE(D232,F232:G232),0)</f>
        <v>47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-157</v>
      </c>
      <c r="E233" s="257">
        <f t="array" ref="E233">IF(B72=B233,H72)</f>
        <v>52</v>
      </c>
      <c r="F233" s="257">
        <f t="array" ref="F233">IF(B121=B233,H121)</f>
        <v>-68</v>
      </c>
      <c r="G233" s="257">
        <f t="array" ref="G233">IF(B162=B233,H162)</f>
        <v>330</v>
      </c>
      <c r="H233" s="257">
        <f t="array" ref="H233">IF(B206=B233,H206)</f>
        <v>37</v>
      </c>
      <c r="I233" s="257">
        <f>IF(G233=0,AVERAGE(D233,E233,F233,H233),AVERAGE(D233:H233))</f>
        <v>38.799999999999997</v>
      </c>
      <c r="J233" s="266">
        <f>ROUND(AVERAGE(D233,F233:G233),0)</f>
        <v>35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-178</v>
      </c>
      <c r="E234" s="271">
        <f t="array" ref="E234">IF(B73=B234,H73)</f>
        <v>48</v>
      </c>
      <c r="F234" s="271">
        <f t="array" ref="F234">IF(B122=B234,H122)</f>
        <v>-85</v>
      </c>
      <c r="G234" s="271">
        <f t="array" ref="G234">IF(B163=B234,H163)</f>
        <v>330</v>
      </c>
      <c r="H234" s="271">
        <f t="array" ref="H234">IF(B207=B234,H207)</f>
        <v>34</v>
      </c>
      <c r="I234" s="271">
        <f>IF(G234=0,AVERAGE(D234,E234,F234,H234),AVERAGE(D234:H234))</f>
        <v>29.8</v>
      </c>
      <c r="J234" s="273">
        <f>ROUND(AVERAGE(D234,F234:G234),0)</f>
        <v>22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"/>
  <sheetViews>
    <sheetView view="pageBreakPreview" zoomScaleNormal="85" zoomScaleSheetLayoutView="100" workbookViewId="0"/>
  </sheetViews>
  <sheetFormatPr defaultRowHeight="16.5" outlineLevelRow="1" outlineLevelCol="1"/>
  <cols>
    <col min="1" max="6" width="8.88671875" style="949"/>
    <col min="7" max="7" width="8.5546875" style="949" bestFit="1" customWidth="1"/>
    <col min="8" max="8" width="8.88671875" style="949" hidden="1" customWidth="1" outlineLevel="1"/>
    <col min="9" max="9" width="8.88671875" style="928" collapsed="1"/>
    <col min="10" max="16384" width="8.88671875" style="928"/>
  </cols>
  <sheetData>
    <row r="1" spans="1:17" s="2" customFormat="1" ht="24.95" customHeight="1">
      <c r="A1" s="384" t="s">
        <v>1490</v>
      </c>
      <c r="B1" s="390"/>
      <c r="C1" s="391"/>
      <c r="D1" s="392"/>
      <c r="E1" s="392"/>
      <c r="F1" s="392"/>
      <c r="G1" s="392"/>
      <c r="H1" s="392"/>
      <c r="I1" s="392"/>
      <c r="J1" s="393"/>
      <c r="K1" s="394"/>
      <c r="L1" s="394"/>
      <c r="M1" s="392"/>
      <c r="N1" s="392"/>
    </row>
    <row r="2" spans="1:17" ht="16.5" customHeight="1">
      <c r="A2" s="1683" t="s">
        <v>980</v>
      </c>
      <c r="B2" s="1684"/>
      <c r="C2" s="1687" t="s">
        <v>981</v>
      </c>
      <c r="D2" s="1689" t="s">
        <v>1904</v>
      </c>
      <c r="E2" s="1691" t="s">
        <v>62</v>
      </c>
      <c r="F2" s="1693" t="s">
        <v>982</v>
      </c>
      <c r="G2" s="1694"/>
      <c r="H2" s="1695"/>
      <c r="I2" s="1696" t="s">
        <v>71</v>
      </c>
      <c r="J2" s="1698" t="s">
        <v>144</v>
      </c>
    </row>
    <row r="3" spans="1:17">
      <c r="A3" s="1685"/>
      <c r="B3" s="1686"/>
      <c r="C3" s="1688"/>
      <c r="D3" s="1690"/>
      <c r="E3" s="1692"/>
      <c r="F3" s="929" t="s">
        <v>983</v>
      </c>
      <c r="G3" s="929" t="s">
        <v>984</v>
      </c>
      <c r="H3" s="930" t="s">
        <v>985</v>
      </c>
      <c r="I3" s="1697"/>
      <c r="J3" s="1699"/>
    </row>
    <row r="4" spans="1:17" s="2" customFormat="1" ht="26.45" customHeight="1">
      <c r="A4" s="1680" t="s">
        <v>1819</v>
      </c>
      <c r="B4" s="1292" t="s">
        <v>66</v>
      </c>
      <c r="C4" s="931">
        <v>96993</v>
      </c>
      <c r="D4" s="931">
        <v>49723</v>
      </c>
      <c r="E4" s="1297">
        <f t="shared" ref="E4:E67" si="0">D4/C4*100</f>
        <v>51.264524244017608</v>
      </c>
      <c r="F4" s="1477">
        <f>G4</f>
        <v>14882.599999999997</v>
      </c>
      <c r="G4" s="1478">
        <v>14882.599999999997</v>
      </c>
      <c r="H4" s="1479">
        <f>'집계표 (2)'!Q5</f>
        <v>1385.1945205479451</v>
      </c>
      <c r="I4" s="1480">
        <f t="shared" ref="I4:I73" si="1">F4/D4*1000</f>
        <v>299.31017838827097</v>
      </c>
      <c r="J4" s="932"/>
      <c r="K4" s="798"/>
      <c r="L4" s="933"/>
      <c r="M4" s="934"/>
      <c r="N4" s="17"/>
      <c r="O4" s="1673"/>
    </row>
    <row r="5" spans="1:17" s="2" customFormat="1" ht="26.45" customHeight="1">
      <c r="A5" s="1678"/>
      <c r="B5" s="1293" t="s">
        <v>67</v>
      </c>
      <c r="C5" s="935">
        <v>98279</v>
      </c>
      <c r="D5" s="935">
        <v>50630</v>
      </c>
      <c r="E5" s="940">
        <f t="shared" si="0"/>
        <v>51.516600698012802</v>
      </c>
      <c r="F5" s="1481">
        <f t="shared" ref="F5:F73" si="2">G5</f>
        <v>15995.430136986302</v>
      </c>
      <c r="G5" s="1482">
        <v>15995.430136986302</v>
      </c>
      <c r="H5" s="1483">
        <f>'집계표 (2)'!Q8</f>
        <v>1344.813698630137</v>
      </c>
      <c r="I5" s="1484">
        <f t="shared" si="1"/>
        <v>315.92791106036543</v>
      </c>
      <c r="J5" s="936"/>
      <c r="K5" s="798"/>
      <c r="L5" s="933"/>
      <c r="M5" s="934"/>
      <c r="N5" s="17"/>
      <c r="O5" s="1612"/>
    </row>
    <row r="6" spans="1:17" s="2" customFormat="1" ht="26.45" customHeight="1">
      <c r="A6" s="1678"/>
      <c r="B6" s="1293" t="s">
        <v>68</v>
      </c>
      <c r="C6" s="937">
        <v>99952</v>
      </c>
      <c r="D6" s="937">
        <v>50137</v>
      </c>
      <c r="E6" s="940">
        <f t="shared" si="0"/>
        <v>50.161077317112216</v>
      </c>
      <c r="F6" s="1481">
        <f t="shared" si="2"/>
        <v>17079.008219178082</v>
      </c>
      <c r="G6" s="1482">
        <v>17079.008219178082</v>
      </c>
      <c r="H6" s="1483">
        <f>'집계표 (2)'!Q11</f>
        <v>1413.232876712329</v>
      </c>
      <c r="I6" s="1484">
        <f t="shared" si="1"/>
        <v>340.64679217300761</v>
      </c>
      <c r="J6" s="936"/>
      <c r="K6" s="798"/>
      <c r="L6" s="939"/>
      <c r="M6" s="934"/>
      <c r="N6" s="17"/>
      <c r="O6" s="1612"/>
    </row>
    <row r="7" spans="1:17" s="2" customFormat="1" ht="26.45" customHeight="1">
      <c r="A7" s="1678"/>
      <c r="B7" s="1293" t="s">
        <v>877</v>
      </c>
      <c r="C7" s="937">
        <v>102796</v>
      </c>
      <c r="D7" s="937">
        <v>53756</v>
      </c>
      <c r="E7" s="940">
        <f t="shared" si="0"/>
        <v>52.293863574458157</v>
      </c>
      <c r="F7" s="1481">
        <f t="shared" si="2"/>
        <v>16193.876712328769</v>
      </c>
      <c r="G7" s="1482">
        <v>16193.876712328769</v>
      </c>
      <c r="H7" s="1483">
        <f>'집계표 (2)'!Q14</f>
        <v>1287</v>
      </c>
      <c r="I7" s="1484">
        <f t="shared" si="1"/>
        <v>301.24779954477208</v>
      </c>
      <c r="J7" s="936"/>
      <c r="K7" s="798"/>
      <c r="L7" s="939"/>
      <c r="M7" s="934"/>
      <c r="N7" s="17"/>
      <c r="O7" s="1612"/>
    </row>
    <row r="8" spans="1:17" s="2" customFormat="1" ht="26.45" customHeight="1">
      <c r="A8" s="1678"/>
      <c r="B8" s="1293" t="s">
        <v>1820</v>
      </c>
      <c r="C8" s="937">
        <v>104316</v>
      </c>
      <c r="D8" s="937">
        <v>59004.063636816078</v>
      </c>
      <c r="E8" s="940">
        <f t="shared" si="0"/>
        <v>56.56281264313823</v>
      </c>
      <c r="F8" s="1481">
        <f t="shared" si="2"/>
        <v>17501.131506849317</v>
      </c>
      <c r="G8" s="1482">
        <v>17501.131506849317</v>
      </c>
      <c r="H8" s="1483">
        <f>'집계표 (2)'!Q17</f>
        <v>1223.9616438356165</v>
      </c>
      <c r="I8" s="1484">
        <f t="shared" si="1"/>
        <v>296.60891857504777</v>
      </c>
      <c r="J8" s="936"/>
      <c r="K8" s="798"/>
      <c r="L8" s="939"/>
      <c r="M8" s="934"/>
      <c r="N8" s="17"/>
      <c r="O8" s="1612"/>
      <c r="Q8" s="6"/>
    </row>
    <row r="9" spans="1:17" s="2" customFormat="1" ht="26.45" customHeight="1">
      <c r="A9" s="1678"/>
      <c r="B9" s="1293" t="s">
        <v>1821</v>
      </c>
      <c r="C9" s="937">
        <v>106419</v>
      </c>
      <c r="D9" s="937">
        <v>64641.84</v>
      </c>
      <c r="E9" s="940">
        <f t="shared" si="0"/>
        <v>60.742762100752678</v>
      </c>
      <c r="F9" s="1481">
        <f t="shared" si="2"/>
        <v>19097.073972602746</v>
      </c>
      <c r="G9" s="1482">
        <v>19097.073972602746</v>
      </c>
      <c r="H9" s="1483">
        <f>'집계표 (2)'!Q20</f>
        <v>1125.6602739726027</v>
      </c>
      <c r="I9" s="1484">
        <f t="shared" si="1"/>
        <v>295.42899726559062</v>
      </c>
      <c r="J9" s="936"/>
      <c r="K9" s="798"/>
      <c r="L9" s="939"/>
      <c r="M9" s="934"/>
      <c r="N9" s="17"/>
      <c r="O9" s="1612"/>
      <c r="Q9" s="6"/>
    </row>
    <row r="10" spans="1:17" s="2" customFormat="1" ht="26.45" customHeight="1">
      <c r="A10" s="1679"/>
      <c r="B10" s="1294" t="s">
        <v>1822</v>
      </c>
      <c r="C10" s="944">
        <v>106306</v>
      </c>
      <c r="D10" s="944">
        <v>67101</v>
      </c>
      <c r="E10" s="945">
        <f t="shared" si="0"/>
        <v>63.120614076345646</v>
      </c>
      <c r="F10" s="1485">
        <f t="shared" si="2"/>
        <v>19644.373626373628</v>
      </c>
      <c r="G10" s="1486">
        <v>19644.373626373628</v>
      </c>
      <c r="H10" s="1487"/>
      <c r="I10" s="1488">
        <f t="shared" si="1"/>
        <v>292.75828417420945</v>
      </c>
      <c r="J10" s="946"/>
      <c r="K10" s="798"/>
      <c r="L10" s="939"/>
      <c r="M10" s="934"/>
      <c r="N10" s="17"/>
      <c r="O10" s="1284"/>
      <c r="Q10" s="6"/>
    </row>
    <row r="11" spans="1:17" s="2" customFormat="1" ht="26.45" customHeight="1">
      <c r="A11" s="1680" t="s">
        <v>1823</v>
      </c>
      <c r="B11" s="1292" t="s">
        <v>66</v>
      </c>
      <c r="C11" s="931">
        <v>18690</v>
      </c>
      <c r="D11" s="931">
        <v>12065</v>
      </c>
      <c r="E11" s="1300">
        <f t="shared" si="0"/>
        <v>64.553237025147141</v>
      </c>
      <c r="F11" s="1477">
        <f t="shared" si="2"/>
        <v>3662.0328767123297</v>
      </c>
      <c r="G11" s="1478">
        <v>3662.0328767123297</v>
      </c>
      <c r="H11" s="1479">
        <f>'집계표 (2)'!R5</f>
        <v>420.33698630136985</v>
      </c>
      <c r="I11" s="1480">
        <f t="shared" si="1"/>
        <v>303.52531095833643</v>
      </c>
      <c r="J11" s="932"/>
      <c r="K11" s="798"/>
      <c r="L11" s="933"/>
      <c r="M11" s="934"/>
      <c r="N11" s="17"/>
      <c r="O11" s="1673"/>
    </row>
    <row r="12" spans="1:17" s="2" customFormat="1" ht="26.45" customHeight="1">
      <c r="A12" s="1678"/>
      <c r="B12" s="1293" t="s">
        <v>67</v>
      </c>
      <c r="C12" s="935">
        <v>18920</v>
      </c>
      <c r="D12" s="935">
        <v>13034</v>
      </c>
      <c r="E12" s="1299">
        <f t="shared" si="0"/>
        <v>68.890063424947144</v>
      </c>
      <c r="F12" s="1481">
        <f t="shared" si="2"/>
        <v>3782.2794520547945</v>
      </c>
      <c r="G12" s="1482">
        <v>3782.2794520547945</v>
      </c>
      <c r="H12" s="1483">
        <f>'집계표 (2)'!R8</f>
        <v>445.12876712328773</v>
      </c>
      <c r="I12" s="1484">
        <f t="shared" si="1"/>
        <v>290.18562621258206</v>
      </c>
      <c r="J12" s="936"/>
      <c r="K12" s="798"/>
      <c r="L12" s="933"/>
      <c r="M12" s="934"/>
      <c r="N12" s="17"/>
      <c r="O12" s="1612"/>
    </row>
    <row r="13" spans="1:17" s="2" customFormat="1" ht="26.45" customHeight="1">
      <c r="A13" s="1678"/>
      <c r="B13" s="1293" t="s">
        <v>68</v>
      </c>
      <c r="C13" s="937">
        <v>19167</v>
      </c>
      <c r="D13" s="937">
        <v>12897</v>
      </c>
      <c r="E13" s="938">
        <f t="shared" si="0"/>
        <v>67.287525434340267</v>
      </c>
      <c r="F13" s="1481">
        <f t="shared" si="2"/>
        <v>3966.7726027397262</v>
      </c>
      <c r="G13" s="1482">
        <v>3966.7726027397262</v>
      </c>
      <c r="H13" s="1483">
        <f>'집계표 (2)'!R11</f>
        <v>469.17534246575349</v>
      </c>
      <c r="I13" s="1484">
        <f t="shared" si="1"/>
        <v>307.57328082032461</v>
      </c>
      <c r="J13" s="936"/>
      <c r="K13" s="798"/>
      <c r="L13" s="939"/>
      <c r="M13" s="934"/>
      <c r="N13" s="17"/>
      <c r="O13" s="1612"/>
    </row>
    <row r="14" spans="1:17" s="2" customFormat="1" ht="26.45" customHeight="1">
      <c r="A14" s="1678"/>
      <c r="B14" s="1293" t="s">
        <v>877</v>
      </c>
      <c r="C14" s="937">
        <v>19214</v>
      </c>
      <c r="D14" s="937">
        <v>9311</v>
      </c>
      <c r="E14" s="940">
        <f t="shared" si="0"/>
        <v>48.459456646195484</v>
      </c>
      <c r="F14" s="1481">
        <f t="shared" si="2"/>
        <v>3762.0301369863009</v>
      </c>
      <c r="G14" s="1482">
        <v>3762.0301369863009</v>
      </c>
      <c r="H14" s="1483">
        <f>'집계표 (2)'!R14</f>
        <v>403.14246575342463</v>
      </c>
      <c r="I14" s="1484">
        <f t="shared" si="1"/>
        <v>404.04147105426927</v>
      </c>
      <c r="J14" s="936"/>
      <c r="K14" s="798"/>
      <c r="L14" s="939"/>
      <c r="M14" s="934"/>
      <c r="N14" s="17"/>
      <c r="O14" s="1612"/>
    </row>
    <row r="15" spans="1:17" s="2" customFormat="1" ht="26.45" customHeight="1">
      <c r="A15" s="1678"/>
      <c r="B15" s="1293" t="s">
        <v>1820</v>
      </c>
      <c r="C15" s="937">
        <v>18986</v>
      </c>
      <c r="D15" s="937">
        <v>12522.131593301701</v>
      </c>
      <c r="E15" s="940">
        <f>(E14+E16)/2</f>
        <v>65.954553846527446</v>
      </c>
      <c r="F15" s="1481">
        <f t="shared" si="2"/>
        <v>3956.1890410958904</v>
      </c>
      <c r="G15" s="1482">
        <v>3956.1890410958904</v>
      </c>
      <c r="H15" s="1483">
        <f>'집계표 (2)'!R17</f>
        <v>370.41095890410963</v>
      </c>
      <c r="I15" s="1484">
        <f t="shared" si="1"/>
        <v>315.93575036474795</v>
      </c>
      <c r="J15" s="936"/>
      <c r="K15" s="798"/>
      <c r="L15" s="939"/>
      <c r="M15" s="934"/>
      <c r="N15" s="17"/>
      <c r="O15" s="1612"/>
      <c r="Q15" s="6"/>
    </row>
    <row r="16" spans="1:17" s="2" customFormat="1" ht="26.45" customHeight="1">
      <c r="A16" s="1678"/>
      <c r="B16" s="1293" t="s">
        <v>1821</v>
      </c>
      <c r="C16" s="937">
        <v>19057</v>
      </c>
      <c r="D16" s="937">
        <v>15903</v>
      </c>
      <c r="E16" s="940">
        <f t="shared" si="0"/>
        <v>83.449651046859415</v>
      </c>
      <c r="F16" s="1481">
        <f t="shared" si="2"/>
        <v>4086.430136986301</v>
      </c>
      <c r="G16" s="1482">
        <v>4086.430136986301</v>
      </c>
      <c r="H16" s="1483">
        <f>'집계표 (2)'!R20</f>
        <v>378.18904109589045</v>
      </c>
      <c r="I16" s="1484">
        <f t="shared" si="1"/>
        <v>256.95970175352454</v>
      </c>
      <c r="J16" s="936"/>
      <c r="K16" s="798"/>
      <c r="L16" s="939"/>
      <c r="M16" s="934"/>
      <c r="N16" s="17"/>
      <c r="O16" s="1612"/>
      <c r="Q16" s="6"/>
    </row>
    <row r="17" spans="1:17" s="2" customFormat="1" ht="26.45" customHeight="1">
      <c r="A17" s="1679"/>
      <c r="B17" s="1296" t="s">
        <v>1822</v>
      </c>
      <c r="C17" s="941">
        <v>18940</v>
      </c>
      <c r="D17" s="941">
        <v>15832</v>
      </c>
      <c r="E17" s="942">
        <f t="shared" si="0"/>
        <v>83.590285110876451</v>
      </c>
      <c r="F17" s="1481">
        <f t="shared" si="2"/>
        <v>4042.1941391941391</v>
      </c>
      <c r="G17" s="1489">
        <v>4042.1941391941391</v>
      </c>
      <c r="H17" s="1490"/>
      <c r="I17" s="1491">
        <f t="shared" si="1"/>
        <v>255.31797240993802</v>
      </c>
      <c r="J17" s="943"/>
      <c r="K17" s="798"/>
      <c r="L17" s="939"/>
      <c r="M17" s="934"/>
      <c r="N17" s="17"/>
      <c r="O17" s="1284"/>
      <c r="Q17" s="6"/>
    </row>
    <row r="18" spans="1:17" s="2" customFormat="1" ht="26.45" customHeight="1">
      <c r="A18" s="1680" t="s">
        <v>1824</v>
      </c>
      <c r="B18" s="1292" t="s">
        <v>66</v>
      </c>
      <c r="C18" s="931">
        <v>22572</v>
      </c>
      <c r="D18" s="931">
        <v>15433</v>
      </c>
      <c r="E18" s="1300">
        <f t="shared" si="0"/>
        <v>68.372319688109158</v>
      </c>
      <c r="F18" s="1477">
        <f t="shared" si="2"/>
        <v>3847.8054794520549</v>
      </c>
      <c r="G18" s="1478">
        <v>3847.8054794520549</v>
      </c>
      <c r="H18" s="1479">
        <f>'집계표 (2)'!S5</f>
        <v>588.15616438356165</v>
      </c>
      <c r="I18" s="1480">
        <f t="shared" si="1"/>
        <v>249.32323459159301</v>
      </c>
      <c r="J18" s="932"/>
      <c r="K18" s="798"/>
      <c r="L18" s="933"/>
      <c r="M18" s="934"/>
      <c r="N18" s="17"/>
      <c r="O18" s="1673"/>
    </row>
    <row r="19" spans="1:17" s="2" customFormat="1" ht="26.45" customHeight="1">
      <c r="A19" s="1678"/>
      <c r="B19" s="1293" t="s">
        <v>67</v>
      </c>
      <c r="C19" s="935">
        <v>22563</v>
      </c>
      <c r="D19" s="935">
        <v>14195</v>
      </c>
      <c r="E19" s="1299">
        <f t="shared" si="0"/>
        <v>62.912733235828568</v>
      </c>
      <c r="F19" s="1481">
        <f t="shared" si="2"/>
        <v>4053.6465753424659</v>
      </c>
      <c r="G19" s="1482">
        <v>4053.6465753424659</v>
      </c>
      <c r="H19" s="1483">
        <f>'집계표 (2)'!S8</f>
        <v>589.95616438356171</v>
      </c>
      <c r="I19" s="1484">
        <f t="shared" si="1"/>
        <v>285.56862101743332</v>
      </c>
      <c r="J19" s="936"/>
      <c r="K19" s="798"/>
      <c r="L19" s="933"/>
      <c r="M19" s="934"/>
      <c r="N19" s="17"/>
      <c r="O19" s="1612"/>
    </row>
    <row r="20" spans="1:17" s="2" customFormat="1" ht="26.45" customHeight="1">
      <c r="A20" s="1678"/>
      <c r="B20" s="1293" t="s">
        <v>68</v>
      </c>
      <c r="C20" s="937">
        <v>23002</v>
      </c>
      <c r="D20" s="937">
        <v>14259</v>
      </c>
      <c r="E20" s="938">
        <f t="shared" si="0"/>
        <v>61.990261716372487</v>
      </c>
      <c r="F20" s="1481">
        <f t="shared" si="2"/>
        <v>4348.8438356164388</v>
      </c>
      <c r="G20" s="1482">
        <v>4348.8438356164388</v>
      </c>
      <c r="H20" s="1483">
        <f>'집계표 (2)'!S11</f>
        <v>519.94520547945206</v>
      </c>
      <c r="I20" s="1484">
        <f t="shared" si="1"/>
        <v>304.98939866866107</v>
      </c>
      <c r="J20" s="936"/>
      <c r="K20" s="798"/>
      <c r="L20" s="939"/>
      <c r="M20" s="934"/>
      <c r="N20" s="17"/>
      <c r="O20" s="1612"/>
    </row>
    <row r="21" spans="1:17" s="2" customFormat="1" ht="26.45" customHeight="1">
      <c r="A21" s="1678"/>
      <c r="B21" s="1293" t="s">
        <v>877</v>
      </c>
      <c r="C21" s="937">
        <v>23362</v>
      </c>
      <c r="D21" s="937">
        <v>16440</v>
      </c>
      <c r="E21" s="940">
        <f t="shared" si="0"/>
        <v>70.370687441143744</v>
      </c>
      <c r="F21" s="1481">
        <f t="shared" si="2"/>
        <v>4057.5945205479452</v>
      </c>
      <c r="G21" s="1482">
        <v>4057.5945205479452</v>
      </c>
      <c r="H21" s="1483">
        <f>'집계표 (2)'!S14</f>
        <v>509.24931506849316</v>
      </c>
      <c r="I21" s="1484">
        <f t="shared" si="1"/>
        <v>246.81231876812319</v>
      </c>
      <c r="J21" s="936"/>
      <c r="K21" s="798"/>
      <c r="L21" s="939"/>
      <c r="M21" s="934"/>
      <c r="N21" s="17"/>
      <c r="O21" s="1612"/>
    </row>
    <row r="22" spans="1:17" s="2" customFormat="1" ht="26.45" customHeight="1">
      <c r="A22" s="1678"/>
      <c r="B22" s="1293" t="s">
        <v>1820</v>
      </c>
      <c r="C22" s="937">
        <v>23334</v>
      </c>
      <c r="D22" s="937">
        <v>16666.454326512325</v>
      </c>
      <c r="E22" s="940">
        <f>(E21+E23)/2</f>
        <v>71.425620667319464</v>
      </c>
      <c r="F22" s="1481">
        <f t="shared" si="2"/>
        <v>4281.4410958904109</v>
      </c>
      <c r="G22" s="1482">
        <v>4281.4410958904109</v>
      </c>
      <c r="H22" s="1483">
        <f>'집계표 (2)'!S17</f>
        <v>512.26027397260282</v>
      </c>
      <c r="I22" s="1484">
        <f t="shared" si="1"/>
        <v>256.88973863382967</v>
      </c>
      <c r="J22" s="936"/>
      <c r="K22" s="798"/>
      <c r="L22" s="939"/>
      <c r="M22" s="934"/>
      <c r="N22" s="17"/>
      <c r="O22" s="1612"/>
      <c r="Q22" s="6"/>
    </row>
    <row r="23" spans="1:17" s="2" customFormat="1" ht="26.45" customHeight="1">
      <c r="A23" s="1678"/>
      <c r="B23" s="1293" t="s">
        <v>1821</v>
      </c>
      <c r="C23" s="937">
        <v>23398</v>
      </c>
      <c r="D23" s="937">
        <v>16959</v>
      </c>
      <c r="E23" s="940">
        <f t="shared" si="0"/>
        <v>72.48055389349517</v>
      </c>
      <c r="F23" s="1481">
        <f t="shared" si="2"/>
        <v>4522.0301369863009</v>
      </c>
      <c r="G23" s="1482">
        <v>4522.0301369863009</v>
      </c>
      <c r="H23" s="1483">
        <f>'집계표 (2)'!S20</f>
        <v>461.55068493150679</v>
      </c>
      <c r="I23" s="1484">
        <f t="shared" si="1"/>
        <v>266.64485742003069</v>
      </c>
      <c r="J23" s="936"/>
      <c r="K23" s="798"/>
      <c r="L23" s="939"/>
      <c r="M23" s="934"/>
      <c r="N23" s="17"/>
      <c r="O23" s="1612"/>
      <c r="Q23" s="6"/>
    </row>
    <row r="24" spans="1:17" s="2" customFormat="1" ht="26.45" customHeight="1">
      <c r="A24" s="1681"/>
      <c r="B24" s="1294" t="s">
        <v>1822</v>
      </c>
      <c r="C24" s="944">
        <v>23410</v>
      </c>
      <c r="D24" s="944">
        <v>16998</v>
      </c>
      <c r="E24" s="945">
        <f t="shared" si="0"/>
        <v>72.609995728321223</v>
      </c>
      <c r="F24" s="1481">
        <f t="shared" si="2"/>
        <v>4650.2893772893776</v>
      </c>
      <c r="G24" s="1486">
        <v>4650.2893772893776</v>
      </c>
      <c r="H24" s="1487"/>
      <c r="I24" s="1488">
        <f t="shared" si="1"/>
        <v>273.57861967816081</v>
      </c>
      <c r="J24" s="946"/>
      <c r="K24" s="798"/>
      <c r="L24" s="939"/>
      <c r="M24" s="934"/>
      <c r="N24" s="17"/>
      <c r="O24" s="1284"/>
      <c r="Q24" s="6"/>
    </row>
    <row r="25" spans="1:17" s="2" customFormat="1" ht="26.45" hidden="1" customHeight="1" outlineLevel="1">
      <c r="A25" s="1682" t="s">
        <v>1825</v>
      </c>
      <c r="B25" s="1295" t="s">
        <v>66</v>
      </c>
      <c r="C25" s="947">
        <v>3386</v>
      </c>
      <c r="D25" s="947">
        <v>0</v>
      </c>
      <c r="E25" s="1298">
        <f t="shared" si="0"/>
        <v>0</v>
      </c>
      <c r="F25" s="1492">
        <f t="shared" si="2"/>
        <v>404.28493150684932</v>
      </c>
      <c r="G25" s="1493">
        <v>404.28493150684932</v>
      </c>
      <c r="H25" s="1494">
        <f>'집계표 (2)'!T5</f>
        <v>0</v>
      </c>
      <c r="I25" s="1495" t="e">
        <f t="shared" si="1"/>
        <v>#DIV/0!</v>
      </c>
      <c r="J25" s="948"/>
      <c r="K25" s="798"/>
      <c r="L25" s="933"/>
      <c r="M25" s="934"/>
      <c r="N25" s="17"/>
      <c r="O25" s="1673"/>
    </row>
    <row r="26" spans="1:17" s="2" customFormat="1" ht="26.45" hidden="1" customHeight="1" outlineLevel="1">
      <c r="A26" s="1682"/>
      <c r="B26" s="1293" t="s">
        <v>67</v>
      </c>
      <c r="C26" s="935">
        <v>3321</v>
      </c>
      <c r="D26" s="935">
        <v>0</v>
      </c>
      <c r="E26" s="1299">
        <f t="shared" si="0"/>
        <v>0</v>
      </c>
      <c r="F26" s="1481">
        <f t="shared" si="2"/>
        <v>398.84657534246571</v>
      </c>
      <c r="G26" s="1482">
        <v>398.84657534246571</v>
      </c>
      <c r="H26" s="1483">
        <f>'집계표 (2)'!T8</f>
        <v>0</v>
      </c>
      <c r="I26" s="1484" t="e">
        <f t="shared" si="1"/>
        <v>#DIV/0!</v>
      </c>
      <c r="J26" s="936"/>
      <c r="K26" s="798"/>
      <c r="L26" s="933"/>
      <c r="M26" s="934"/>
      <c r="N26" s="17"/>
      <c r="O26" s="1612"/>
    </row>
    <row r="27" spans="1:17" s="2" customFormat="1" ht="26.45" hidden="1" customHeight="1" outlineLevel="1">
      <c r="A27" s="1682"/>
      <c r="B27" s="1293" t="s">
        <v>68</v>
      </c>
      <c r="C27" s="937">
        <v>3291</v>
      </c>
      <c r="D27" s="937">
        <v>0</v>
      </c>
      <c r="E27" s="938">
        <f t="shared" si="0"/>
        <v>0</v>
      </c>
      <c r="F27" s="1481">
        <f t="shared" si="2"/>
        <v>408.61917808219175</v>
      </c>
      <c r="G27" s="1482">
        <v>408.61917808219175</v>
      </c>
      <c r="H27" s="1483">
        <f>'집계표 (2)'!T11</f>
        <v>0</v>
      </c>
      <c r="I27" s="1484" t="e">
        <f t="shared" si="1"/>
        <v>#DIV/0!</v>
      </c>
      <c r="J27" s="936"/>
      <c r="K27" s="798"/>
      <c r="L27" s="939"/>
      <c r="M27" s="934"/>
      <c r="N27" s="17"/>
      <c r="O27" s="1612"/>
    </row>
    <row r="28" spans="1:17" s="2" customFormat="1" ht="26.45" hidden="1" customHeight="1" outlineLevel="1">
      <c r="A28" s="1682"/>
      <c r="B28" s="1293" t="s">
        <v>877</v>
      </c>
      <c r="C28" s="937">
        <v>3233</v>
      </c>
      <c r="D28" s="937">
        <v>0</v>
      </c>
      <c r="E28" s="940">
        <f t="shared" si="0"/>
        <v>0</v>
      </c>
      <c r="F28" s="1481">
        <f t="shared" si="2"/>
        <v>407.0904109589041</v>
      </c>
      <c r="G28" s="1482">
        <v>407.0904109589041</v>
      </c>
      <c r="H28" s="1483">
        <f>'집계표 (2)'!T14</f>
        <v>0</v>
      </c>
      <c r="I28" s="1484" t="e">
        <f t="shared" si="1"/>
        <v>#DIV/0!</v>
      </c>
      <c r="J28" s="936"/>
      <c r="K28" s="798"/>
      <c r="L28" s="939"/>
      <c r="M28" s="934"/>
      <c r="N28" s="17"/>
      <c r="O28" s="1612"/>
    </row>
    <row r="29" spans="1:17" s="2" customFormat="1" ht="26.45" hidden="1" customHeight="1" outlineLevel="1">
      <c r="A29" s="1682"/>
      <c r="B29" s="1293" t="s">
        <v>1820</v>
      </c>
      <c r="C29" s="937">
        <v>3221</v>
      </c>
      <c r="D29" s="937">
        <v>0</v>
      </c>
      <c r="E29" s="940">
        <v>0</v>
      </c>
      <c r="F29" s="1481">
        <f t="shared" si="2"/>
        <v>410.74794520547948</v>
      </c>
      <c r="G29" s="1482">
        <v>410.74794520547948</v>
      </c>
      <c r="H29" s="1483">
        <f>'집계표 (2)'!T17</f>
        <v>0</v>
      </c>
      <c r="I29" s="1484" t="e">
        <f t="shared" si="1"/>
        <v>#DIV/0!</v>
      </c>
      <c r="J29" s="936"/>
      <c r="K29" s="798"/>
      <c r="L29" s="939"/>
      <c r="M29" s="934"/>
      <c r="N29" s="17"/>
      <c r="O29" s="1612"/>
      <c r="Q29" s="6"/>
    </row>
    <row r="30" spans="1:17" s="2" customFormat="1" ht="26.45" hidden="1" customHeight="1" outlineLevel="1">
      <c r="A30" s="1682"/>
      <c r="B30" s="1296" t="s">
        <v>1821</v>
      </c>
      <c r="C30" s="941">
        <v>3240</v>
      </c>
      <c r="D30" s="941">
        <v>0</v>
      </c>
      <c r="E30" s="940">
        <v>0</v>
      </c>
      <c r="F30" s="1496">
        <f t="shared" si="2"/>
        <v>508.58904109589037</v>
      </c>
      <c r="G30" s="1489">
        <v>508.58904109589037</v>
      </c>
      <c r="H30" s="1490">
        <f>'집계표 (2)'!T20</f>
        <v>0</v>
      </c>
      <c r="I30" s="1491" t="e">
        <f t="shared" si="1"/>
        <v>#DIV/0!</v>
      </c>
      <c r="J30" s="943"/>
      <c r="K30" s="798"/>
      <c r="L30" s="939"/>
      <c r="M30" s="934"/>
      <c r="N30" s="17"/>
      <c r="O30" s="1612"/>
      <c r="Q30" s="6"/>
    </row>
    <row r="31" spans="1:17" s="2" customFormat="1" ht="26.45" hidden="1" customHeight="1" outlineLevel="1">
      <c r="A31" s="1682"/>
      <c r="B31" s="1296" t="s">
        <v>1822</v>
      </c>
      <c r="C31" s="1287"/>
      <c r="D31" s="1287">
        <v>0</v>
      </c>
      <c r="E31" s="1288"/>
      <c r="F31" s="1497"/>
      <c r="G31" s="1498"/>
      <c r="H31" s="1499"/>
      <c r="I31" s="1500"/>
      <c r="J31" s="1289"/>
      <c r="K31" s="798"/>
      <c r="L31" s="939"/>
      <c r="M31" s="934"/>
      <c r="N31" s="17"/>
      <c r="O31" s="1284"/>
      <c r="Q31" s="6"/>
    </row>
    <row r="32" spans="1:17" s="2" customFormat="1" ht="26.45" hidden="1" customHeight="1" outlineLevel="1">
      <c r="A32" s="1680" t="s">
        <v>1826</v>
      </c>
      <c r="B32" s="1292" t="s">
        <v>66</v>
      </c>
      <c r="C32" s="931">
        <v>3307</v>
      </c>
      <c r="D32" s="931">
        <v>0</v>
      </c>
      <c r="E32" s="1300">
        <f t="shared" si="0"/>
        <v>0</v>
      </c>
      <c r="F32" s="1477">
        <f t="shared" si="2"/>
        <v>389.13972602739727</v>
      </c>
      <c r="G32" s="1478">
        <v>389.13972602739727</v>
      </c>
      <c r="H32" s="1479">
        <f>'집계표 (2)'!U5</f>
        <v>0</v>
      </c>
      <c r="I32" s="1480" t="e">
        <f t="shared" si="1"/>
        <v>#DIV/0!</v>
      </c>
      <c r="J32" s="932"/>
      <c r="K32" s="798"/>
      <c r="L32" s="933"/>
      <c r="M32" s="934"/>
      <c r="N32" s="17"/>
      <c r="O32" s="1673"/>
    </row>
    <row r="33" spans="1:17" s="2" customFormat="1" ht="26.45" hidden="1" customHeight="1" outlineLevel="1">
      <c r="A33" s="1678"/>
      <c r="B33" s="1293" t="s">
        <v>67</v>
      </c>
      <c r="C33" s="935">
        <v>3313</v>
      </c>
      <c r="D33" s="935">
        <v>0</v>
      </c>
      <c r="E33" s="1299">
        <f t="shared" si="0"/>
        <v>0</v>
      </c>
      <c r="F33" s="1481">
        <f t="shared" si="2"/>
        <v>404.74246575342465</v>
      </c>
      <c r="G33" s="1482">
        <v>404.74246575342465</v>
      </c>
      <c r="H33" s="1483">
        <f>'집계표 (2)'!U8</f>
        <v>0</v>
      </c>
      <c r="I33" s="1484" t="e">
        <f t="shared" si="1"/>
        <v>#DIV/0!</v>
      </c>
      <c r="J33" s="936"/>
      <c r="K33" s="798"/>
      <c r="L33" s="933"/>
      <c r="M33" s="934"/>
      <c r="N33" s="17"/>
      <c r="O33" s="1612"/>
    </row>
    <row r="34" spans="1:17" s="2" customFormat="1" ht="26.45" hidden="1" customHeight="1" outlineLevel="1">
      <c r="A34" s="1678"/>
      <c r="B34" s="1293" t="s">
        <v>68</v>
      </c>
      <c r="C34" s="937">
        <v>3326</v>
      </c>
      <c r="D34" s="937">
        <v>0</v>
      </c>
      <c r="E34" s="938">
        <f t="shared" si="0"/>
        <v>0</v>
      </c>
      <c r="F34" s="1481">
        <f t="shared" si="2"/>
        <v>454.14794520547946</v>
      </c>
      <c r="G34" s="1482">
        <v>454.14794520547946</v>
      </c>
      <c r="H34" s="1483">
        <f>'집계표 (2)'!U11</f>
        <v>0</v>
      </c>
      <c r="I34" s="1484" t="e">
        <f t="shared" si="1"/>
        <v>#DIV/0!</v>
      </c>
      <c r="J34" s="936"/>
      <c r="K34" s="798"/>
      <c r="L34" s="939"/>
      <c r="M34" s="934"/>
      <c r="N34" s="17"/>
      <c r="O34" s="1612"/>
    </row>
    <row r="35" spans="1:17" s="2" customFormat="1" ht="26.45" hidden="1" customHeight="1" outlineLevel="1">
      <c r="A35" s="1678"/>
      <c r="B35" s="1293" t="s">
        <v>877</v>
      </c>
      <c r="C35" s="937">
        <v>3270</v>
      </c>
      <c r="D35" s="937">
        <v>0</v>
      </c>
      <c r="E35" s="940">
        <f t="shared" si="0"/>
        <v>0</v>
      </c>
      <c r="F35" s="1481">
        <f t="shared" si="2"/>
        <v>447.58082191780824</v>
      </c>
      <c r="G35" s="1482">
        <v>447.58082191780824</v>
      </c>
      <c r="H35" s="1483">
        <f>'집계표 (2)'!U14</f>
        <v>0</v>
      </c>
      <c r="I35" s="1484" t="e">
        <f t="shared" si="1"/>
        <v>#DIV/0!</v>
      </c>
      <c r="J35" s="936"/>
      <c r="K35" s="798"/>
      <c r="L35" s="939"/>
      <c r="M35" s="934"/>
      <c r="N35" s="17"/>
      <c r="O35" s="1612"/>
    </row>
    <row r="36" spans="1:17" s="2" customFormat="1" ht="26.45" hidden="1" customHeight="1" outlineLevel="1">
      <c r="A36" s="1678"/>
      <c r="B36" s="1293" t="s">
        <v>1820</v>
      </c>
      <c r="C36" s="937">
        <v>3243</v>
      </c>
      <c r="D36" s="937">
        <v>0</v>
      </c>
      <c r="E36" s="940">
        <v>0</v>
      </c>
      <c r="F36" s="1481">
        <f t="shared" si="2"/>
        <v>510.66027397260274</v>
      </c>
      <c r="G36" s="1482">
        <v>510.66027397260274</v>
      </c>
      <c r="H36" s="1483">
        <f>'집계표 (2)'!U17</f>
        <v>0</v>
      </c>
      <c r="I36" s="1484" t="e">
        <f t="shared" si="1"/>
        <v>#DIV/0!</v>
      </c>
      <c r="J36" s="936"/>
      <c r="K36" s="798"/>
      <c r="L36" s="939"/>
      <c r="M36" s="934"/>
      <c r="N36" s="17"/>
      <c r="O36" s="1612"/>
      <c r="Q36" s="6"/>
    </row>
    <row r="37" spans="1:17" s="2" customFormat="1" ht="26.45" hidden="1" customHeight="1" outlineLevel="1">
      <c r="A37" s="1678"/>
      <c r="B37" s="1293" t="s">
        <v>1821</v>
      </c>
      <c r="C37" s="937">
        <v>3317</v>
      </c>
      <c r="D37" s="937">
        <v>0</v>
      </c>
      <c r="E37" s="940">
        <v>0</v>
      </c>
      <c r="F37" s="1481">
        <f t="shared" si="2"/>
        <v>639.70684931506855</v>
      </c>
      <c r="G37" s="1482">
        <v>639.70684931506855</v>
      </c>
      <c r="H37" s="1483">
        <f>'집계표 (2)'!U20</f>
        <v>0</v>
      </c>
      <c r="I37" s="1484" t="e">
        <f t="shared" si="1"/>
        <v>#DIV/0!</v>
      </c>
      <c r="J37" s="936"/>
      <c r="K37" s="798"/>
      <c r="L37" s="939"/>
      <c r="M37" s="934"/>
      <c r="N37" s="17"/>
      <c r="O37" s="1612"/>
      <c r="Q37" s="6"/>
    </row>
    <row r="38" spans="1:17" s="2" customFormat="1" ht="26.45" hidden="1" customHeight="1" outlineLevel="1">
      <c r="A38" s="1681"/>
      <c r="B38" s="1294" t="s">
        <v>1822</v>
      </c>
      <c r="C38" s="944"/>
      <c r="D38" s="944">
        <v>0</v>
      </c>
      <c r="E38" s="945"/>
      <c r="F38" s="1485"/>
      <c r="G38" s="1486"/>
      <c r="H38" s="1487"/>
      <c r="I38" s="1488"/>
      <c r="J38" s="946"/>
      <c r="K38" s="798"/>
      <c r="L38" s="939"/>
      <c r="M38" s="934"/>
      <c r="N38" s="17"/>
      <c r="O38" s="1284"/>
      <c r="Q38" s="6"/>
    </row>
    <row r="39" spans="1:17" s="2" customFormat="1" ht="26.45" hidden="1" customHeight="1" outlineLevel="1">
      <c r="A39" s="1682" t="s">
        <v>1827</v>
      </c>
      <c r="B39" s="1295" t="s">
        <v>66</v>
      </c>
      <c r="C39" s="1392">
        <v>5574</v>
      </c>
      <c r="D39" s="1392">
        <v>3271</v>
      </c>
      <c r="E39" s="1397">
        <f t="shared" ref="E39:E42" si="3">D39/C39*100</f>
        <v>58.683171869393611</v>
      </c>
      <c r="F39" s="1492">
        <f t="shared" si="2"/>
        <v>354.98082191780821</v>
      </c>
      <c r="G39" s="1493">
        <v>354.98082191780821</v>
      </c>
      <c r="H39" s="1494">
        <f>'집계표 (2)'!V5</f>
        <v>0</v>
      </c>
      <c r="I39" s="1495">
        <f t="shared" si="1"/>
        <v>108.52363861748952</v>
      </c>
      <c r="J39" s="948"/>
      <c r="K39" s="798"/>
      <c r="L39" s="933"/>
      <c r="M39" s="934"/>
      <c r="N39" s="17"/>
      <c r="O39" s="1673"/>
    </row>
    <row r="40" spans="1:17" s="2" customFormat="1" ht="26.45" hidden="1" customHeight="1" outlineLevel="1">
      <c r="A40" s="1682"/>
      <c r="B40" s="1293" t="s">
        <v>67</v>
      </c>
      <c r="C40" s="1393">
        <v>5497</v>
      </c>
      <c r="D40" s="1393">
        <v>4805</v>
      </c>
      <c r="E40" s="1398">
        <f t="shared" si="3"/>
        <v>87.411315262870659</v>
      </c>
      <c r="F40" s="1481">
        <f t="shared" si="2"/>
        <v>406.44383561643838</v>
      </c>
      <c r="G40" s="1482">
        <v>406.44383561643838</v>
      </c>
      <c r="H40" s="1483">
        <f>'집계표 (2)'!V8</f>
        <v>0</v>
      </c>
      <c r="I40" s="1484">
        <f t="shared" si="1"/>
        <v>84.587686912890391</v>
      </c>
      <c r="J40" s="936"/>
      <c r="K40" s="798"/>
      <c r="L40" s="933"/>
      <c r="M40" s="934"/>
      <c r="N40" s="17"/>
      <c r="O40" s="1612"/>
    </row>
    <row r="41" spans="1:17" s="2" customFormat="1" ht="26.45" hidden="1" customHeight="1" outlineLevel="1">
      <c r="A41" s="1682"/>
      <c r="B41" s="1293" t="s">
        <v>68</v>
      </c>
      <c r="C41" s="1394">
        <v>5579</v>
      </c>
      <c r="D41" s="1394">
        <v>4815</v>
      </c>
      <c r="E41" s="1399">
        <f t="shared" si="3"/>
        <v>86.305789568022945</v>
      </c>
      <c r="F41" s="1481">
        <f t="shared" si="2"/>
        <v>468.17260273972602</v>
      </c>
      <c r="G41" s="1482">
        <v>468.17260273972602</v>
      </c>
      <c r="H41" s="1483">
        <f>'집계표 (2)'!V11</f>
        <v>0</v>
      </c>
      <c r="I41" s="1484">
        <f t="shared" si="1"/>
        <v>97.232108564844452</v>
      </c>
      <c r="J41" s="936"/>
      <c r="K41" s="798"/>
      <c r="L41" s="939"/>
      <c r="M41" s="934"/>
      <c r="N41" s="17"/>
      <c r="O41" s="1612"/>
    </row>
    <row r="42" spans="1:17" s="2" customFormat="1" ht="26.45" hidden="1" customHeight="1" outlineLevel="1">
      <c r="A42" s="1682"/>
      <c r="B42" s="1293" t="s">
        <v>877</v>
      </c>
      <c r="C42" s="1394">
        <v>8143</v>
      </c>
      <c r="D42" s="1394">
        <v>7215</v>
      </c>
      <c r="E42" s="1400">
        <f t="shared" si="3"/>
        <v>88.603708706864793</v>
      </c>
      <c r="F42" s="1481">
        <f t="shared" si="2"/>
        <v>851.75616438356167</v>
      </c>
      <c r="G42" s="1482">
        <v>851.75616438356167</v>
      </c>
      <c r="H42" s="1483">
        <f>'집계표 (2)'!V14</f>
        <v>0</v>
      </c>
      <c r="I42" s="1484">
        <f t="shared" si="1"/>
        <v>118.05352243708408</v>
      </c>
      <c r="J42" s="936"/>
      <c r="K42" s="798"/>
      <c r="L42" s="939"/>
      <c r="M42" s="934"/>
      <c r="N42" s="17"/>
      <c r="O42" s="1612"/>
    </row>
    <row r="43" spans="1:17" s="2" customFormat="1" ht="26.45" hidden="1" customHeight="1" outlineLevel="1">
      <c r="A43" s="1682"/>
      <c r="B43" s="1293" t="s">
        <v>1820</v>
      </c>
      <c r="C43" s="1394">
        <v>10418</v>
      </c>
      <c r="D43" s="1395">
        <f>C43*E43/100</f>
        <v>9376.2000000000007</v>
      </c>
      <c r="E43" s="1400">
        <v>90</v>
      </c>
      <c r="F43" s="1481">
        <f t="shared" si="2"/>
        <v>1701.0246575342464</v>
      </c>
      <c r="G43" s="1482">
        <v>1701.0246575342464</v>
      </c>
      <c r="H43" s="1483">
        <f>'집계표 (2)'!V17</f>
        <v>0</v>
      </c>
      <c r="I43" s="1484">
        <f t="shared" si="1"/>
        <v>181.41940845270432</v>
      </c>
      <c r="J43" s="936"/>
      <c r="K43" s="798"/>
      <c r="L43" s="939"/>
      <c r="M43" s="934"/>
      <c r="N43" s="17"/>
      <c r="O43" s="1612"/>
      <c r="Q43" s="6"/>
    </row>
    <row r="44" spans="1:17" s="2" customFormat="1" ht="26.45" hidden="1" customHeight="1" outlineLevel="1">
      <c r="A44" s="1682"/>
      <c r="B44" s="1296" t="s">
        <v>1821</v>
      </c>
      <c r="C44" s="1395">
        <v>12254</v>
      </c>
      <c r="D44" s="1395">
        <f>C44*E44/100</f>
        <v>11028.6</v>
      </c>
      <c r="E44" s="1401">
        <v>90</v>
      </c>
      <c r="F44" s="1496">
        <f t="shared" si="2"/>
        <v>2562.2356164383564</v>
      </c>
      <c r="G44" s="1489">
        <v>2562.2356164383564</v>
      </c>
      <c r="H44" s="1490">
        <f>'집계표 (2)'!V20</f>
        <v>0</v>
      </c>
      <c r="I44" s="1491">
        <f t="shared" si="1"/>
        <v>232.32646178466499</v>
      </c>
      <c r="J44" s="943"/>
      <c r="K44" s="798"/>
      <c r="L44" s="939"/>
      <c r="M44" s="934"/>
      <c r="N44" s="17"/>
      <c r="O44" s="1612"/>
      <c r="Q44" s="6"/>
    </row>
    <row r="45" spans="1:17" s="2" customFormat="1" ht="26.45" hidden="1" customHeight="1" outlineLevel="1">
      <c r="A45" s="1682"/>
      <c r="B45" s="1296" t="s">
        <v>1822</v>
      </c>
      <c r="C45" s="1396">
        <v>12479</v>
      </c>
      <c r="D45" s="1395">
        <f>C45*E45/100</f>
        <v>11231.1</v>
      </c>
      <c r="E45" s="1401">
        <v>90</v>
      </c>
      <c r="F45" s="1496">
        <f t="shared" si="2"/>
        <v>2914.9706959706959</v>
      </c>
      <c r="G45" s="1498">
        <v>2914.9706959706959</v>
      </c>
      <c r="H45" s="1499"/>
      <c r="I45" s="1500">
        <f t="shared" si="1"/>
        <v>259.5445411376175</v>
      </c>
      <c r="J45" s="1289"/>
      <c r="K45" s="798"/>
      <c r="L45" s="939"/>
      <c r="M45" s="934"/>
      <c r="N45" s="17"/>
      <c r="O45" s="1284"/>
      <c r="Q45" s="6"/>
    </row>
    <row r="46" spans="1:17" s="2" customFormat="1" ht="26.45" customHeight="1" collapsed="1">
      <c r="A46" s="1674" t="s">
        <v>1828</v>
      </c>
      <c r="B46" s="1372" t="s">
        <v>66</v>
      </c>
      <c r="C46" s="1373">
        <v>17831</v>
      </c>
      <c r="D46" s="1373">
        <v>9234</v>
      </c>
      <c r="E46" s="1374">
        <f t="shared" si="0"/>
        <v>51.786215018787509</v>
      </c>
      <c r="F46" s="1501">
        <f t="shared" si="2"/>
        <v>2804.0821917808221</v>
      </c>
      <c r="G46" s="1502">
        <v>2804.0821917808221</v>
      </c>
      <c r="H46" s="1503">
        <f>'집계표 (2)'!W5</f>
        <v>90.717808219178082</v>
      </c>
      <c r="I46" s="1504">
        <f t="shared" si="1"/>
        <v>303.66928652597164</v>
      </c>
      <c r="J46" s="1375"/>
      <c r="K46" s="798"/>
      <c r="L46" s="933"/>
      <c r="M46" s="934"/>
      <c r="N46" s="17"/>
      <c r="O46" s="1673"/>
    </row>
    <row r="47" spans="1:17" s="2" customFormat="1" ht="26.45" customHeight="1">
      <c r="A47" s="1675"/>
      <c r="B47" s="1293" t="s">
        <v>67</v>
      </c>
      <c r="C47" s="935">
        <v>18702</v>
      </c>
      <c r="D47" s="935">
        <v>10157</v>
      </c>
      <c r="E47" s="1299">
        <f t="shared" si="0"/>
        <v>54.30969949737996</v>
      </c>
      <c r="F47" s="1481">
        <f t="shared" si="2"/>
        <v>2993.345205479452</v>
      </c>
      <c r="G47" s="1482">
        <v>2993.345205479452</v>
      </c>
      <c r="H47" s="1483">
        <f>'집계표 (2)'!W8</f>
        <v>135.08767123287672</v>
      </c>
      <c r="I47" s="1484">
        <f t="shared" si="1"/>
        <v>294.70761105439124</v>
      </c>
      <c r="J47" s="1376"/>
      <c r="K47" s="798"/>
      <c r="L47" s="933"/>
      <c r="M47" s="934"/>
      <c r="N47" s="17"/>
      <c r="O47" s="1612"/>
    </row>
    <row r="48" spans="1:17" s="2" customFormat="1" ht="26.45" customHeight="1">
      <c r="A48" s="1675"/>
      <c r="B48" s="1293" t="s">
        <v>68</v>
      </c>
      <c r="C48" s="937">
        <v>19159</v>
      </c>
      <c r="D48" s="937">
        <v>10239</v>
      </c>
      <c r="E48" s="938">
        <f t="shared" si="0"/>
        <v>53.44224646380291</v>
      </c>
      <c r="F48" s="1481">
        <f t="shared" si="2"/>
        <v>3289.6575342465753</v>
      </c>
      <c r="G48" s="1482">
        <v>3289.6575342465753</v>
      </c>
      <c r="H48" s="1483">
        <f>'집계표 (2)'!W11</f>
        <v>245.63561643835615</v>
      </c>
      <c r="I48" s="1484">
        <f t="shared" si="1"/>
        <v>321.28699426180054</v>
      </c>
      <c r="J48" s="1376"/>
      <c r="K48" s="798"/>
      <c r="L48" s="939"/>
      <c r="M48" s="934"/>
      <c r="N48" s="17"/>
      <c r="O48" s="1612"/>
    </row>
    <row r="49" spans="1:17" s="2" customFormat="1" ht="26.45" customHeight="1">
      <c r="A49" s="1675"/>
      <c r="B49" s="1293" t="s">
        <v>877</v>
      </c>
      <c r="C49" s="937">
        <v>19132</v>
      </c>
      <c r="D49" s="937">
        <v>10567</v>
      </c>
      <c r="E49" s="940">
        <f t="shared" si="0"/>
        <v>55.232071921388247</v>
      </c>
      <c r="F49" s="1481">
        <f t="shared" si="2"/>
        <v>2873.9041095890407</v>
      </c>
      <c r="G49" s="1482">
        <v>2873.9041095890407</v>
      </c>
      <c r="H49" s="1483">
        <f>'집계표 (2)'!W14</f>
        <v>186.08493150684933</v>
      </c>
      <c r="I49" s="1484">
        <f t="shared" si="1"/>
        <v>271.96972741450179</v>
      </c>
      <c r="J49" s="1376"/>
      <c r="K49" s="798"/>
      <c r="L49" s="939"/>
      <c r="M49" s="934"/>
      <c r="N49" s="17"/>
      <c r="O49" s="1612"/>
    </row>
    <row r="50" spans="1:17" s="2" customFormat="1" ht="26.45" customHeight="1">
      <c r="A50" s="1675"/>
      <c r="B50" s="1293" t="s">
        <v>1820</v>
      </c>
      <c r="C50" s="937">
        <v>18802</v>
      </c>
      <c r="D50" s="937">
        <v>10901.979970787668</v>
      </c>
      <c r="E50" s="940">
        <f>(E49+E51)/2</f>
        <v>57.983086750280123</v>
      </c>
      <c r="F50" s="1481">
        <f t="shared" si="2"/>
        <v>3046.8273972602738</v>
      </c>
      <c r="G50" s="1482">
        <v>3046.8273972602738</v>
      </c>
      <c r="H50" s="1483">
        <f>'집계표 (2)'!W17</f>
        <v>128.13424657534247</v>
      </c>
      <c r="I50" s="1484">
        <f t="shared" si="1"/>
        <v>279.47468307815473</v>
      </c>
      <c r="J50" s="1376"/>
      <c r="K50" s="798"/>
      <c r="L50" s="939"/>
      <c r="M50" s="934"/>
      <c r="N50" s="17"/>
      <c r="O50" s="1612"/>
      <c r="Q50" s="6"/>
    </row>
    <row r="51" spans="1:17" s="2" customFormat="1" ht="26.45" customHeight="1">
      <c r="A51" s="1675"/>
      <c r="B51" s="1293" t="s">
        <v>1821</v>
      </c>
      <c r="C51" s="937">
        <v>18744</v>
      </c>
      <c r="D51" s="937">
        <v>11384</v>
      </c>
      <c r="E51" s="940">
        <f t="shared" si="0"/>
        <v>60.734101579172005</v>
      </c>
      <c r="F51" s="1481">
        <f t="shared" si="2"/>
        <v>3058.2109589041102</v>
      </c>
      <c r="G51" s="1482">
        <v>3058.2109589041102</v>
      </c>
      <c r="H51" s="1483">
        <f>'집계표 (2)'!W20</f>
        <v>119.43561643835615</v>
      </c>
      <c r="I51" s="1484">
        <f t="shared" si="1"/>
        <v>268.64115942587051</v>
      </c>
      <c r="J51" s="1376"/>
      <c r="K51" s="798"/>
      <c r="L51" s="939"/>
      <c r="M51" s="934"/>
      <c r="N51" s="17"/>
      <c r="O51" s="1612"/>
      <c r="Q51" s="6"/>
    </row>
    <row r="52" spans="1:17" s="2" customFormat="1" ht="26.45" customHeight="1">
      <c r="A52" s="1676"/>
      <c r="B52" s="1377" t="s">
        <v>1822</v>
      </c>
      <c r="C52" s="1378">
        <v>18594</v>
      </c>
      <c r="D52" s="1378">
        <v>11831</v>
      </c>
      <c r="E52" s="1379">
        <f t="shared" si="0"/>
        <v>63.62805205980424</v>
      </c>
      <c r="F52" s="1505">
        <f t="shared" si="2"/>
        <v>3122.9890109890111</v>
      </c>
      <c r="G52" s="1506">
        <v>3122.9890109890111</v>
      </c>
      <c r="H52" s="1507"/>
      <c r="I52" s="1508">
        <f t="shared" si="1"/>
        <v>263.96661406381634</v>
      </c>
      <c r="J52" s="1380"/>
      <c r="K52" s="798"/>
      <c r="L52" s="939"/>
      <c r="M52" s="934"/>
      <c r="N52" s="17"/>
      <c r="O52" s="1284"/>
      <c r="Q52" s="6"/>
    </row>
    <row r="53" spans="1:17" s="2" customFormat="1" ht="26.45" customHeight="1">
      <c r="A53" s="1674" t="s">
        <v>1829</v>
      </c>
      <c r="B53" s="1372" t="s">
        <v>66</v>
      </c>
      <c r="C53" s="1373">
        <v>9306</v>
      </c>
      <c r="D53" s="1373">
        <v>4501</v>
      </c>
      <c r="E53" s="1374">
        <f t="shared" si="0"/>
        <v>48.366645175155817</v>
      </c>
      <c r="F53" s="1501">
        <f t="shared" si="2"/>
        <v>723.26575342465753</v>
      </c>
      <c r="G53" s="1502">
        <v>723.26575342465753</v>
      </c>
      <c r="H53" s="1503">
        <f>'집계표 (2)'!X5</f>
        <v>104.81369863013698</v>
      </c>
      <c r="I53" s="1504">
        <f t="shared" si="1"/>
        <v>160.69001409123695</v>
      </c>
      <c r="J53" s="1375"/>
      <c r="K53" s="798"/>
      <c r="L53" s="933"/>
      <c r="M53" s="934"/>
      <c r="N53" s="17"/>
      <c r="O53" s="1673"/>
    </row>
    <row r="54" spans="1:17" s="2" customFormat="1" ht="26.45" customHeight="1">
      <c r="A54" s="1675"/>
      <c r="B54" s="1293" t="s">
        <v>67</v>
      </c>
      <c r="C54" s="935">
        <v>9393</v>
      </c>
      <c r="D54" s="935">
        <v>4650</v>
      </c>
      <c r="E54" s="1299">
        <f t="shared" si="0"/>
        <v>49.504950495049506</v>
      </c>
      <c r="F54" s="1481">
        <f t="shared" si="2"/>
        <v>1322.5835616438355</v>
      </c>
      <c r="G54" s="1482">
        <v>1322.5835616438355</v>
      </c>
      <c r="H54" s="1483">
        <f>'집계표 (2)'!X8</f>
        <v>9.580821917808219</v>
      </c>
      <c r="I54" s="1484">
        <f t="shared" si="1"/>
        <v>284.42657239652374</v>
      </c>
      <c r="J54" s="1376"/>
      <c r="K54" s="798"/>
      <c r="L54" s="933"/>
      <c r="M54" s="934"/>
      <c r="N54" s="17"/>
      <c r="O54" s="1612"/>
    </row>
    <row r="55" spans="1:17" s="2" customFormat="1" ht="26.45" customHeight="1">
      <c r="A55" s="1675"/>
      <c r="B55" s="1293" t="s">
        <v>68</v>
      </c>
      <c r="C55" s="937">
        <v>9575</v>
      </c>
      <c r="D55" s="937">
        <v>4732</v>
      </c>
      <c r="E55" s="938">
        <f t="shared" si="0"/>
        <v>49.420365535248038</v>
      </c>
      <c r="F55" s="1481">
        <f t="shared" si="2"/>
        <v>1416.3972602739723</v>
      </c>
      <c r="G55" s="1482">
        <v>1416.3972602739723</v>
      </c>
      <c r="H55" s="1483">
        <f>'집계표 (2)'!X11</f>
        <v>12.202739726027398</v>
      </c>
      <c r="I55" s="1484">
        <f t="shared" si="1"/>
        <v>299.32317419145653</v>
      </c>
      <c r="J55" s="1376"/>
      <c r="K55" s="798"/>
      <c r="L55" s="939"/>
      <c r="M55" s="934"/>
      <c r="N55" s="17"/>
      <c r="O55" s="1612"/>
    </row>
    <row r="56" spans="1:17" s="2" customFormat="1" ht="26.45" customHeight="1">
      <c r="A56" s="1675"/>
      <c r="B56" s="1293" t="s">
        <v>877</v>
      </c>
      <c r="C56" s="937">
        <v>9739</v>
      </c>
      <c r="D56" s="937">
        <v>5125</v>
      </c>
      <c r="E56" s="940">
        <f t="shared" si="0"/>
        <v>52.623472635794229</v>
      </c>
      <c r="F56" s="1481">
        <f t="shared" si="2"/>
        <v>1032.9150684931508</v>
      </c>
      <c r="G56" s="1482">
        <v>1032.9150684931508</v>
      </c>
      <c r="H56" s="1483">
        <f>'집계표 (2)'!X14</f>
        <v>11.753424657534246</v>
      </c>
      <c r="I56" s="1484">
        <f t="shared" si="1"/>
        <v>201.54440360841966</v>
      </c>
      <c r="J56" s="1376"/>
      <c r="K56" s="798"/>
      <c r="L56" s="939"/>
      <c r="M56" s="934"/>
      <c r="N56" s="17"/>
      <c r="O56" s="1612"/>
    </row>
    <row r="57" spans="1:17" s="2" customFormat="1" ht="26.45" customHeight="1">
      <c r="A57" s="1675"/>
      <c r="B57" s="1293" t="s">
        <v>1820</v>
      </c>
      <c r="C57" s="937">
        <v>9571</v>
      </c>
      <c r="D57" s="937">
        <v>5121.3733140896466</v>
      </c>
      <c r="E57" s="940">
        <f>(E56+E58)/2</f>
        <v>53.50928130905492</v>
      </c>
      <c r="F57" s="1481">
        <f t="shared" si="2"/>
        <v>1073.2356164383564</v>
      </c>
      <c r="G57" s="1482">
        <v>1073.2356164383564</v>
      </c>
      <c r="H57" s="1483">
        <f>'집계표 (2)'!X17</f>
        <v>10.517808219178082</v>
      </c>
      <c r="I57" s="1484">
        <f t="shared" si="1"/>
        <v>209.56012198636805</v>
      </c>
      <c r="J57" s="1376"/>
      <c r="K57" s="798"/>
      <c r="L57" s="939"/>
      <c r="M57" s="934"/>
      <c r="N57" s="17"/>
      <c r="O57" s="1612"/>
      <c r="Q57" s="6"/>
    </row>
    <row r="58" spans="1:17" s="2" customFormat="1" ht="26.45" customHeight="1">
      <c r="A58" s="1675"/>
      <c r="B58" s="1293" t="s">
        <v>1821</v>
      </c>
      <c r="C58" s="937">
        <v>9613</v>
      </c>
      <c r="D58" s="937">
        <v>5229</v>
      </c>
      <c r="E58" s="940">
        <f t="shared" si="0"/>
        <v>54.395089982315611</v>
      </c>
      <c r="F58" s="1481">
        <f t="shared" si="2"/>
        <v>1120.7561643835616</v>
      </c>
      <c r="G58" s="1482">
        <v>1120.7561643835616</v>
      </c>
      <c r="H58" s="1483">
        <f>'집계표 (2)'!X20</f>
        <v>12.739726027397261</v>
      </c>
      <c r="I58" s="1484">
        <f t="shared" si="1"/>
        <v>214.3347034583212</v>
      </c>
      <c r="J58" s="1376"/>
      <c r="K58" s="798"/>
      <c r="L58" s="939"/>
      <c r="M58" s="934"/>
      <c r="N58" s="17"/>
      <c r="O58" s="1612"/>
      <c r="Q58" s="6"/>
    </row>
    <row r="59" spans="1:17" s="2" customFormat="1" ht="26.45" customHeight="1">
      <c r="A59" s="1676"/>
      <c r="B59" s="1377" t="s">
        <v>1822</v>
      </c>
      <c r="C59" s="1378">
        <v>9551</v>
      </c>
      <c r="D59" s="1378">
        <v>5239</v>
      </c>
      <c r="E59" s="1379">
        <f t="shared" si="0"/>
        <v>54.852894984818349</v>
      </c>
      <c r="F59" s="1505">
        <f t="shared" si="2"/>
        <v>1167.8278388278388</v>
      </c>
      <c r="G59" s="1506">
        <v>1167.8278388278388</v>
      </c>
      <c r="H59" s="1507"/>
      <c r="I59" s="1508">
        <f t="shared" si="1"/>
        <v>222.91044833514769</v>
      </c>
      <c r="J59" s="1380"/>
      <c r="K59" s="798"/>
      <c r="L59" s="939"/>
      <c r="M59" s="934"/>
      <c r="N59" s="17"/>
      <c r="O59" s="1284"/>
      <c r="Q59" s="6"/>
    </row>
    <row r="60" spans="1:17" s="2" customFormat="1" ht="26.45" customHeight="1">
      <c r="A60" s="1677" t="s">
        <v>1830</v>
      </c>
      <c r="B60" s="1295" t="s">
        <v>66</v>
      </c>
      <c r="C60" s="947">
        <v>5114</v>
      </c>
      <c r="D60" s="947">
        <v>1611</v>
      </c>
      <c r="E60" s="1298">
        <f t="shared" si="0"/>
        <v>31.501759874853342</v>
      </c>
      <c r="F60" s="1492">
        <f t="shared" si="2"/>
        <v>514.07397260273979</v>
      </c>
      <c r="G60" s="1493">
        <v>514.07397260273979</v>
      </c>
      <c r="H60" s="1494">
        <f>'집계표 (2)'!Y5</f>
        <v>19.512328767123286</v>
      </c>
      <c r="I60" s="1495">
        <f t="shared" si="1"/>
        <v>319.10240385024196</v>
      </c>
      <c r="J60" s="948"/>
      <c r="K60" s="798"/>
      <c r="L60" s="933"/>
      <c r="M60" s="934"/>
      <c r="N60" s="17"/>
      <c r="O60" s="1673"/>
    </row>
    <row r="61" spans="1:17" s="2" customFormat="1" ht="26.45" customHeight="1">
      <c r="A61" s="1678"/>
      <c r="B61" s="1293" t="s">
        <v>67</v>
      </c>
      <c r="C61" s="935">
        <v>5165</v>
      </c>
      <c r="D61" s="935">
        <v>1734</v>
      </c>
      <c r="E61" s="1299">
        <f t="shared" si="0"/>
        <v>33.572120038722169</v>
      </c>
      <c r="F61" s="1481">
        <f t="shared" si="2"/>
        <v>445.64109589041095</v>
      </c>
      <c r="G61" s="1482">
        <v>445.64109589041095</v>
      </c>
      <c r="H61" s="1483">
        <f>'집계표 (2)'!Y8</f>
        <v>17.145205479452052</v>
      </c>
      <c r="I61" s="1484">
        <f t="shared" si="1"/>
        <v>257.0017854039279</v>
      </c>
      <c r="J61" s="936"/>
      <c r="K61" s="798"/>
      <c r="L61" s="933"/>
      <c r="M61" s="934"/>
      <c r="N61" s="17"/>
      <c r="O61" s="1612"/>
    </row>
    <row r="62" spans="1:17" s="2" customFormat="1" ht="26.45" customHeight="1">
      <c r="A62" s="1678"/>
      <c r="B62" s="1293" t="s">
        <v>68</v>
      </c>
      <c r="C62" s="937">
        <v>5412</v>
      </c>
      <c r="D62" s="937">
        <v>1588</v>
      </c>
      <c r="E62" s="938">
        <f t="shared" si="0"/>
        <v>29.342202512934218</v>
      </c>
      <c r="F62" s="1481">
        <f t="shared" si="2"/>
        <v>471.10410958904112</v>
      </c>
      <c r="G62" s="1482">
        <v>471.10410958904112</v>
      </c>
      <c r="H62" s="1483">
        <f>'집계표 (2)'!Y11</f>
        <v>19.372602739726027</v>
      </c>
      <c r="I62" s="1484">
        <f t="shared" si="1"/>
        <v>296.66505641627271</v>
      </c>
      <c r="J62" s="936"/>
      <c r="K62" s="798"/>
      <c r="L62" s="939"/>
      <c r="M62" s="934"/>
      <c r="N62" s="17"/>
      <c r="O62" s="1612"/>
    </row>
    <row r="63" spans="1:17" s="2" customFormat="1" ht="26.45" customHeight="1">
      <c r="A63" s="1678"/>
      <c r="B63" s="1293" t="s">
        <v>877</v>
      </c>
      <c r="C63" s="937">
        <v>5370</v>
      </c>
      <c r="D63" s="937">
        <v>1686</v>
      </c>
      <c r="E63" s="940">
        <f t="shared" si="0"/>
        <v>31.396648044692739</v>
      </c>
      <c r="F63" s="1481">
        <f t="shared" si="2"/>
        <v>458.1698630136986</v>
      </c>
      <c r="G63" s="1482">
        <v>458.1698630136986</v>
      </c>
      <c r="H63" s="1483">
        <f>'집계표 (2)'!Y14</f>
        <v>19.600000000000001</v>
      </c>
      <c r="I63" s="1484">
        <f t="shared" si="1"/>
        <v>271.74962219080584</v>
      </c>
      <c r="J63" s="936"/>
      <c r="K63" s="798"/>
      <c r="L63" s="939"/>
      <c r="M63" s="934"/>
      <c r="N63" s="17"/>
      <c r="O63" s="1612"/>
    </row>
    <row r="64" spans="1:17" s="2" customFormat="1" ht="26.45" customHeight="1">
      <c r="A64" s="1678"/>
      <c r="B64" s="1293" t="s">
        <v>1820</v>
      </c>
      <c r="C64" s="937">
        <v>5351</v>
      </c>
      <c r="D64" s="937">
        <v>1930.420983066515</v>
      </c>
      <c r="E64" s="940">
        <f>(E63+E65)/2</f>
        <v>36.075892040114276</v>
      </c>
      <c r="F64" s="1481">
        <f t="shared" si="2"/>
        <v>467.10958904109583</v>
      </c>
      <c r="G64" s="1482">
        <v>467.10958904109583</v>
      </c>
      <c r="H64" s="1483">
        <f>'집계표 (2)'!Y17</f>
        <v>22.545205479452054</v>
      </c>
      <c r="I64" s="1484">
        <f t="shared" si="1"/>
        <v>241.97291323423258</v>
      </c>
      <c r="J64" s="936"/>
      <c r="K64" s="798"/>
      <c r="L64" s="939"/>
      <c r="M64" s="934"/>
      <c r="N64" s="17"/>
      <c r="O64" s="1612"/>
      <c r="Q64" s="6"/>
    </row>
    <row r="65" spans="1:17" s="2" customFormat="1" ht="26.45" customHeight="1">
      <c r="A65" s="1678"/>
      <c r="B65" s="1293" t="s">
        <v>1821</v>
      </c>
      <c r="C65" s="937">
        <v>5403</v>
      </c>
      <c r="D65" s="937">
        <v>2202</v>
      </c>
      <c r="E65" s="940">
        <f t="shared" si="0"/>
        <v>40.755136035535813</v>
      </c>
      <c r="F65" s="1481">
        <f t="shared" si="2"/>
        <v>474.51232876712334</v>
      </c>
      <c r="G65" s="1482">
        <v>474.51232876712334</v>
      </c>
      <c r="H65" s="1483">
        <f>'집계표 (2)'!Y20</f>
        <v>21.654794520547945</v>
      </c>
      <c r="I65" s="1484">
        <f t="shared" si="1"/>
        <v>215.49152078434304</v>
      </c>
      <c r="J65" s="936"/>
      <c r="K65" s="798"/>
      <c r="L65" s="939"/>
      <c r="M65" s="934"/>
      <c r="N65" s="17"/>
      <c r="O65" s="1612"/>
      <c r="Q65" s="6"/>
    </row>
    <row r="66" spans="1:17" s="2" customFormat="1" ht="26.45" customHeight="1">
      <c r="A66" s="1679"/>
      <c r="B66" s="1296" t="s">
        <v>1822</v>
      </c>
      <c r="C66" s="941">
        <v>5362</v>
      </c>
      <c r="D66" s="941">
        <v>2147</v>
      </c>
      <c r="E66" s="942">
        <f t="shared" si="0"/>
        <v>40.041029466616934</v>
      </c>
      <c r="F66" s="1496">
        <f t="shared" si="2"/>
        <v>465.20146520146523</v>
      </c>
      <c r="G66" s="1489">
        <v>465.20146520146523</v>
      </c>
      <c r="H66" s="1490"/>
      <c r="I66" s="1491">
        <f t="shared" si="1"/>
        <v>216.67511187772018</v>
      </c>
      <c r="J66" s="943"/>
      <c r="K66" s="798"/>
      <c r="L66" s="939"/>
      <c r="M66" s="934"/>
      <c r="N66" s="17"/>
      <c r="O66" s="1284"/>
      <c r="Q66" s="6"/>
    </row>
    <row r="67" spans="1:17" s="2" customFormat="1" ht="26.45" customHeight="1">
      <c r="A67" s="1680" t="s">
        <v>1831</v>
      </c>
      <c r="B67" s="1292" t="s">
        <v>66</v>
      </c>
      <c r="C67" s="931">
        <v>11213</v>
      </c>
      <c r="D67" s="931">
        <v>6879</v>
      </c>
      <c r="E67" s="1300">
        <f t="shared" si="0"/>
        <v>61.348434852403457</v>
      </c>
      <c r="F67" s="1477">
        <f t="shared" si="2"/>
        <v>2182.9342465753425</v>
      </c>
      <c r="G67" s="1478">
        <v>2182.9342465753425</v>
      </c>
      <c r="H67" s="1479">
        <f>'집계표 (2)'!Z5</f>
        <v>161.65753424657532</v>
      </c>
      <c r="I67" s="1480">
        <f t="shared" si="1"/>
        <v>317.33307843804948</v>
      </c>
      <c r="J67" s="932"/>
      <c r="K67" s="798"/>
      <c r="L67" s="933"/>
      <c r="M67" s="934"/>
      <c r="N67" s="17"/>
      <c r="O67" s="1673"/>
    </row>
    <row r="68" spans="1:17" s="2" customFormat="1" ht="26.45" customHeight="1">
      <c r="A68" s="1678"/>
      <c r="B68" s="1293" t="s">
        <v>67</v>
      </c>
      <c r="C68" s="935">
        <v>11405</v>
      </c>
      <c r="D68" s="935">
        <v>6860</v>
      </c>
      <c r="E68" s="1299">
        <f t="shared" ref="E68:E73" si="4">D68/C68*100</f>
        <v>60.149057430951338</v>
      </c>
      <c r="F68" s="1481">
        <f t="shared" si="2"/>
        <v>2187.9013698630138</v>
      </c>
      <c r="G68" s="1482">
        <v>2187.9013698630138</v>
      </c>
      <c r="H68" s="1483">
        <f>'집계표 (2)'!Z8</f>
        <v>147.91506849315067</v>
      </c>
      <c r="I68" s="1484">
        <f t="shared" si="1"/>
        <v>318.93605974679502</v>
      </c>
      <c r="J68" s="936"/>
      <c r="K68" s="798"/>
      <c r="L68" s="933"/>
      <c r="M68" s="934"/>
      <c r="N68" s="17"/>
      <c r="O68" s="1612"/>
    </row>
    <row r="69" spans="1:17" s="2" customFormat="1" ht="26.45" customHeight="1">
      <c r="A69" s="1678"/>
      <c r="B69" s="1293" t="s">
        <v>68</v>
      </c>
      <c r="C69" s="937">
        <v>11441</v>
      </c>
      <c r="D69" s="937">
        <v>6422</v>
      </c>
      <c r="E69" s="938">
        <f t="shared" si="4"/>
        <v>56.13145704046849</v>
      </c>
      <c r="F69" s="1481">
        <f t="shared" si="2"/>
        <v>2255.2931506849318</v>
      </c>
      <c r="G69" s="1482">
        <v>2255.2931506849318</v>
      </c>
      <c r="H69" s="1483">
        <f>'집계표 (2)'!Z11</f>
        <v>146.90136986301368</v>
      </c>
      <c r="I69" s="1484">
        <f t="shared" si="1"/>
        <v>351.18236541341196</v>
      </c>
      <c r="J69" s="936"/>
      <c r="K69" s="798"/>
      <c r="L69" s="939"/>
      <c r="M69" s="934"/>
      <c r="N69" s="17"/>
      <c r="O69" s="1612"/>
    </row>
    <row r="70" spans="1:17" s="2" customFormat="1" ht="26.45" customHeight="1">
      <c r="A70" s="1678"/>
      <c r="B70" s="1293" t="s">
        <v>877</v>
      </c>
      <c r="C70" s="937">
        <v>11333</v>
      </c>
      <c r="D70" s="937">
        <v>6986</v>
      </c>
      <c r="E70" s="940">
        <f t="shared" si="4"/>
        <v>61.642989499691168</v>
      </c>
      <c r="F70" s="1481">
        <f t="shared" si="2"/>
        <v>2302.8356164383563</v>
      </c>
      <c r="G70" s="1482">
        <v>2302.8356164383563</v>
      </c>
      <c r="H70" s="1483">
        <f>'집계표 (2)'!Z14</f>
        <v>157.16986301369863</v>
      </c>
      <c r="I70" s="1484">
        <f t="shared" si="1"/>
        <v>329.63578821047184</v>
      </c>
      <c r="J70" s="936"/>
      <c r="K70" s="798"/>
      <c r="L70" s="939"/>
      <c r="M70" s="934"/>
      <c r="N70" s="17"/>
      <c r="O70" s="1612"/>
    </row>
    <row r="71" spans="1:17" s="2" customFormat="1" ht="26.45" customHeight="1">
      <c r="A71" s="1678"/>
      <c r="B71" s="1293" t="s">
        <v>1820</v>
      </c>
      <c r="C71" s="937">
        <v>11390</v>
      </c>
      <c r="D71" s="937">
        <v>7173.6034490582324</v>
      </c>
      <c r="E71" s="940">
        <f>(E70+E72)/2</f>
        <v>62.981593055822934</v>
      </c>
      <c r="F71" s="1481">
        <f t="shared" si="2"/>
        <v>2053.8958904109591</v>
      </c>
      <c r="G71" s="1482">
        <v>2053.8958904109591</v>
      </c>
      <c r="H71" s="1483">
        <f>'집계표 (2)'!Z17</f>
        <v>180.09315068493152</v>
      </c>
      <c r="I71" s="1484">
        <f t="shared" si="1"/>
        <v>286.312995274446</v>
      </c>
      <c r="J71" s="936"/>
      <c r="K71" s="798"/>
      <c r="L71" s="939"/>
      <c r="M71" s="934"/>
      <c r="N71" s="17"/>
      <c r="O71" s="1612"/>
      <c r="Q71" s="6"/>
    </row>
    <row r="72" spans="1:17" s="2" customFormat="1" ht="26.45" customHeight="1">
      <c r="A72" s="1678"/>
      <c r="B72" s="1293" t="s">
        <v>1821</v>
      </c>
      <c r="C72" s="937">
        <v>11393</v>
      </c>
      <c r="D72" s="937">
        <v>7328</v>
      </c>
      <c r="E72" s="940">
        <f t="shared" si="4"/>
        <v>64.3201966119547</v>
      </c>
      <c r="F72" s="1481">
        <f t="shared" si="2"/>
        <v>2124.6027397260273</v>
      </c>
      <c r="G72" s="1482">
        <v>2124.6027397260273</v>
      </c>
      <c r="H72" s="1483">
        <f>'집계표 (2)'!Z20</f>
        <v>132.0904109589041</v>
      </c>
      <c r="I72" s="1484">
        <f t="shared" si="1"/>
        <v>289.92941317221988</v>
      </c>
      <c r="J72" s="936"/>
      <c r="K72" s="798"/>
      <c r="L72" s="939"/>
      <c r="M72" s="934"/>
      <c r="N72" s="17"/>
      <c r="O72" s="1612"/>
      <c r="Q72" s="6"/>
    </row>
    <row r="73" spans="1:17" s="2" customFormat="1" ht="26.45" customHeight="1">
      <c r="A73" s="1681"/>
      <c r="B73" s="1294" t="s">
        <v>1822</v>
      </c>
      <c r="C73" s="944">
        <v>11379</v>
      </c>
      <c r="D73" s="944">
        <v>7815</v>
      </c>
      <c r="E73" s="945">
        <f t="shared" si="4"/>
        <v>68.679145794885315</v>
      </c>
      <c r="F73" s="1485">
        <f t="shared" si="2"/>
        <v>2109.2747252747254</v>
      </c>
      <c r="G73" s="1486">
        <v>2109.2747252747254</v>
      </c>
      <c r="H73" s="1487"/>
      <c r="I73" s="1488">
        <f t="shared" si="1"/>
        <v>269.90079658025917</v>
      </c>
      <c r="J73" s="946"/>
      <c r="K73" s="798"/>
      <c r="L73" s="1290"/>
      <c r="M73" s="798"/>
      <c r="N73" s="17"/>
      <c r="O73" s="1291"/>
      <c r="Q73" s="6"/>
    </row>
    <row r="75" spans="1:17">
      <c r="A75" s="949" t="s">
        <v>1941</v>
      </c>
    </row>
  </sheetData>
  <mergeCells count="27">
    <mergeCell ref="O18:O23"/>
    <mergeCell ref="A2:B3"/>
    <mergeCell ref="C2:C3"/>
    <mergeCell ref="D2:D3"/>
    <mergeCell ref="E2:E3"/>
    <mergeCell ref="F2:H2"/>
    <mergeCell ref="I2:I3"/>
    <mergeCell ref="J2:J3"/>
    <mergeCell ref="O4:O9"/>
    <mergeCell ref="O11:O16"/>
    <mergeCell ref="A4:A10"/>
    <mergeCell ref="A11:A17"/>
    <mergeCell ref="A18:A24"/>
    <mergeCell ref="O25:O30"/>
    <mergeCell ref="O32:O37"/>
    <mergeCell ref="O39:O44"/>
    <mergeCell ref="A25:A31"/>
    <mergeCell ref="A32:A38"/>
    <mergeCell ref="A39:A45"/>
    <mergeCell ref="O67:O72"/>
    <mergeCell ref="O46:O51"/>
    <mergeCell ref="O53:O58"/>
    <mergeCell ref="O60:O65"/>
    <mergeCell ref="A46:A52"/>
    <mergeCell ref="A53:A59"/>
    <mergeCell ref="A60:A66"/>
    <mergeCell ref="A67:A73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85" orientation="portrait" r:id="rId1"/>
  <rowBreaks count="1" manualBreakCount="1">
    <brk id="52" max="9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1379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1007</v>
      </c>
      <c r="C4" s="197">
        <v>2016</v>
      </c>
    </row>
    <row r="5" spans="1:15" ht="15" customHeight="1" thickBot="1">
      <c r="A5" s="198"/>
      <c r="B5" s="196" t="s">
        <v>1008</v>
      </c>
      <c r="C5" s="199"/>
      <c r="D5" s="196" t="s">
        <v>1782</v>
      </c>
      <c r="F5" s="200" t="s">
        <v>1009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1010</v>
      </c>
      <c r="C6" s="202"/>
      <c r="D6" s="202" t="s">
        <v>1011</v>
      </c>
      <c r="E6" s="202"/>
      <c r="F6" s="202" t="s">
        <v>1012</v>
      </c>
      <c r="G6" s="202"/>
      <c r="H6" s="202" t="s">
        <v>1013</v>
      </c>
      <c r="I6" s="202"/>
      <c r="J6" s="202" t="s">
        <v>1014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+'생극면(10년) (물)'!D8</f>
        <v>257.0017854039279</v>
      </c>
      <c r="E7" s="844"/>
      <c r="F7" s="206">
        <v>0</v>
      </c>
      <c r="G7" s="206"/>
      <c r="H7" s="207">
        <v>0</v>
      </c>
      <c r="I7" s="208"/>
      <c r="J7" s="209" t="s">
        <v>1015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+'생극면(10년) (물)'!D9</f>
        <v>296.66505641627271</v>
      </c>
      <c r="E8" s="844"/>
      <c r="F8" s="206">
        <f>D8-D7</f>
        <v>39.663271012344808</v>
      </c>
      <c r="G8" s="206"/>
      <c r="H8" s="207">
        <f>ROUND(F8/D7*100,2)</f>
        <v>15.43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+'생극면(10년) (물)'!D10</f>
        <v>271.74962219080584</v>
      </c>
      <c r="E9" s="844"/>
      <c r="F9" s="206">
        <f>D9-D8</f>
        <v>-24.915434225466868</v>
      </c>
      <c r="G9" s="206"/>
      <c r="H9" s="207">
        <f>ROUND(F9/D8*100,2)</f>
        <v>-8.4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+'생극면(10년) (물)'!D11</f>
        <v>241.97291323423258</v>
      </c>
      <c r="E10" s="844"/>
      <c r="F10" s="206">
        <f>D10-D9</f>
        <v>-29.776708956573259</v>
      </c>
      <c r="G10" s="206"/>
      <c r="H10" s="207">
        <f>ROUND(F10/D9*100,2)</f>
        <v>-10.96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+'생극면(10년) (물)'!D12</f>
        <v>215.49152078434304</v>
      </c>
      <c r="E11" s="844"/>
      <c r="F11" s="206">
        <f>D11-D10</f>
        <v>-26.48139244988954</v>
      </c>
      <c r="G11" s="206"/>
      <c r="H11" s="207">
        <f>ROUND(F11/D10*100,2)</f>
        <v>-10.94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1056</v>
      </c>
      <c r="C12" s="212"/>
      <c r="D12" s="213">
        <f>SUM(D7:D11)</f>
        <v>1282.8808980295819</v>
      </c>
      <c r="E12" s="214"/>
      <c r="F12" s="215"/>
      <c r="G12" s="215"/>
      <c r="H12" s="216">
        <f>SUM(H7:H11)</f>
        <v>-14.870000000000001</v>
      </c>
      <c r="I12" s="216"/>
      <c r="J12" s="217">
        <f>ROUND(AVERAGE(H7:H11),1)</f>
        <v>-3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1017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1018</v>
      </c>
      <c r="D15" s="219" t="s">
        <v>1019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1020</v>
      </c>
      <c r="D16" s="219" t="s">
        <v>1021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1022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1023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1024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1010</v>
      </c>
      <c r="C20" s="202"/>
      <c r="D20" s="202" t="s">
        <v>1025</v>
      </c>
      <c r="E20" s="202"/>
      <c r="F20" s="202" t="s">
        <v>1026</v>
      </c>
      <c r="G20" s="202"/>
      <c r="H20" s="202" t="s">
        <v>1027</v>
      </c>
      <c r="I20" s="202"/>
      <c r="J20" s="202" t="s">
        <v>1014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215</v>
      </c>
      <c r="E21" s="221"/>
      <c r="F21" s="221">
        <v>0</v>
      </c>
      <c r="G21" s="221"/>
      <c r="H21" s="221">
        <f t="shared" ref="H21:H40" si="1">ROUND(D21*(1+F21),0)</f>
        <v>215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205</v>
      </c>
      <c r="E22" s="221"/>
      <c r="F22" s="221">
        <v>0</v>
      </c>
      <c r="G22" s="221"/>
      <c r="H22" s="221">
        <f t="shared" si="1"/>
        <v>205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195</v>
      </c>
      <c r="E23" s="221"/>
      <c r="F23" s="221">
        <v>0</v>
      </c>
      <c r="G23" s="221"/>
      <c r="H23" s="221">
        <f t="shared" si="1"/>
        <v>195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184</v>
      </c>
      <c r="E24" s="221"/>
      <c r="F24" s="221">
        <v>0</v>
      </c>
      <c r="G24" s="221"/>
      <c r="H24" s="221">
        <f t="shared" si="1"/>
        <v>184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174</v>
      </c>
      <c r="E25" s="269"/>
      <c r="F25" s="269">
        <v>0</v>
      </c>
      <c r="G25" s="269"/>
      <c r="H25" s="269">
        <f t="shared" si="1"/>
        <v>174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163</v>
      </c>
      <c r="E26" s="221"/>
      <c r="F26" s="221">
        <v>0</v>
      </c>
      <c r="G26" s="221"/>
      <c r="H26" s="221">
        <f t="shared" si="1"/>
        <v>163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153</v>
      </c>
      <c r="E27" s="221"/>
      <c r="F27" s="221">
        <v>0</v>
      </c>
      <c r="G27" s="221"/>
      <c r="H27" s="221">
        <f t="shared" si="1"/>
        <v>153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143</v>
      </c>
      <c r="E28" s="221"/>
      <c r="F28" s="221">
        <v>0</v>
      </c>
      <c r="G28" s="221"/>
      <c r="H28" s="221">
        <f t="shared" si="1"/>
        <v>143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132</v>
      </c>
      <c r="E29" s="221"/>
      <c r="F29" s="221">
        <v>0</v>
      </c>
      <c r="G29" s="221"/>
      <c r="H29" s="221">
        <f t="shared" si="1"/>
        <v>132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122</v>
      </c>
      <c r="E30" s="269"/>
      <c r="F30" s="269">
        <v>0</v>
      </c>
      <c r="G30" s="269"/>
      <c r="H30" s="269">
        <f t="shared" si="1"/>
        <v>122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111</v>
      </c>
      <c r="E31" s="221"/>
      <c r="F31" s="221">
        <v>0</v>
      </c>
      <c r="G31" s="221"/>
      <c r="H31" s="221">
        <f t="shared" si="1"/>
        <v>111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101</v>
      </c>
      <c r="E32" s="221"/>
      <c r="F32" s="221">
        <v>0</v>
      </c>
      <c r="G32" s="221"/>
      <c r="H32" s="221">
        <f t="shared" si="1"/>
        <v>101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91</v>
      </c>
      <c r="E33" s="221"/>
      <c r="F33" s="221">
        <v>0</v>
      </c>
      <c r="G33" s="221"/>
      <c r="H33" s="221">
        <f t="shared" si="1"/>
        <v>91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80</v>
      </c>
      <c r="E34" s="221"/>
      <c r="F34" s="221">
        <v>0</v>
      </c>
      <c r="G34" s="221"/>
      <c r="H34" s="221">
        <f t="shared" si="1"/>
        <v>80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70</v>
      </c>
      <c r="E35" s="269"/>
      <c r="F35" s="269">
        <v>0</v>
      </c>
      <c r="G35" s="269"/>
      <c r="H35" s="269">
        <f t="shared" si="1"/>
        <v>70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59</v>
      </c>
      <c r="E36" s="221"/>
      <c r="F36" s="221">
        <v>0</v>
      </c>
      <c r="G36" s="221"/>
      <c r="H36" s="221">
        <f t="shared" si="1"/>
        <v>59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49</v>
      </c>
      <c r="E37" s="221"/>
      <c r="F37" s="221">
        <v>0</v>
      </c>
      <c r="G37" s="221"/>
      <c r="H37" s="221">
        <f t="shared" si="1"/>
        <v>49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39</v>
      </c>
      <c r="E38" s="221"/>
      <c r="F38" s="221">
        <v>0</v>
      </c>
      <c r="G38" s="221"/>
      <c r="H38" s="221">
        <f t="shared" si="1"/>
        <v>39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28</v>
      </c>
      <c r="E39" s="221"/>
      <c r="F39" s="221">
        <v>0</v>
      </c>
      <c r="G39" s="221"/>
      <c r="H39" s="221">
        <f t="shared" si="1"/>
        <v>28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18</v>
      </c>
      <c r="E40" s="269"/>
      <c r="F40" s="269">
        <v>0</v>
      </c>
      <c r="G40" s="269"/>
      <c r="H40" s="269">
        <f t="shared" si="1"/>
        <v>18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215.49152078434304</v>
      </c>
      <c r="F41" s="226"/>
      <c r="G41" s="224" t="s">
        <v>1030</v>
      </c>
      <c r="H41" s="224">
        <f>ROUND((D$11-D$7)/(COUNT(D$7:D$11)-1),1)</f>
        <v>-10.4</v>
      </c>
      <c r="I41" s="224"/>
      <c r="J41" s="224" t="s">
        <v>1031</v>
      </c>
      <c r="K41" s="227" t="s">
        <v>1032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1033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1018</v>
      </c>
      <c r="D46" s="219" t="s">
        <v>1034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1020</v>
      </c>
      <c r="D47" s="219" t="s">
        <v>1021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1022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1035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1036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1010</v>
      </c>
      <c r="C52" s="202"/>
      <c r="D52" s="202" t="s">
        <v>1025</v>
      </c>
      <c r="E52" s="202"/>
      <c r="F52" s="202" t="s">
        <v>1026</v>
      </c>
      <c r="G52" s="202"/>
      <c r="H52" s="202" t="s">
        <v>1027</v>
      </c>
      <c r="I52" s="202"/>
      <c r="J52" s="202" t="s">
        <v>1014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215</v>
      </c>
      <c r="E53" s="221"/>
      <c r="F53" s="221">
        <v>0</v>
      </c>
      <c r="G53" s="221"/>
      <c r="H53" s="221">
        <f t="shared" ref="H53:H72" si="3">ROUND(D53*(1+F53),0)</f>
        <v>215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206</v>
      </c>
      <c r="E54" s="221"/>
      <c r="F54" s="221">
        <v>0</v>
      </c>
      <c r="G54" s="221"/>
      <c r="H54" s="221">
        <f t="shared" si="3"/>
        <v>206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197</v>
      </c>
      <c r="E55" s="221"/>
      <c r="F55" s="221">
        <v>0</v>
      </c>
      <c r="G55" s="221"/>
      <c r="H55" s="221">
        <f t="shared" si="3"/>
        <v>197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189</v>
      </c>
      <c r="E56" s="221"/>
      <c r="F56" s="221">
        <v>0</v>
      </c>
      <c r="G56" s="221"/>
      <c r="H56" s="221">
        <f t="shared" si="3"/>
        <v>189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181</v>
      </c>
      <c r="E57" s="269"/>
      <c r="F57" s="269">
        <v>0</v>
      </c>
      <c r="G57" s="269"/>
      <c r="H57" s="269">
        <f t="shared" si="3"/>
        <v>181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173</v>
      </c>
      <c r="E58" s="221"/>
      <c r="F58" s="221">
        <v>0</v>
      </c>
      <c r="G58" s="221"/>
      <c r="H58" s="221">
        <f t="shared" si="3"/>
        <v>173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165</v>
      </c>
      <c r="E59" s="221"/>
      <c r="F59" s="221">
        <v>0</v>
      </c>
      <c r="G59" s="221"/>
      <c r="H59" s="221">
        <f t="shared" si="3"/>
        <v>165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158</v>
      </c>
      <c r="E60" s="221"/>
      <c r="F60" s="221">
        <v>0</v>
      </c>
      <c r="G60" s="221"/>
      <c r="H60" s="221">
        <f t="shared" si="3"/>
        <v>158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152</v>
      </c>
      <c r="E61" s="221"/>
      <c r="F61" s="221">
        <v>0</v>
      </c>
      <c r="G61" s="221"/>
      <c r="H61" s="221">
        <f t="shared" si="3"/>
        <v>152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145</v>
      </c>
      <c r="E62" s="269"/>
      <c r="F62" s="269">
        <v>0</v>
      </c>
      <c r="G62" s="269"/>
      <c r="H62" s="269">
        <f t="shared" si="3"/>
        <v>145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139</v>
      </c>
      <c r="E63" s="221"/>
      <c r="F63" s="221">
        <v>0</v>
      </c>
      <c r="G63" s="221"/>
      <c r="H63" s="221">
        <f t="shared" si="3"/>
        <v>139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133</v>
      </c>
      <c r="E64" s="221"/>
      <c r="F64" s="221">
        <v>0</v>
      </c>
      <c r="G64" s="221"/>
      <c r="H64" s="221">
        <f t="shared" si="3"/>
        <v>133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127</v>
      </c>
      <c r="E65" s="221"/>
      <c r="F65" s="221">
        <v>0</v>
      </c>
      <c r="G65" s="221"/>
      <c r="H65" s="221">
        <f t="shared" si="3"/>
        <v>127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122</v>
      </c>
      <c r="E66" s="221"/>
      <c r="F66" s="221">
        <v>0</v>
      </c>
      <c r="G66" s="221"/>
      <c r="H66" s="221">
        <f t="shared" si="3"/>
        <v>122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116</v>
      </c>
      <c r="E67" s="269"/>
      <c r="F67" s="269">
        <v>0</v>
      </c>
      <c r="G67" s="269"/>
      <c r="H67" s="269">
        <f t="shared" si="3"/>
        <v>116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111</v>
      </c>
      <c r="E68" s="221"/>
      <c r="F68" s="221">
        <v>0</v>
      </c>
      <c r="G68" s="221"/>
      <c r="H68" s="221">
        <f t="shared" si="3"/>
        <v>111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107</v>
      </c>
      <c r="E69" s="221"/>
      <c r="F69" s="221">
        <v>0</v>
      </c>
      <c r="G69" s="221"/>
      <c r="H69" s="221">
        <f t="shared" si="3"/>
        <v>107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102</v>
      </c>
      <c r="E70" s="221"/>
      <c r="F70" s="221">
        <v>0</v>
      </c>
      <c r="G70" s="221"/>
      <c r="H70" s="221">
        <f t="shared" si="3"/>
        <v>102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98</v>
      </c>
      <c r="E71" s="221"/>
      <c r="F71" s="221">
        <v>0</v>
      </c>
      <c r="G71" s="221"/>
      <c r="H71" s="221">
        <f t="shared" si="3"/>
        <v>98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93</v>
      </c>
      <c r="E72" s="269"/>
      <c r="F72" s="269">
        <v>0</v>
      </c>
      <c r="G72" s="269"/>
      <c r="H72" s="269">
        <f t="shared" si="3"/>
        <v>93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1037</v>
      </c>
      <c r="C73" s="223"/>
      <c r="D73" s="224" t="s">
        <v>1038</v>
      </c>
      <c r="E73" s="225">
        <f>D$11</f>
        <v>215.49152078434304</v>
      </c>
      <c r="F73" s="226"/>
      <c r="G73" s="224" t="s">
        <v>1114</v>
      </c>
      <c r="H73" s="224">
        <f>ROUND((E$73/D$7)^(1/(COUNT(D$7:D$11)-1)),6)</f>
        <v>0.95691499999999996</v>
      </c>
      <c r="I73" s="224"/>
      <c r="J73" s="224" t="s">
        <v>1031</v>
      </c>
      <c r="K73" s="227" t="s">
        <v>1032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1115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1018</v>
      </c>
      <c r="D84" s="219" t="s">
        <v>1116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1064</v>
      </c>
      <c r="D85" s="219" t="s">
        <v>1117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1118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1119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1120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1010</v>
      </c>
      <c r="C89" s="202"/>
      <c r="D89" s="202" t="s">
        <v>1121</v>
      </c>
      <c r="E89" s="202" t="s">
        <v>1122</v>
      </c>
      <c r="F89" s="202" t="s">
        <v>1123</v>
      </c>
      <c r="G89" s="202"/>
      <c r="H89" s="202" t="s">
        <v>1124</v>
      </c>
      <c r="I89" s="202"/>
      <c r="J89" s="202" t="s">
        <v>1014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257.0017854039279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-514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296.66505641627271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-296.67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271.74962219080584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241.97291323423258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241.97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215.49152078434304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430.98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1056</v>
      </c>
      <c r="C95" s="212"/>
      <c r="D95" s="232">
        <f>SUM(D90:D94)</f>
        <v>1282.8808980295819</v>
      </c>
      <c r="E95" s="215"/>
      <c r="F95" s="233">
        <f>ROUND(SUM(F90:F94),0)</f>
        <v>10</v>
      </c>
      <c r="G95" s="212"/>
      <c r="H95" s="211">
        <f>SUM(H90:H94)</f>
        <v>-137.72000000000003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1125</v>
      </c>
      <c r="C96" s="208"/>
      <c r="D96" s="236" t="s">
        <v>1126</v>
      </c>
      <c r="E96" s="203"/>
      <c r="F96" s="203"/>
      <c r="G96" s="201">
        <f>((COUNT(B$90:B$94))*H$95-D$95*E$95)/((COUNT(B$90:B$94))*F$95-E$95*E$95)</f>
        <v>-13.772000000000002</v>
      </c>
      <c r="H96" s="236" t="s">
        <v>1127</v>
      </c>
      <c r="I96" s="201"/>
      <c r="J96" s="201"/>
      <c r="K96" s="201">
        <f>ROUND((F95*D95-H95*E95)/(COUNT(B$90:B$94)*F95-E95*E95),0)</f>
        <v>257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1061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1010</v>
      </c>
      <c r="C100" s="202"/>
      <c r="D100" s="202" t="s">
        <v>1025</v>
      </c>
      <c r="E100" s="202"/>
      <c r="F100" s="202" t="s">
        <v>1026</v>
      </c>
      <c r="G100" s="202"/>
      <c r="H100" s="202" t="s">
        <v>1027</v>
      </c>
      <c r="I100" s="202"/>
      <c r="J100" s="202" t="s">
        <v>1014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230</v>
      </c>
      <c r="E101" s="221"/>
      <c r="F101" s="221">
        <v>0</v>
      </c>
      <c r="G101" s="221"/>
      <c r="H101" s="221">
        <f t="shared" ref="H101:H120" si="5">ROUND(D101*(1+F101),0)</f>
        <v>230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216</v>
      </c>
      <c r="E102" s="221"/>
      <c r="F102" s="221">
        <v>0</v>
      </c>
      <c r="G102" s="221"/>
      <c r="H102" s="221">
        <f t="shared" si="5"/>
        <v>216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202</v>
      </c>
      <c r="E103" s="221"/>
      <c r="F103" s="221">
        <v>0</v>
      </c>
      <c r="G103" s="221"/>
      <c r="H103" s="221">
        <f t="shared" si="5"/>
        <v>202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189</v>
      </c>
      <c r="E104" s="221"/>
      <c r="F104" s="221">
        <v>0</v>
      </c>
      <c r="G104" s="221"/>
      <c r="H104" s="221">
        <f t="shared" si="5"/>
        <v>189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175</v>
      </c>
      <c r="E105" s="269"/>
      <c r="F105" s="269">
        <v>0</v>
      </c>
      <c r="G105" s="269"/>
      <c r="H105" s="269">
        <f t="shared" si="5"/>
        <v>175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161</v>
      </c>
      <c r="E106" s="221"/>
      <c r="F106" s="221">
        <v>0</v>
      </c>
      <c r="G106" s="221"/>
      <c r="H106" s="221">
        <f t="shared" si="5"/>
        <v>161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147</v>
      </c>
      <c r="E107" s="221"/>
      <c r="F107" s="221">
        <v>0</v>
      </c>
      <c r="G107" s="221"/>
      <c r="H107" s="221">
        <f t="shared" si="5"/>
        <v>147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134</v>
      </c>
      <c r="E108" s="221"/>
      <c r="F108" s="221">
        <v>0</v>
      </c>
      <c r="G108" s="221"/>
      <c r="H108" s="221">
        <f t="shared" si="5"/>
        <v>134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120</v>
      </c>
      <c r="E109" s="221"/>
      <c r="F109" s="221">
        <v>0</v>
      </c>
      <c r="G109" s="221"/>
      <c r="H109" s="221">
        <f t="shared" si="5"/>
        <v>120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106</v>
      </c>
      <c r="E110" s="269"/>
      <c r="F110" s="269">
        <v>0</v>
      </c>
      <c r="G110" s="269"/>
      <c r="H110" s="269">
        <f t="shared" si="5"/>
        <v>106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92</v>
      </c>
      <c r="E111" s="221"/>
      <c r="F111" s="221">
        <v>0</v>
      </c>
      <c r="G111" s="221"/>
      <c r="H111" s="221">
        <f t="shared" si="5"/>
        <v>92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78</v>
      </c>
      <c r="E112" s="221"/>
      <c r="F112" s="221">
        <v>0</v>
      </c>
      <c r="G112" s="221"/>
      <c r="H112" s="221">
        <f t="shared" si="5"/>
        <v>78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65</v>
      </c>
      <c r="E113" s="221"/>
      <c r="F113" s="221">
        <v>0</v>
      </c>
      <c r="G113" s="221"/>
      <c r="H113" s="221">
        <f t="shared" si="5"/>
        <v>65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51</v>
      </c>
      <c r="E114" s="221"/>
      <c r="F114" s="221">
        <v>0</v>
      </c>
      <c r="G114" s="221"/>
      <c r="H114" s="221">
        <f t="shared" si="5"/>
        <v>51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37</v>
      </c>
      <c r="E115" s="269"/>
      <c r="F115" s="269">
        <v>0</v>
      </c>
      <c r="G115" s="269"/>
      <c r="H115" s="269">
        <f t="shared" si="5"/>
        <v>37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23</v>
      </c>
      <c r="E116" s="221"/>
      <c r="F116" s="221">
        <v>0</v>
      </c>
      <c r="G116" s="221"/>
      <c r="H116" s="221">
        <f t="shared" si="5"/>
        <v>23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10</v>
      </c>
      <c r="E117" s="221"/>
      <c r="F117" s="221">
        <v>0</v>
      </c>
      <c r="G117" s="221"/>
      <c r="H117" s="221">
        <f t="shared" si="5"/>
        <v>10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-5</v>
      </c>
      <c r="E118" s="221"/>
      <c r="F118" s="221">
        <v>0</v>
      </c>
      <c r="G118" s="221"/>
      <c r="H118" s="221">
        <f t="shared" si="5"/>
        <v>-5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-19</v>
      </c>
      <c r="E119" s="221"/>
      <c r="F119" s="221">
        <v>0</v>
      </c>
      <c r="G119" s="221"/>
      <c r="H119" s="221">
        <f t="shared" si="5"/>
        <v>-19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-33</v>
      </c>
      <c r="E120" s="269"/>
      <c r="F120" s="269">
        <v>0</v>
      </c>
      <c r="G120" s="269"/>
      <c r="H120" s="269">
        <f t="shared" si="5"/>
        <v>-33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1128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1018</v>
      </c>
      <c r="D124" s="219" t="s">
        <v>1129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1064</v>
      </c>
      <c r="D125" s="219" t="s">
        <v>1065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1130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1131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1132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1010</v>
      </c>
      <c r="C129" s="202"/>
      <c r="D129" s="202" t="s">
        <v>1121</v>
      </c>
      <c r="E129" s="202" t="s">
        <v>1122</v>
      </c>
      <c r="F129" s="202" t="s">
        <v>1122</v>
      </c>
      <c r="G129" s="202" t="s">
        <v>1123</v>
      </c>
      <c r="H129" s="202" t="s">
        <v>1133</v>
      </c>
      <c r="I129" s="202"/>
      <c r="J129" s="202" t="s">
        <v>1134</v>
      </c>
      <c r="K129" s="202" t="s">
        <v>1135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257.0017854039279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296.66505641627271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39.663271012344808</v>
      </c>
      <c r="I131" s="231"/>
      <c r="J131" s="247">
        <f>IF(H131="","",LOG(H131))</f>
        <v>1.5983885274192731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271.74962219080584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14.74783678687794</v>
      </c>
      <c r="I132" s="231"/>
      <c r="J132" s="247">
        <f>IF(H132="","",LOG(H132))</f>
        <v>1.1687283226586171</v>
      </c>
      <c r="K132" s="247">
        <f>IF(J132="","",J132*F132)</f>
        <v>0.35182228190229553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241.97291323423258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15.028872169695319</v>
      </c>
      <c r="I133" s="231"/>
      <c r="J133" s="247">
        <f>IF(H133="","",LOG(H133))</f>
        <v>1.1769263905099878</v>
      </c>
      <c r="K133" s="247">
        <f>IF(J133="","",J133*F133)</f>
        <v>0.56153659615280882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215.49152078434304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41.510264619584859</v>
      </c>
      <c r="I134" s="231"/>
      <c r="J134" s="247">
        <f>IF(H134="","",LOG(H134))</f>
        <v>1.6181555019272837</v>
      </c>
      <c r="K134" s="247">
        <f>IF(J134="","",J134*F134)</f>
        <v>0.97422668745763508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1056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5.5621987425151618</v>
      </c>
      <c r="K135" s="253">
        <f>IF(K134="","",SUM(K130:K134))</f>
        <v>1.8875855655127394</v>
      </c>
      <c r="L135" s="203"/>
      <c r="M135" s="203"/>
      <c r="N135" s="203"/>
      <c r="O135" s="203"/>
    </row>
    <row r="136" spans="1:15" ht="15" customHeight="1">
      <c r="A136" s="203"/>
      <c r="B136" s="208" t="s">
        <v>1057</v>
      </c>
      <c r="C136" s="208"/>
      <c r="D136" s="201" t="s">
        <v>1030</v>
      </c>
      <c r="E136" s="201">
        <f>IF(G135="",0,5^ROUND((G135*J135-F135*K135)/((COUNT(B$130:B$134)-1)*G135-F135*F135),5))</f>
        <v>10.216419253488491</v>
      </c>
      <c r="F136" s="238" t="s">
        <v>1058</v>
      </c>
      <c r="G136" s="203"/>
      <c r="H136" s="208"/>
      <c r="I136" s="203"/>
      <c r="J136" s="254">
        <f>IF(G135="",0,ROUND(((COUNT(B$130:B$134)-1)*K135-J135*F135)/((COUNT(B$130:B$134)-1)*G135-F135*F135),5))</f>
        <v>-0.15484999999999999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1059</v>
      </c>
      <c r="E137" s="219"/>
      <c r="F137" s="219"/>
      <c r="G137" s="256"/>
      <c r="H137" s="201" t="s">
        <v>1060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1061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1010</v>
      </c>
      <c r="C140" s="202"/>
      <c r="D140" s="202" t="s">
        <v>1025</v>
      </c>
      <c r="E140" s="202"/>
      <c r="F140" s="202" t="s">
        <v>1026</v>
      </c>
      <c r="G140" s="202"/>
      <c r="H140" s="202" t="s">
        <v>1027</v>
      </c>
      <c r="I140" s="202"/>
      <c r="J140" s="202" t="s">
        <v>1014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266</v>
      </c>
      <c r="E141" s="257"/>
      <c r="F141" s="258">
        <v>0</v>
      </c>
      <c r="G141" s="258"/>
      <c r="H141" s="258">
        <f t="shared" ref="H141:H160" si="7">ROUND(D141*(1+F141),0)</f>
        <v>266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265</v>
      </c>
      <c r="E142" s="257"/>
      <c r="F142" s="258">
        <v>0</v>
      </c>
      <c r="G142" s="258"/>
      <c r="H142" s="258">
        <f t="shared" si="7"/>
        <v>265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265</v>
      </c>
      <c r="E143" s="257"/>
      <c r="F143" s="258">
        <v>0</v>
      </c>
      <c r="G143" s="258"/>
      <c r="H143" s="258">
        <f t="shared" si="7"/>
        <v>265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265</v>
      </c>
      <c r="E144" s="257"/>
      <c r="F144" s="258">
        <v>0</v>
      </c>
      <c r="G144" s="258"/>
      <c r="H144" s="258">
        <f t="shared" si="7"/>
        <v>265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265</v>
      </c>
      <c r="E145" s="271"/>
      <c r="F145" s="272">
        <v>0</v>
      </c>
      <c r="G145" s="272"/>
      <c r="H145" s="272">
        <f t="shared" si="7"/>
        <v>265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265</v>
      </c>
      <c r="E146" s="257"/>
      <c r="F146" s="258">
        <v>0</v>
      </c>
      <c r="G146" s="258"/>
      <c r="H146" s="258">
        <f t="shared" si="7"/>
        <v>265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265</v>
      </c>
      <c r="E147" s="257"/>
      <c r="F147" s="258">
        <v>0</v>
      </c>
      <c r="G147" s="258"/>
      <c r="H147" s="258">
        <f t="shared" si="7"/>
        <v>265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265</v>
      </c>
      <c r="E148" s="257"/>
      <c r="F148" s="258">
        <v>0</v>
      </c>
      <c r="G148" s="258"/>
      <c r="H148" s="258">
        <f t="shared" si="7"/>
        <v>265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264</v>
      </c>
      <c r="E149" s="257"/>
      <c r="F149" s="258">
        <v>0</v>
      </c>
      <c r="G149" s="258"/>
      <c r="H149" s="258">
        <f t="shared" si="7"/>
        <v>264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264</v>
      </c>
      <c r="E150" s="271"/>
      <c r="F150" s="272">
        <v>0</v>
      </c>
      <c r="G150" s="272"/>
      <c r="H150" s="272">
        <f t="shared" si="7"/>
        <v>264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264</v>
      </c>
      <c r="E151" s="257"/>
      <c r="F151" s="258">
        <v>0</v>
      </c>
      <c r="G151" s="258"/>
      <c r="H151" s="258">
        <f t="shared" si="7"/>
        <v>264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264</v>
      </c>
      <c r="E152" s="257"/>
      <c r="F152" s="258">
        <v>0</v>
      </c>
      <c r="G152" s="258"/>
      <c r="H152" s="258">
        <f t="shared" si="7"/>
        <v>264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264</v>
      </c>
      <c r="E153" s="257"/>
      <c r="F153" s="258">
        <v>0</v>
      </c>
      <c r="G153" s="258"/>
      <c r="H153" s="258">
        <f t="shared" si="7"/>
        <v>264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264</v>
      </c>
      <c r="E154" s="257"/>
      <c r="F154" s="258">
        <v>0</v>
      </c>
      <c r="G154" s="258"/>
      <c r="H154" s="258">
        <f t="shared" si="7"/>
        <v>264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264</v>
      </c>
      <c r="E155" s="271"/>
      <c r="F155" s="272">
        <v>0</v>
      </c>
      <c r="G155" s="272"/>
      <c r="H155" s="272">
        <f t="shared" si="7"/>
        <v>264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264</v>
      </c>
      <c r="E156" s="257"/>
      <c r="F156" s="258">
        <v>0</v>
      </c>
      <c r="G156" s="258"/>
      <c r="H156" s="258">
        <f t="shared" si="7"/>
        <v>264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264</v>
      </c>
      <c r="E157" s="257"/>
      <c r="F157" s="258">
        <v>0</v>
      </c>
      <c r="G157" s="258"/>
      <c r="H157" s="258">
        <f t="shared" si="7"/>
        <v>264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264</v>
      </c>
      <c r="E158" s="257"/>
      <c r="F158" s="258">
        <v>0</v>
      </c>
      <c r="G158" s="258"/>
      <c r="H158" s="258">
        <f t="shared" si="7"/>
        <v>264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264</v>
      </c>
      <c r="E159" s="257"/>
      <c r="F159" s="258">
        <v>0</v>
      </c>
      <c r="G159" s="258"/>
      <c r="H159" s="258">
        <f t="shared" si="7"/>
        <v>264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264</v>
      </c>
      <c r="E160" s="271"/>
      <c r="F160" s="272">
        <v>0</v>
      </c>
      <c r="G160" s="272"/>
      <c r="H160" s="272">
        <f t="shared" si="7"/>
        <v>264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1062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1018</v>
      </c>
      <c r="D167" s="219" t="s">
        <v>1063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1064</v>
      </c>
      <c r="D168" s="219" t="s">
        <v>1065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1066</v>
      </c>
      <c r="E169" s="2250">
        <f>K7</f>
        <v>600</v>
      </c>
      <c r="F169" s="2250"/>
      <c r="G169" s="219" t="s">
        <v>1136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1137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1010</v>
      </c>
      <c r="C171" s="202"/>
      <c r="D171" s="202" t="s">
        <v>1121</v>
      </c>
      <c r="E171" s="202" t="s">
        <v>1122</v>
      </c>
      <c r="F171" s="202" t="s">
        <v>1123</v>
      </c>
      <c r="G171" s="202" t="s">
        <v>1138</v>
      </c>
      <c r="H171" s="202" t="s">
        <v>1139</v>
      </c>
      <c r="I171" s="202" t="s">
        <v>1140</v>
      </c>
      <c r="J171" s="202" t="s">
        <v>1134</v>
      </c>
      <c r="K171" s="202" t="s">
        <v>1141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257.0017854039279</v>
      </c>
      <c r="E172" s="244">
        <f>((COUNT(B$172:B$176)-1)/2)+(B172-$C$4)</f>
        <v>-2</v>
      </c>
      <c r="F172" s="206">
        <f>E172^2</f>
        <v>4</v>
      </c>
      <c r="G172" s="844">
        <f>E$169-D172</f>
        <v>342.9982145960721</v>
      </c>
      <c r="H172" s="259">
        <f>LOG(D172)</f>
        <v>2.409936140406705</v>
      </c>
      <c r="I172" s="245">
        <f>LOG(G172)</f>
        <v>2.5352918594215113</v>
      </c>
      <c r="J172" s="246">
        <f>H172-I172</f>
        <v>-0.12535571901480624</v>
      </c>
      <c r="K172" s="246">
        <f>E172*J172</f>
        <v>0.25071143802961249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296.66505641627271</v>
      </c>
      <c r="E173" s="244">
        <f>((COUNT(B$172:B$176)-1)/2)+(B173-$C$4)</f>
        <v>-1</v>
      </c>
      <c r="F173" s="206">
        <f>E173^2</f>
        <v>1</v>
      </c>
      <c r="G173" s="844">
        <f>E$169-D173</f>
        <v>303.33494358372729</v>
      </c>
      <c r="H173" s="259">
        <f>LOG(D173)</f>
        <v>2.4722663946507835</v>
      </c>
      <c r="I173" s="245">
        <f>LOG(G173)</f>
        <v>2.481922443055292</v>
      </c>
      <c r="J173" s="246">
        <f>H173-I173</f>
        <v>-9.6560484045085104E-3</v>
      </c>
      <c r="K173" s="246">
        <f>E173*J173</f>
        <v>9.6560484045085104E-3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271.74962219080584</v>
      </c>
      <c r="E174" s="244">
        <f>((COUNT(B$172:B$176)-1)/2)+(B174-$C$4)</f>
        <v>0</v>
      </c>
      <c r="F174" s="206">
        <f>E174^2</f>
        <v>0</v>
      </c>
      <c r="G174" s="844">
        <f>E$169-D174</f>
        <v>328.25037780919416</v>
      </c>
      <c r="H174" s="259">
        <f>LOG(D174)</f>
        <v>2.4341689489660148</v>
      </c>
      <c r="I174" s="245">
        <f>LOG(G174)</f>
        <v>2.5162052346255042</v>
      </c>
      <c r="J174" s="246">
        <f>H174-I174</f>
        <v>-8.2036285659489394E-2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241.97291323423258</v>
      </c>
      <c r="E175" s="244">
        <f>((COUNT(B$172:B$176)-1)/2)+(B175-$C$4)</f>
        <v>1</v>
      </c>
      <c r="F175" s="206">
        <f>E175^2</f>
        <v>1</v>
      </c>
      <c r="G175" s="844">
        <f>E$169-D175</f>
        <v>358.02708676576742</v>
      </c>
      <c r="H175" s="259">
        <f>LOG(D175)</f>
        <v>2.3837667532064679</v>
      </c>
      <c r="I175" s="245">
        <f>LOG(G175)</f>
        <v>2.5539158847106389</v>
      </c>
      <c r="J175" s="246">
        <f>H175-I175</f>
        <v>-0.17014913150417099</v>
      </c>
      <c r="K175" s="246">
        <f>E175*J175</f>
        <v>-0.17014913150417099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215.49152078434304</v>
      </c>
      <c r="E176" s="244">
        <f>((COUNT(B$172:B$176)-1)/2)+(B176-$C$4)</f>
        <v>2</v>
      </c>
      <c r="F176" s="206">
        <f>E176^2</f>
        <v>4</v>
      </c>
      <c r="G176" s="844">
        <f>E$169-D176</f>
        <v>384.50847921565696</v>
      </c>
      <c r="H176" s="259">
        <f>LOG(D176)</f>
        <v>2.3334301861022295</v>
      </c>
      <c r="I176" s="245">
        <f>LOG(G176)</f>
        <v>2.5849059213441268</v>
      </c>
      <c r="J176" s="246">
        <f>H176-I176</f>
        <v>-0.25147573524189726</v>
      </c>
      <c r="K176" s="246">
        <f>E176*J176</f>
        <v>-0.50295147048379452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1056</v>
      </c>
      <c r="C177" s="212"/>
      <c r="D177" s="260">
        <f>SUM(D172:D176)</f>
        <v>1282.8808980295819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-0.6386729198248724</v>
      </c>
      <c r="K177" s="263">
        <f>SUM(K172:K176)</f>
        <v>-0.41273311555384451</v>
      </c>
      <c r="L177" s="203"/>
      <c r="M177" s="203"/>
      <c r="N177" s="203"/>
      <c r="O177" s="203"/>
    </row>
    <row r="178" spans="1:15" ht="15" customHeight="1">
      <c r="A178" s="203"/>
      <c r="B178" s="208" t="s">
        <v>1142</v>
      </c>
      <c r="C178" s="208"/>
      <c r="D178" s="201" t="s">
        <v>1143</v>
      </c>
      <c r="E178" s="236" t="s">
        <v>1144</v>
      </c>
      <c r="F178" s="203"/>
      <c r="G178" s="219" t="str">
        <f>"X = x × LOG e = "&amp;E177&amp;" 이고,"</f>
        <v>X = x × LOG e = 0 이고,</v>
      </c>
      <c r="H178" s="219"/>
      <c r="I178" s="219" t="s">
        <v>1145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1146</v>
      </c>
      <c r="E179" s="219"/>
      <c r="F179" s="219"/>
      <c r="G179" s="219"/>
      <c r="H179" s="254">
        <f>ROUND(((E$177*K$177-F$177*J$177)/(COUNT(B$172:B$176)*F$177-E$177*E$177))/LOG(EXP(1)),5)</f>
        <v>0.29411999999999999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1147</v>
      </c>
      <c r="E180" s="219"/>
      <c r="F180" s="219"/>
      <c r="G180" s="264" t="s">
        <v>1148</v>
      </c>
      <c r="H180" s="219"/>
      <c r="I180" s="219"/>
      <c r="J180" s="219"/>
      <c r="K180" s="265">
        <f>ROUND((COUNT(B$172:B$176)*K177-E177*J177)/(LOG(EXP(1))*(COUNT(B$172:B$176)*F177-E177*E177)),6)</f>
        <v>-9.5034999999999994E-2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1061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1010</v>
      </c>
      <c r="C183" s="202"/>
      <c r="D183" s="202" t="s">
        <v>1025</v>
      </c>
      <c r="E183" s="202"/>
      <c r="F183" s="202" t="s">
        <v>1026</v>
      </c>
      <c r="G183" s="202"/>
      <c r="H183" s="202" t="s">
        <v>1027</v>
      </c>
      <c r="I183" s="202"/>
      <c r="J183" s="202" t="s">
        <v>1014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197</v>
      </c>
      <c r="E184" s="221"/>
      <c r="F184" s="221">
        <v>0</v>
      </c>
      <c r="G184" s="221"/>
      <c r="H184" s="221">
        <f t="shared" ref="H184:H203" si="9">ROUND(D184*(1+F184),0)</f>
        <v>197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184</v>
      </c>
      <c r="E185" s="221"/>
      <c r="F185" s="221">
        <v>0</v>
      </c>
      <c r="G185" s="221"/>
      <c r="H185" s="221">
        <f t="shared" si="9"/>
        <v>184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172</v>
      </c>
      <c r="E186" s="221"/>
      <c r="F186" s="221">
        <v>0</v>
      </c>
      <c r="G186" s="221"/>
      <c r="H186" s="221">
        <f t="shared" si="9"/>
        <v>172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161</v>
      </c>
      <c r="E187" s="221"/>
      <c r="F187" s="221">
        <v>0</v>
      </c>
      <c r="G187" s="221"/>
      <c r="H187" s="221">
        <f t="shared" si="9"/>
        <v>161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150</v>
      </c>
      <c r="E188" s="269"/>
      <c r="F188" s="269">
        <v>0</v>
      </c>
      <c r="G188" s="269"/>
      <c r="H188" s="269">
        <f t="shared" si="9"/>
        <v>150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140</v>
      </c>
      <c r="E189" s="221"/>
      <c r="F189" s="221">
        <v>0</v>
      </c>
      <c r="G189" s="221"/>
      <c r="H189" s="221">
        <f t="shared" si="9"/>
        <v>140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130</v>
      </c>
      <c r="E190" s="221"/>
      <c r="F190" s="221">
        <v>0</v>
      </c>
      <c r="G190" s="221"/>
      <c r="H190" s="221">
        <f t="shared" si="9"/>
        <v>130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120</v>
      </c>
      <c r="E191" s="221"/>
      <c r="F191" s="221">
        <v>0</v>
      </c>
      <c r="G191" s="221"/>
      <c r="H191" s="221">
        <f t="shared" si="9"/>
        <v>120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112</v>
      </c>
      <c r="E192" s="221"/>
      <c r="F192" s="221">
        <v>0</v>
      </c>
      <c r="G192" s="221"/>
      <c r="H192" s="221">
        <f t="shared" si="9"/>
        <v>112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103</v>
      </c>
      <c r="E193" s="269"/>
      <c r="F193" s="269">
        <v>0</v>
      </c>
      <c r="G193" s="269"/>
      <c r="H193" s="269">
        <f t="shared" si="9"/>
        <v>103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95</v>
      </c>
      <c r="E194" s="221"/>
      <c r="F194" s="221">
        <v>0</v>
      </c>
      <c r="G194" s="221"/>
      <c r="H194" s="221">
        <f t="shared" si="9"/>
        <v>95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88</v>
      </c>
      <c r="E195" s="221"/>
      <c r="F195" s="221">
        <v>0</v>
      </c>
      <c r="G195" s="221"/>
      <c r="H195" s="221">
        <f t="shared" si="9"/>
        <v>88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81</v>
      </c>
      <c r="E196" s="221"/>
      <c r="F196" s="221">
        <v>0</v>
      </c>
      <c r="G196" s="221"/>
      <c r="H196" s="221">
        <f t="shared" si="9"/>
        <v>81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75</v>
      </c>
      <c r="E197" s="221"/>
      <c r="F197" s="221">
        <v>0</v>
      </c>
      <c r="G197" s="221"/>
      <c r="H197" s="221">
        <f t="shared" si="9"/>
        <v>75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69</v>
      </c>
      <c r="E198" s="269"/>
      <c r="F198" s="269">
        <v>0</v>
      </c>
      <c r="G198" s="269"/>
      <c r="H198" s="269">
        <f t="shared" si="9"/>
        <v>69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63</v>
      </c>
      <c r="E199" s="221"/>
      <c r="F199" s="221">
        <v>0</v>
      </c>
      <c r="G199" s="221"/>
      <c r="H199" s="221">
        <f t="shared" si="9"/>
        <v>63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58</v>
      </c>
      <c r="E200" s="221"/>
      <c r="F200" s="221">
        <v>0</v>
      </c>
      <c r="G200" s="221"/>
      <c r="H200" s="221">
        <f t="shared" si="9"/>
        <v>58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53</v>
      </c>
      <c r="E201" s="221"/>
      <c r="F201" s="221">
        <v>0</v>
      </c>
      <c r="G201" s="221"/>
      <c r="H201" s="221">
        <f t="shared" si="9"/>
        <v>53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49</v>
      </c>
      <c r="E202" s="221"/>
      <c r="F202" s="221">
        <v>0</v>
      </c>
      <c r="G202" s="221"/>
      <c r="H202" s="221">
        <f t="shared" si="9"/>
        <v>49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45</v>
      </c>
      <c r="E203" s="269"/>
      <c r="F203" s="269">
        <v>0</v>
      </c>
      <c r="G203" s="269"/>
      <c r="H203" s="269">
        <f t="shared" si="9"/>
        <v>45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1149</v>
      </c>
      <c r="G209" s="208"/>
      <c r="H209" s="203"/>
      <c r="I209" s="203"/>
      <c r="J209" s="203"/>
      <c r="K209" s="228" t="s">
        <v>1150</v>
      </c>
      <c r="L209" s="203"/>
      <c r="M209" s="203"/>
      <c r="N209" s="203"/>
      <c r="O209" s="203"/>
    </row>
    <row r="210" spans="1:15" ht="15" customHeight="1">
      <c r="A210" s="203"/>
      <c r="B210" s="202" t="s">
        <v>1010</v>
      </c>
      <c r="C210" s="202"/>
      <c r="D210" s="202" t="s">
        <v>1151</v>
      </c>
      <c r="E210" s="202" t="s">
        <v>1152</v>
      </c>
      <c r="F210" s="202" t="s">
        <v>1153</v>
      </c>
      <c r="G210" s="202" t="s">
        <v>992</v>
      </c>
      <c r="H210" s="202" t="s">
        <v>1154</v>
      </c>
      <c r="I210" s="202" t="s">
        <v>1155</v>
      </c>
      <c r="J210" s="202" t="s">
        <v>1156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215</v>
      </c>
      <c r="E211" s="257">
        <f t="array" ref="E211">IF(B53=B211,H53)</f>
        <v>215</v>
      </c>
      <c r="F211" s="257">
        <f t="array" ref="F211">IF(B101=B211,H101)</f>
        <v>230</v>
      </c>
      <c r="G211" s="257">
        <f t="array" ref="G211">IF(B141=B211,H141)</f>
        <v>266</v>
      </c>
      <c r="H211" s="257">
        <f t="array" ref="H211">IF(B184=B211,H184)</f>
        <v>197</v>
      </c>
      <c r="I211" s="257">
        <f t="shared" ref="I211:I230" si="10">IF(G211=0,AVERAGE(D211,E211,F211,H211),AVERAGE(D211:H211))</f>
        <v>224.6</v>
      </c>
      <c r="J211" s="266">
        <f t="shared" ref="J211:J230" si="11">ROUND(AVERAGE(D211,F211:G211),0)</f>
        <v>237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205</v>
      </c>
      <c r="E212" s="257">
        <f t="array" ref="E212">IF(B54=B212,H54)</f>
        <v>206</v>
      </c>
      <c r="F212" s="257">
        <f t="array" ref="F212">IF(B102=B212,H102)</f>
        <v>216</v>
      </c>
      <c r="G212" s="257">
        <f t="array" ref="G212">IF(B142=B212,H142)</f>
        <v>265</v>
      </c>
      <c r="H212" s="257">
        <f t="array" ref="H212">IF(B185=B212,H185)</f>
        <v>184</v>
      </c>
      <c r="I212" s="257">
        <f t="shared" si="10"/>
        <v>215.2</v>
      </c>
      <c r="J212" s="266">
        <f t="shared" si="11"/>
        <v>229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195</v>
      </c>
      <c r="E213" s="257">
        <f t="array" ref="E213">IF(B55=B213,H55)</f>
        <v>197</v>
      </c>
      <c r="F213" s="257">
        <f t="array" ref="F213">IF(B103=B213,H103)</f>
        <v>202</v>
      </c>
      <c r="G213" s="257">
        <f t="array" ref="G213">IF(B143=B213,H143)</f>
        <v>265</v>
      </c>
      <c r="H213" s="257">
        <f t="array" ref="H213">IF(B186=B213,H186)</f>
        <v>172</v>
      </c>
      <c r="I213" s="257">
        <f t="shared" si="10"/>
        <v>206.2</v>
      </c>
      <c r="J213" s="266">
        <f t="shared" si="11"/>
        <v>221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184</v>
      </c>
      <c r="E214" s="257">
        <f t="array" ref="E214">IF(B56=B214,H56)</f>
        <v>189</v>
      </c>
      <c r="F214" s="257">
        <f t="array" ref="F214">IF(B104=B214,H104)</f>
        <v>189</v>
      </c>
      <c r="G214" s="257">
        <f t="array" ref="G214">IF(B144=B214,H144)</f>
        <v>265</v>
      </c>
      <c r="H214" s="257">
        <f t="array" ref="H214">IF(B187=B214,H187)</f>
        <v>161</v>
      </c>
      <c r="I214" s="257">
        <f t="shared" si="10"/>
        <v>197.6</v>
      </c>
      <c r="J214" s="266">
        <f t="shared" si="11"/>
        <v>213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174</v>
      </c>
      <c r="E215" s="271">
        <f t="array" ref="E215">IF(B57=B215,H57)</f>
        <v>181</v>
      </c>
      <c r="F215" s="271">
        <f t="array" ref="F215">IF(B105=B215,H105)</f>
        <v>175</v>
      </c>
      <c r="G215" s="271">
        <f t="array" ref="G215">IF(B145=B215,H145)</f>
        <v>265</v>
      </c>
      <c r="H215" s="271">
        <f t="array" ref="H215">IF(B188=B215,H188)</f>
        <v>150</v>
      </c>
      <c r="I215" s="271">
        <f t="shared" si="10"/>
        <v>189</v>
      </c>
      <c r="J215" s="273">
        <f t="shared" si="11"/>
        <v>205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163</v>
      </c>
      <c r="E216" s="257">
        <f t="array" ref="E216">IF(B58=B216,H58)</f>
        <v>173</v>
      </c>
      <c r="F216" s="257">
        <f t="array" ref="F216">IF(B106=B216,H106)</f>
        <v>161</v>
      </c>
      <c r="G216" s="257">
        <f t="array" ref="G216">IF(B146=B216,H146)</f>
        <v>265</v>
      </c>
      <c r="H216" s="257">
        <f t="array" ref="H216">IF(B189=B216,H189)</f>
        <v>140</v>
      </c>
      <c r="I216" s="257">
        <f t="shared" si="10"/>
        <v>180.4</v>
      </c>
      <c r="J216" s="266">
        <f t="shared" si="11"/>
        <v>196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153</v>
      </c>
      <c r="E217" s="257">
        <f t="array" ref="E217">IF(B59=B217,H59)</f>
        <v>165</v>
      </c>
      <c r="F217" s="257">
        <f t="array" ref="F217">IF(B107=B217,H107)</f>
        <v>147</v>
      </c>
      <c r="G217" s="257">
        <f t="array" ref="G217">IF(B147=B217,H147)</f>
        <v>265</v>
      </c>
      <c r="H217" s="257">
        <f t="array" ref="H217">IF(B190=B217,H190)</f>
        <v>130</v>
      </c>
      <c r="I217" s="257">
        <f t="shared" si="10"/>
        <v>172</v>
      </c>
      <c r="J217" s="266">
        <f t="shared" si="11"/>
        <v>188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143</v>
      </c>
      <c r="E218" s="257">
        <f t="array" ref="E218">IF(B60=B218,H60)</f>
        <v>158</v>
      </c>
      <c r="F218" s="257">
        <f t="array" ref="F218">IF(B108=B218,H108)</f>
        <v>134</v>
      </c>
      <c r="G218" s="257">
        <f t="array" ref="G218">IF(B148=B218,H148)</f>
        <v>265</v>
      </c>
      <c r="H218" s="257">
        <f t="array" ref="H218">IF(B191=B218,H191)</f>
        <v>120</v>
      </c>
      <c r="I218" s="257">
        <f t="shared" si="10"/>
        <v>164</v>
      </c>
      <c r="J218" s="266">
        <f t="shared" si="11"/>
        <v>181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132</v>
      </c>
      <c r="E219" s="257">
        <f t="array" ref="E219">IF(B61=B219,H61)</f>
        <v>152</v>
      </c>
      <c r="F219" s="257">
        <f t="array" ref="F219">IF(B109=B219,H109)</f>
        <v>120</v>
      </c>
      <c r="G219" s="257">
        <f t="array" ref="G219">IF(B149=B219,H149)</f>
        <v>264</v>
      </c>
      <c r="H219" s="257">
        <f t="array" ref="H219">IF(B192=B219,H192)</f>
        <v>112</v>
      </c>
      <c r="I219" s="257">
        <f t="shared" si="10"/>
        <v>156</v>
      </c>
      <c r="J219" s="266">
        <f t="shared" si="11"/>
        <v>172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122</v>
      </c>
      <c r="E220" s="271">
        <f t="array" ref="E220">IF(B62=B220,H62)</f>
        <v>145</v>
      </c>
      <c r="F220" s="271">
        <f t="array" ref="F220">IF(B110=B220,H110)</f>
        <v>106</v>
      </c>
      <c r="G220" s="271">
        <f t="array" ref="G220">IF(B150=B220,H150)</f>
        <v>264</v>
      </c>
      <c r="H220" s="271">
        <f t="array" ref="H220">IF(B193=B220,H193)</f>
        <v>103</v>
      </c>
      <c r="I220" s="271">
        <f t="shared" si="10"/>
        <v>148</v>
      </c>
      <c r="J220" s="273">
        <f t="shared" si="11"/>
        <v>164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111</v>
      </c>
      <c r="E221" s="257">
        <f t="array" ref="E221">IF(B63=B221,H63)</f>
        <v>139</v>
      </c>
      <c r="F221" s="257">
        <f t="array" ref="F221">IF(B111=B221,H111)</f>
        <v>92</v>
      </c>
      <c r="G221" s="257">
        <f t="array" ref="G221">IF(B151=B221,H151)</f>
        <v>264</v>
      </c>
      <c r="H221" s="257">
        <f t="array" ref="H221">IF(B194=B221,H194)</f>
        <v>95</v>
      </c>
      <c r="I221" s="257">
        <f t="shared" si="10"/>
        <v>140.19999999999999</v>
      </c>
      <c r="J221" s="266">
        <f t="shared" si="11"/>
        <v>156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101</v>
      </c>
      <c r="E222" s="257">
        <f t="array" ref="E222">IF(B64=B222,H64)</f>
        <v>133</v>
      </c>
      <c r="F222" s="257">
        <f t="array" ref="F222">IF(B112=B222,H112)</f>
        <v>78</v>
      </c>
      <c r="G222" s="257">
        <f t="array" ref="G222">IF(B152=B222,H152)</f>
        <v>264</v>
      </c>
      <c r="H222" s="257">
        <f t="array" ref="H222">IF(B195=B222,H195)</f>
        <v>88</v>
      </c>
      <c r="I222" s="257">
        <f t="shared" si="10"/>
        <v>132.80000000000001</v>
      </c>
      <c r="J222" s="266">
        <f t="shared" si="11"/>
        <v>148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91</v>
      </c>
      <c r="E223" s="257">
        <f t="array" ref="E223">IF(B65=B223,H65)</f>
        <v>127</v>
      </c>
      <c r="F223" s="257">
        <f t="array" ref="F223">IF(B113=B223,H113)</f>
        <v>65</v>
      </c>
      <c r="G223" s="257">
        <f t="array" ref="G223">IF(B153=B223,H153)</f>
        <v>264</v>
      </c>
      <c r="H223" s="257">
        <f t="array" ref="H223">IF(B196=B223,H196)</f>
        <v>81</v>
      </c>
      <c r="I223" s="257">
        <f t="shared" si="10"/>
        <v>125.6</v>
      </c>
      <c r="J223" s="266">
        <f t="shared" si="11"/>
        <v>140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80</v>
      </c>
      <c r="E224" s="257">
        <f t="array" ref="E224">IF(B66=B224,H66)</f>
        <v>122</v>
      </c>
      <c r="F224" s="257">
        <f t="array" ref="F224">IF(B114=B224,H114)</f>
        <v>51</v>
      </c>
      <c r="G224" s="257">
        <f t="array" ref="G224">IF(B154=B224,H154)</f>
        <v>264</v>
      </c>
      <c r="H224" s="257">
        <f t="array" ref="H224">IF(B197=B224,H197)</f>
        <v>75</v>
      </c>
      <c r="I224" s="257">
        <f t="shared" si="10"/>
        <v>118.4</v>
      </c>
      <c r="J224" s="266">
        <f t="shared" si="11"/>
        <v>132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70</v>
      </c>
      <c r="E225" s="271">
        <f t="array" ref="E225">IF(B67=B225,H67)</f>
        <v>116</v>
      </c>
      <c r="F225" s="271">
        <f t="array" ref="F225">IF(B115=B225,H115)</f>
        <v>37</v>
      </c>
      <c r="G225" s="271">
        <f t="array" ref="G225">IF(B155=B225,H155)</f>
        <v>264</v>
      </c>
      <c r="H225" s="271">
        <f t="array" ref="H225">IF(B198=B225,H198)</f>
        <v>69</v>
      </c>
      <c r="I225" s="271">
        <f t="shared" si="10"/>
        <v>111.2</v>
      </c>
      <c r="J225" s="273">
        <f t="shared" si="11"/>
        <v>124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59</v>
      </c>
      <c r="E226" s="257">
        <f t="array" ref="E226">IF(B68=B226,H68)</f>
        <v>111</v>
      </c>
      <c r="F226" s="257">
        <f t="array" ref="F226">IF(B116=B226,H116)</f>
        <v>23</v>
      </c>
      <c r="G226" s="257">
        <f t="array" ref="G226">IF(B156=B226,H156)</f>
        <v>264</v>
      </c>
      <c r="H226" s="257">
        <f t="array" ref="H226">IF(B199=B226,H199)</f>
        <v>63</v>
      </c>
      <c r="I226" s="257">
        <f t="shared" si="10"/>
        <v>104</v>
      </c>
      <c r="J226" s="266">
        <f t="shared" si="11"/>
        <v>115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49</v>
      </c>
      <c r="E227" s="257">
        <f t="array" ref="E227">IF(B69=B227,H69)</f>
        <v>107</v>
      </c>
      <c r="F227" s="257">
        <f t="array" ref="F227">IF(B117=B227,H117)</f>
        <v>10</v>
      </c>
      <c r="G227" s="257">
        <f t="array" ref="G227">IF(B157=B227,H157)</f>
        <v>264</v>
      </c>
      <c r="H227" s="257">
        <f t="array" ref="H227">IF(B200=B227,H200)</f>
        <v>58</v>
      </c>
      <c r="I227" s="257">
        <f t="shared" si="10"/>
        <v>97.6</v>
      </c>
      <c r="J227" s="266">
        <f t="shared" si="11"/>
        <v>108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39</v>
      </c>
      <c r="E228" s="257">
        <f t="array" ref="E228">IF(B70=B228,H70)</f>
        <v>102</v>
      </c>
      <c r="F228" s="257">
        <f t="array" ref="F228">IF(B118=B228,H118)</f>
        <v>-5</v>
      </c>
      <c r="G228" s="257">
        <f t="array" ref="G228">IF(B158=B228,H158)</f>
        <v>264</v>
      </c>
      <c r="H228" s="257">
        <f t="array" ref="H228">IF(B201=B228,H201)</f>
        <v>53</v>
      </c>
      <c r="I228" s="257">
        <f t="shared" si="10"/>
        <v>90.6</v>
      </c>
      <c r="J228" s="266">
        <f t="shared" si="11"/>
        <v>99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28</v>
      </c>
      <c r="E229" s="257">
        <f t="array" ref="E229">IF(B71=B229,H71)</f>
        <v>98</v>
      </c>
      <c r="F229" s="257">
        <f t="array" ref="F229">IF(B119=B229,H119)</f>
        <v>-19</v>
      </c>
      <c r="G229" s="257">
        <f t="array" ref="G229">IF(B159=B229,H159)</f>
        <v>264</v>
      </c>
      <c r="H229" s="257">
        <f t="array" ref="H229">IF(B202=B229,H202)</f>
        <v>49</v>
      </c>
      <c r="I229" s="257">
        <f t="shared" si="10"/>
        <v>84</v>
      </c>
      <c r="J229" s="266">
        <f t="shared" si="11"/>
        <v>91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18</v>
      </c>
      <c r="E230" s="271">
        <f t="array" ref="E230">IF(B72=B230,H72)</f>
        <v>93</v>
      </c>
      <c r="F230" s="271">
        <f t="array" ref="F230">IF(B120=B230,H120)</f>
        <v>-33</v>
      </c>
      <c r="G230" s="271">
        <f t="array" ref="G230">IF(B160=B230,H160)</f>
        <v>264</v>
      </c>
      <c r="H230" s="271">
        <f t="array" ref="H230">IF(B203=B230,H203)</f>
        <v>45</v>
      </c>
      <c r="I230" s="271">
        <f t="shared" si="10"/>
        <v>77.400000000000006</v>
      </c>
      <c r="J230" s="273">
        <f t="shared" si="11"/>
        <v>83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5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1382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1007</v>
      </c>
      <c r="C4" s="197">
        <v>2016</v>
      </c>
    </row>
    <row r="5" spans="1:15" ht="15" customHeight="1" thickBot="1">
      <c r="A5" s="198"/>
      <c r="B5" s="196" t="s">
        <v>1008</v>
      </c>
      <c r="C5" s="199"/>
      <c r="D5" s="196" t="s">
        <v>1783</v>
      </c>
      <c r="F5" s="200" t="s">
        <v>1009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1010</v>
      </c>
      <c r="C6" s="202"/>
      <c r="D6" s="202" t="s">
        <v>1011</v>
      </c>
      <c r="E6" s="202"/>
      <c r="F6" s="202" t="s">
        <v>1012</v>
      </c>
      <c r="G6" s="202"/>
      <c r="H6" s="202" t="s">
        <v>1013</v>
      </c>
      <c r="I6" s="202"/>
      <c r="J6" s="202" t="s">
        <v>1014</v>
      </c>
      <c r="K6" s="202"/>
      <c r="L6" s="203"/>
      <c r="M6" s="203"/>
      <c r="N6" s="203"/>
      <c r="O6" s="203"/>
    </row>
    <row r="7" spans="1:15" ht="15" customHeight="1">
      <c r="A7" s="203"/>
      <c r="B7" s="840">
        <v>2011</v>
      </c>
      <c r="C7" s="840"/>
      <c r="D7" s="844">
        <f>'6. 물사용량 실적산정'!I67</f>
        <v>317.33307843804948</v>
      </c>
      <c r="E7" s="844"/>
      <c r="F7" s="206">
        <v>0</v>
      </c>
      <c r="G7" s="206"/>
      <c r="H7" s="207">
        <v>0</v>
      </c>
      <c r="I7" s="208"/>
      <c r="J7" s="209" t="s">
        <v>1015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 t="shared" ref="B8:B12" si="0">+B7+1</f>
        <v>2012</v>
      </c>
      <c r="C8" s="840"/>
      <c r="D8" s="844">
        <f>'6. 물사용량 실적산정'!I68</f>
        <v>318.93605974679502</v>
      </c>
      <c r="E8" s="844"/>
      <c r="F8" s="206">
        <f t="shared" ref="F8:F12" si="1">D8-D7</f>
        <v>1.6029813087455409</v>
      </c>
      <c r="G8" s="206"/>
      <c r="H8" s="207">
        <f t="shared" ref="H8:H12" si="2">ROUND(F8/D7*100,2)</f>
        <v>0.51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 t="shared" si="0"/>
        <v>2013</v>
      </c>
      <c r="C9" s="840"/>
      <c r="D9" s="844">
        <f>'6. 물사용량 실적산정'!I69</f>
        <v>351.18236541341196</v>
      </c>
      <c r="E9" s="844"/>
      <c r="F9" s="206">
        <f t="shared" si="1"/>
        <v>32.246305666616934</v>
      </c>
      <c r="G9" s="206"/>
      <c r="H9" s="207">
        <f t="shared" si="2"/>
        <v>10.11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 t="shared" si="0"/>
        <v>2014</v>
      </c>
      <c r="C10" s="840"/>
      <c r="D10" s="844">
        <f>'6. 물사용량 실적산정'!I70</f>
        <v>329.63578821047184</v>
      </c>
      <c r="E10" s="844"/>
      <c r="F10" s="206">
        <f t="shared" si="1"/>
        <v>-21.546577202940114</v>
      </c>
      <c r="G10" s="206"/>
      <c r="H10" s="207">
        <f t="shared" si="2"/>
        <v>-6.14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 t="shared" si="0"/>
        <v>2015</v>
      </c>
      <c r="C11" s="840"/>
      <c r="D11" s="844">
        <f>'6. 물사용량 실적산정'!I71</f>
        <v>286.312995274446</v>
      </c>
      <c r="E11" s="844"/>
      <c r="F11" s="206">
        <f t="shared" si="1"/>
        <v>-43.322792936025849</v>
      </c>
      <c r="G11" s="206"/>
      <c r="H11" s="207">
        <f t="shared" si="2"/>
        <v>-13.14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>
      <c r="A12" s="203"/>
      <c r="B12" s="840">
        <f t="shared" si="0"/>
        <v>2016</v>
      </c>
      <c r="C12" s="840"/>
      <c r="D12" s="844">
        <f>'6. 물사용량 실적산정'!I72</f>
        <v>289.92941317221988</v>
      </c>
      <c r="E12" s="844"/>
      <c r="F12" s="206">
        <f t="shared" si="1"/>
        <v>3.6164178977738857</v>
      </c>
      <c r="G12" s="206"/>
      <c r="H12" s="207">
        <f t="shared" si="2"/>
        <v>1.26</v>
      </c>
      <c r="I12" s="208"/>
      <c r="J12" s="210">
        <v>0</v>
      </c>
      <c r="K12" s="210"/>
      <c r="L12" s="203"/>
      <c r="M12" s="203"/>
      <c r="N12" s="203"/>
      <c r="O12" s="203"/>
    </row>
    <row r="13" spans="1:15" ht="15" customHeight="1" thickBot="1">
      <c r="A13" s="203"/>
      <c r="B13" s="211" t="s">
        <v>146</v>
      </c>
      <c r="C13" s="212"/>
      <c r="D13" s="213">
        <f>SUM(D7:D12)</f>
        <v>1893.3297002553941</v>
      </c>
      <c r="E13" s="214"/>
      <c r="F13" s="215"/>
      <c r="G13" s="215"/>
      <c r="H13" s="918">
        <f>SUM(H7:H12)</f>
        <v>-7.4</v>
      </c>
      <c r="I13" s="216"/>
      <c r="J13" s="217">
        <f>ROUND(AVERAGE(H7:H12),1)</f>
        <v>-1.2</v>
      </c>
      <c r="K13" s="217"/>
      <c r="L13" s="203"/>
      <c r="M13" s="203"/>
      <c r="N13" s="203"/>
      <c r="O13" s="203"/>
    </row>
    <row r="14" spans="1:15" ht="15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18" t="s">
        <v>1383</v>
      </c>
      <c r="C15" s="219"/>
      <c r="D15" s="219"/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3"/>
      <c r="C16" s="219" t="s">
        <v>1384</v>
      </c>
      <c r="D16" s="219" t="s">
        <v>1385</v>
      </c>
      <c r="E16" s="219"/>
      <c r="F16" s="219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01"/>
      <c r="C17" s="201" t="s">
        <v>1386</v>
      </c>
      <c r="D17" s="219" t="s">
        <v>1387</v>
      </c>
      <c r="E17" s="201"/>
      <c r="F17" s="201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1388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>
      <c r="A19" s="203"/>
      <c r="B19" s="219"/>
      <c r="C19" s="219"/>
      <c r="D19" s="219" t="s">
        <v>1389</v>
      </c>
      <c r="E19" s="219"/>
      <c r="F19" s="219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 thickBot="1">
      <c r="A20" s="203"/>
      <c r="B20" s="203"/>
      <c r="C20" s="203"/>
      <c r="D20" s="203"/>
      <c r="E20" s="203"/>
      <c r="F20" s="208" t="s">
        <v>1390</v>
      </c>
      <c r="G20" s="208"/>
      <c r="H20" s="203"/>
      <c r="I20" s="203"/>
      <c r="J20" s="203"/>
      <c r="K20" s="203"/>
      <c r="L20" s="203"/>
      <c r="M20" s="203"/>
      <c r="N20" s="203"/>
      <c r="O20" s="203"/>
    </row>
    <row r="21" spans="1:15" ht="15" customHeight="1">
      <c r="A21" s="203"/>
      <c r="B21" s="202" t="s">
        <v>1391</v>
      </c>
      <c r="C21" s="202"/>
      <c r="D21" s="202" t="s">
        <v>1392</v>
      </c>
      <c r="E21" s="202"/>
      <c r="F21" s="202" t="s">
        <v>1393</v>
      </c>
      <c r="G21" s="202"/>
      <c r="H21" s="202" t="s">
        <v>1394</v>
      </c>
      <c r="I21" s="202"/>
      <c r="J21" s="202" t="s">
        <v>1395</v>
      </c>
      <c r="K21" s="202"/>
      <c r="L21" s="203"/>
      <c r="M21" s="203"/>
      <c r="N21" s="203"/>
      <c r="O21" s="203"/>
    </row>
    <row r="22" spans="1:15" ht="15" customHeight="1">
      <c r="A22" s="203"/>
      <c r="B22" s="220">
        <v>2016</v>
      </c>
      <c r="C22" s="221"/>
      <c r="D22" s="221">
        <f t="shared" ref="D22:D41" si="3">ROUND(E$42+H$42*(B22-$C$4),0)</f>
        <v>290</v>
      </c>
      <c r="E22" s="221"/>
      <c r="F22" s="221">
        <v>0</v>
      </c>
      <c r="G22" s="221"/>
      <c r="H22" s="221">
        <f t="shared" ref="H22:H36" si="4">ROUND(D22*(1+F22),0)</f>
        <v>290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2017</v>
      </c>
      <c r="C23" s="221"/>
      <c r="D23" s="221">
        <f t="shared" si="3"/>
        <v>284</v>
      </c>
      <c r="E23" s="221"/>
      <c r="F23" s="221">
        <v>0</v>
      </c>
      <c r="G23" s="221"/>
      <c r="H23" s="221">
        <f t="shared" si="4"/>
        <v>284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2018</v>
      </c>
      <c r="C24" s="221"/>
      <c r="D24" s="221">
        <f t="shared" si="3"/>
        <v>279</v>
      </c>
      <c r="E24" s="221"/>
      <c r="F24" s="221">
        <v>0</v>
      </c>
      <c r="G24" s="221"/>
      <c r="H24" s="221">
        <f t="shared" si="4"/>
        <v>279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20">
        <v>2019</v>
      </c>
      <c r="C25" s="221"/>
      <c r="D25" s="221">
        <f t="shared" si="3"/>
        <v>273</v>
      </c>
      <c r="E25" s="221"/>
      <c r="F25" s="221">
        <v>0</v>
      </c>
      <c r="G25" s="221"/>
      <c r="H25" s="221">
        <f t="shared" si="4"/>
        <v>273</v>
      </c>
      <c r="I25" s="221"/>
      <c r="J25" s="222">
        <v>0</v>
      </c>
      <c r="K25" s="222"/>
      <c r="L25" s="203"/>
      <c r="M25" s="203"/>
      <c r="N25" s="203"/>
      <c r="O25" s="203"/>
    </row>
    <row r="26" spans="1:15" ht="15" customHeight="1">
      <c r="A26" s="203"/>
      <c r="B26" s="268">
        <v>2020</v>
      </c>
      <c r="C26" s="269"/>
      <c r="D26" s="269">
        <f t="shared" si="3"/>
        <v>268</v>
      </c>
      <c r="E26" s="269"/>
      <c r="F26" s="269">
        <v>0</v>
      </c>
      <c r="G26" s="269"/>
      <c r="H26" s="269">
        <f t="shared" si="4"/>
        <v>268</v>
      </c>
      <c r="I26" s="269"/>
      <c r="J26" s="270">
        <v>0</v>
      </c>
      <c r="K26" s="270"/>
      <c r="L26" s="203"/>
      <c r="M26" s="203"/>
      <c r="N26" s="203"/>
      <c r="O26" s="203"/>
    </row>
    <row r="27" spans="1:15" ht="15" customHeight="1">
      <c r="A27" s="203"/>
      <c r="B27" s="220">
        <v>2021</v>
      </c>
      <c r="C27" s="221"/>
      <c r="D27" s="221">
        <f t="shared" si="3"/>
        <v>262</v>
      </c>
      <c r="E27" s="221"/>
      <c r="F27" s="221">
        <v>0</v>
      </c>
      <c r="G27" s="221"/>
      <c r="H27" s="221">
        <f t="shared" si="4"/>
        <v>262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2022</v>
      </c>
      <c r="C28" s="221"/>
      <c r="D28" s="221">
        <f t="shared" si="3"/>
        <v>257</v>
      </c>
      <c r="E28" s="221"/>
      <c r="F28" s="221">
        <v>0</v>
      </c>
      <c r="G28" s="221"/>
      <c r="H28" s="221">
        <f t="shared" si="4"/>
        <v>257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2023</v>
      </c>
      <c r="C29" s="221"/>
      <c r="D29" s="221">
        <f t="shared" si="3"/>
        <v>251</v>
      </c>
      <c r="E29" s="221"/>
      <c r="F29" s="221">
        <v>0</v>
      </c>
      <c r="G29" s="221"/>
      <c r="H29" s="221">
        <f t="shared" si="4"/>
        <v>251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20">
        <v>2024</v>
      </c>
      <c r="C30" s="221"/>
      <c r="D30" s="221">
        <f t="shared" si="3"/>
        <v>246</v>
      </c>
      <c r="E30" s="221"/>
      <c r="F30" s="221">
        <v>0</v>
      </c>
      <c r="G30" s="221"/>
      <c r="H30" s="221">
        <f t="shared" si="4"/>
        <v>246</v>
      </c>
      <c r="I30" s="221"/>
      <c r="J30" s="222">
        <v>0</v>
      </c>
      <c r="K30" s="222"/>
      <c r="L30" s="203"/>
      <c r="M30" s="203"/>
      <c r="N30" s="203"/>
      <c r="O30" s="203"/>
    </row>
    <row r="31" spans="1:15" ht="15" customHeight="1">
      <c r="A31" s="203"/>
      <c r="B31" s="268">
        <v>2025</v>
      </c>
      <c r="C31" s="269"/>
      <c r="D31" s="269">
        <f t="shared" si="3"/>
        <v>240</v>
      </c>
      <c r="E31" s="269"/>
      <c r="F31" s="269">
        <v>0</v>
      </c>
      <c r="G31" s="269"/>
      <c r="H31" s="269">
        <f t="shared" si="4"/>
        <v>240</v>
      </c>
      <c r="I31" s="269"/>
      <c r="J31" s="270">
        <v>0</v>
      </c>
      <c r="K31" s="270"/>
      <c r="L31" s="203"/>
      <c r="M31" s="203"/>
      <c r="N31" s="203"/>
      <c r="O31" s="203"/>
    </row>
    <row r="32" spans="1:15" ht="15" customHeight="1">
      <c r="A32" s="203"/>
      <c r="B32" s="220">
        <v>2026</v>
      </c>
      <c r="C32" s="221"/>
      <c r="D32" s="221">
        <f t="shared" si="3"/>
        <v>235</v>
      </c>
      <c r="E32" s="221"/>
      <c r="F32" s="221">
        <v>0</v>
      </c>
      <c r="G32" s="221"/>
      <c r="H32" s="221">
        <f t="shared" si="4"/>
        <v>235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2027</v>
      </c>
      <c r="C33" s="221"/>
      <c r="D33" s="221">
        <f t="shared" si="3"/>
        <v>229</v>
      </c>
      <c r="E33" s="221"/>
      <c r="F33" s="221">
        <v>0</v>
      </c>
      <c r="G33" s="221"/>
      <c r="H33" s="221">
        <f t="shared" si="4"/>
        <v>229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2028</v>
      </c>
      <c r="C34" s="221"/>
      <c r="D34" s="221">
        <f t="shared" si="3"/>
        <v>224</v>
      </c>
      <c r="E34" s="221"/>
      <c r="F34" s="221">
        <v>0</v>
      </c>
      <c r="G34" s="221"/>
      <c r="H34" s="221">
        <f t="shared" si="4"/>
        <v>224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20">
        <v>2029</v>
      </c>
      <c r="C35" s="221"/>
      <c r="D35" s="221">
        <f t="shared" si="3"/>
        <v>218</v>
      </c>
      <c r="E35" s="221"/>
      <c r="F35" s="221">
        <v>0</v>
      </c>
      <c r="G35" s="221"/>
      <c r="H35" s="221">
        <f t="shared" si="4"/>
        <v>218</v>
      </c>
      <c r="I35" s="221"/>
      <c r="J35" s="222">
        <v>0</v>
      </c>
      <c r="K35" s="222"/>
      <c r="L35" s="203"/>
      <c r="M35" s="203"/>
      <c r="N35" s="203"/>
      <c r="O35" s="203"/>
    </row>
    <row r="36" spans="1:15" ht="15" customHeight="1">
      <c r="A36" s="203"/>
      <c r="B36" s="268">
        <v>2030</v>
      </c>
      <c r="C36" s="269"/>
      <c r="D36" s="269">
        <f t="shared" si="3"/>
        <v>213</v>
      </c>
      <c r="E36" s="269"/>
      <c r="F36" s="269">
        <v>0</v>
      </c>
      <c r="G36" s="269"/>
      <c r="H36" s="269">
        <f t="shared" si="4"/>
        <v>213</v>
      </c>
      <c r="I36" s="269"/>
      <c r="J36" s="270">
        <v>0</v>
      </c>
      <c r="K36" s="270"/>
      <c r="L36" s="203"/>
      <c r="M36" s="203"/>
      <c r="N36" s="203"/>
      <c r="O36" s="203"/>
    </row>
    <row r="37" spans="1:15" ht="15" customHeight="1">
      <c r="A37" s="203"/>
      <c r="B37" s="220">
        <v>2031</v>
      </c>
      <c r="C37" s="221"/>
      <c r="D37" s="221">
        <f t="shared" si="3"/>
        <v>207</v>
      </c>
      <c r="E37" s="221"/>
      <c r="F37" s="221">
        <v>0</v>
      </c>
      <c r="G37" s="221"/>
      <c r="H37" s="221">
        <f>ROUND(D37*(1+F37),0)</f>
        <v>207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2032</v>
      </c>
      <c r="C38" s="221"/>
      <c r="D38" s="221">
        <f t="shared" si="3"/>
        <v>202</v>
      </c>
      <c r="E38" s="221"/>
      <c r="F38" s="221">
        <v>0</v>
      </c>
      <c r="G38" s="221"/>
      <c r="H38" s="221">
        <f>ROUND(D38*(1+F38),0)</f>
        <v>202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2033</v>
      </c>
      <c r="C39" s="221"/>
      <c r="D39" s="221">
        <f t="shared" si="3"/>
        <v>196</v>
      </c>
      <c r="E39" s="221"/>
      <c r="F39" s="221">
        <v>0</v>
      </c>
      <c r="G39" s="221"/>
      <c r="H39" s="221">
        <f>ROUND(D39*(1+F39),0)</f>
        <v>196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>
      <c r="A40" s="203"/>
      <c r="B40" s="220">
        <v>2034</v>
      </c>
      <c r="C40" s="221"/>
      <c r="D40" s="221">
        <f t="shared" si="3"/>
        <v>191</v>
      </c>
      <c r="E40" s="221"/>
      <c r="F40" s="221">
        <v>0</v>
      </c>
      <c r="G40" s="221"/>
      <c r="H40" s="221">
        <f>ROUND(D40*(1+F40),0)</f>
        <v>191</v>
      </c>
      <c r="I40" s="221"/>
      <c r="J40" s="222">
        <v>0</v>
      </c>
      <c r="K40" s="222"/>
      <c r="L40" s="203"/>
      <c r="M40" s="203"/>
      <c r="N40" s="203"/>
      <c r="O40" s="203"/>
    </row>
    <row r="41" spans="1:15" ht="15" customHeight="1" thickBot="1">
      <c r="A41" s="203"/>
      <c r="B41" s="268">
        <v>2035</v>
      </c>
      <c r="C41" s="269"/>
      <c r="D41" s="269">
        <f t="shared" si="3"/>
        <v>185</v>
      </c>
      <c r="E41" s="269"/>
      <c r="F41" s="269">
        <v>0</v>
      </c>
      <c r="G41" s="269"/>
      <c r="H41" s="269">
        <f>ROUND(D41*(1+F41),0)</f>
        <v>185</v>
      </c>
      <c r="I41" s="269"/>
      <c r="J41" s="270">
        <v>0</v>
      </c>
      <c r="K41" s="270"/>
      <c r="L41" s="203"/>
      <c r="M41" s="203"/>
      <c r="N41" s="203"/>
      <c r="O41" s="203"/>
    </row>
    <row r="42" spans="1:15" ht="15" customHeight="1">
      <c r="A42" s="203"/>
      <c r="B42" s="223" t="s">
        <v>1396</v>
      </c>
      <c r="C42" s="223"/>
      <c r="D42" s="224" t="s">
        <v>1397</v>
      </c>
      <c r="E42" s="225">
        <f>D$12</f>
        <v>289.92941317221988</v>
      </c>
      <c r="F42" s="226"/>
      <c r="G42" s="224" t="s">
        <v>1398</v>
      </c>
      <c r="H42" s="224">
        <f>ROUND((D$12-D7)/(COUNT(D$7:D$12)-1),1)</f>
        <v>-5.5</v>
      </c>
      <c r="I42" s="224"/>
      <c r="J42" s="224" t="s">
        <v>1399</v>
      </c>
      <c r="K42" s="227" t="s">
        <v>1400</v>
      </c>
      <c r="L42" s="203"/>
      <c r="M42" s="203"/>
      <c r="N42" s="203"/>
      <c r="O42" s="203"/>
    </row>
    <row r="43" spans="1:15" ht="15" customHeight="1">
      <c r="A43" s="203"/>
      <c r="B43" s="237"/>
      <c r="C43" s="237"/>
      <c r="D43" s="240"/>
      <c r="E43" s="267"/>
      <c r="F43" s="239"/>
      <c r="G43" s="240"/>
      <c r="H43" s="240"/>
      <c r="I43" s="240"/>
      <c r="J43" s="240"/>
      <c r="K43" s="241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18" t="s">
        <v>1401</v>
      </c>
      <c r="C46" s="219"/>
      <c r="D46" s="219"/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3"/>
      <c r="C47" s="219" t="s">
        <v>1384</v>
      </c>
      <c r="D47" s="219" t="s">
        <v>1402</v>
      </c>
      <c r="E47" s="219"/>
      <c r="F47" s="219"/>
      <c r="G47" s="219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01"/>
      <c r="C48" s="201" t="s">
        <v>1386</v>
      </c>
      <c r="D48" s="219" t="s">
        <v>1387</v>
      </c>
      <c r="E48" s="201"/>
      <c r="F48" s="201"/>
      <c r="G48" s="201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1388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19"/>
      <c r="C50" s="219"/>
      <c r="D50" s="219" t="s">
        <v>1403</v>
      </c>
      <c r="E50" s="219"/>
      <c r="F50" s="219"/>
      <c r="G50" s="219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>
      <c r="A51" s="203"/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 thickBot="1">
      <c r="A52" s="203"/>
      <c r="B52" s="203"/>
      <c r="C52" s="203"/>
      <c r="D52" s="203"/>
      <c r="E52" s="203"/>
      <c r="F52" s="208" t="s">
        <v>1404</v>
      </c>
      <c r="G52" s="208"/>
      <c r="H52" s="203"/>
      <c r="I52" s="203"/>
      <c r="J52" s="203"/>
      <c r="K52" s="203"/>
      <c r="L52" s="203"/>
      <c r="M52" s="203"/>
      <c r="N52" s="203"/>
      <c r="O52" s="203"/>
    </row>
    <row r="53" spans="1:15" ht="15" customHeight="1">
      <c r="A53" s="203"/>
      <c r="B53" s="202" t="s">
        <v>1391</v>
      </c>
      <c r="C53" s="202"/>
      <c r="D53" s="202" t="s">
        <v>1392</v>
      </c>
      <c r="E53" s="202"/>
      <c r="F53" s="202" t="s">
        <v>1393</v>
      </c>
      <c r="G53" s="202"/>
      <c r="H53" s="202" t="s">
        <v>1394</v>
      </c>
      <c r="I53" s="202"/>
      <c r="J53" s="202" t="s">
        <v>1395</v>
      </c>
      <c r="K53" s="202"/>
      <c r="L53" s="203"/>
      <c r="M53" s="203"/>
      <c r="N53" s="203"/>
      <c r="O53" s="203"/>
    </row>
    <row r="54" spans="1:15" ht="15" customHeight="1">
      <c r="A54" s="203"/>
      <c r="B54" s="220">
        <v>2016</v>
      </c>
      <c r="C54" s="221"/>
      <c r="D54" s="221">
        <f t="shared" ref="D54:D73" si="5">ROUND(E$74*H$74^(B54-$C$4),0)</f>
        <v>290</v>
      </c>
      <c r="E54" s="221"/>
      <c r="F54" s="221">
        <v>0</v>
      </c>
      <c r="G54" s="221"/>
      <c r="H54" s="221">
        <f t="shared" ref="H54:H68" si="6">ROUND(D54*(1+F54),0)</f>
        <v>290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2017</v>
      </c>
      <c r="C55" s="221"/>
      <c r="D55" s="221">
        <f t="shared" si="5"/>
        <v>285</v>
      </c>
      <c r="E55" s="221"/>
      <c r="F55" s="221">
        <v>0</v>
      </c>
      <c r="G55" s="221"/>
      <c r="H55" s="221">
        <f t="shared" si="6"/>
        <v>285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2018</v>
      </c>
      <c r="C56" s="221"/>
      <c r="D56" s="221">
        <f t="shared" si="5"/>
        <v>280</v>
      </c>
      <c r="E56" s="221"/>
      <c r="F56" s="221">
        <v>0</v>
      </c>
      <c r="G56" s="221"/>
      <c r="H56" s="221">
        <f t="shared" si="6"/>
        <v>280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20">
        <v>2019</v>
      </c>
      <c r="C57" s="221"/>
      <c r="D57" s="221">
        <f t="shared" si="5"/>
        <v>275</v>
      </c>
      <c r="E57" s="221"/>
      <c r="F57" s="221">
        <v>0</v>
      </c>
      <c r="G57" s="221"/>
      <c r="H57" s="221">
        <f t="shared" si="6"/>
        <v>275</v>
      </c>
      <c r="I57" s="221"/>
      <c r="J57" s="222">
        <v>0</v>
      </c>
      <c r="K57" s="222"/>
      <c r="L57" s="203"/>
      <c r="M57" s="203"/>
      <c r="N57" s="203"/>
      <c r="O57" s="203"/>
    </row>
    <row r="58" spans="1:15" ht="15" customHeight="1">
      <c r="A58" s="203"/>
      <c r="B58" s="268">
        <v>2020</v>
      </c>
      <c r="C58" s="269"/>
      <c r="D58" s="269">
        <f t="shared" si="5"/>
        <v>270</v>
      </c>
      <c r="E58" s="269"/>
      <c r="F58" s="269">
        <v>0</v>
      </c>
      <c r="G58" s="269"/>
      <c r="H58" s="269">
        <f t="shared" si="6"/>
        <v>270</v>
      </c>
      <c r="I58" s="269"/>
      <c r="J58" s="270">
        <v>0</v>
      </c>
      <c r="K58" s="270"/>
      <c r="L58" s="203"/>
      <c r="M58" s="203"/>
      <c r="N58" s="203"/>
      <c r="O58" s="203"/>
    </row>
    <row r="59" spans="1:15" ht="15" customHeight="1">
      <c r="A59" s="203"/>
      <c r="B59" s="220">
        <v>2021</v>
      </c>
      <c r="C59" s="221"/>
      <c r="D59" s="221">
        <f t="shared" si="5"/>
        <v>265</v>
      </c>
      <c r="E59" s="221"/>
      <c r="F59" s="221">
        <v>0</v>
      </c>
      <c r="G59" s="221"/>
      <c r="H59" s="221">
        <f t="shared" si="6"/>
        <v>265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2022</v>
      </c>
      <c r="C60" s="221"/>
      <c r="D60" s="221">
        <f t="shared" si="5"/>
        <v>260</v>
      </c>
      <c r="E60" s="221"/>
      <c r="F60" s="221">
        <v>0</v>
      </c>
      <c r="G60" s="221"/>
      <c r="H60" s="221">
        <f t="shared" si="6"/>
        <v>260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2023</v>
      </c>
      <c r="C61" s="221"/>
      <c r="D61" s="221">
        <f t="shared" si="5"/>
        <v>255</v>
      </c>
      <c r="E61" s="221"/>
      <c r="F61" s="221">
        <v>0</v>
      </c>
      <c r="G61" s="221"/>
      <c r="H61" s="221">
        <f t="shared" si="6"/>
        <v>255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20">
        <v>2024</v>
      </c>
      <c r="C62" s="221"/>
      <c r="D62" s="221">
        <f t="shared" si="5"/>
        <v>251</v>
      </c>
      <c r="E62" s="221"/>
      <c r="F62" s="221">
        <v>0</v>
      </c>
      <c r="G62" s="221"/>
      <c r="H62" s="221">
        <f t="shared" si="6"/>
        <v>251</v>
      </c>
      <c r="I62" s="221"/>
      <c r="J62" s="222">
        <v>0</v>
      </c>
      <c r="K62" s="222"/>
      <c r="L62" s="203"/>
      <c r="M62" s="203"/>
      <c r="N62" s="203"/>
      <c r="O62" s="203"/>
    </row>
    <row r="63" spans="1:15" ht="15" customHeight="1">
      <c r="A63" s="203"/>
      <c r="B63" s="268">
        <v>2025</v>
      </c>
      <c r="C63" s="269"/>
      <c r="D63" s="269">
        <f t="shared" si="5"/>
        <v>246</v>
      </c>
      <c r="E63" s="269"/>
      <c r="F63" s="269">
        <v>0</v>
      </c>
      <c r="G63" s="269"/>
      <c r="H63" s="269">
        <f t="shared" si="6"/>
        <v>246</v>
      </c>
      <c r="I63" s="269"/>
      <c r="J63" s="270">
        <v>0</v>
      </c>
      <c r="K63" s="270"/>
      <c r="L63" s="203"/>
      <c r="M63" s="203"/>
      <c r="N63" s="203"/>
      <c r="O63" s="203"/>
    </row>
    <row r="64" spans="1:15" ht="15" customHeight="1">
      <c r="A64" s="203"/>
      <c r="B64" s="220">
        <v>2026</v>
      </c>
      <c r="C64" s="221"/>
      <c r="D64" s="221">
        <f t="shared" si="5"/>
        <v>242</v>
      </c>
      <c r="E64" s="221"/>
      <c r="F64" s="221">
        <v>0</v>
      </c>
      <c r="G64" s="221"/>
      <c r="H64" s="221">
        <f t="shared" si="6"/>
        <v>242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2027</v>
      </c>
      <c r="C65" s="221"/>
      <c r="D65" s="221">
        <f t="shared" si="5"/>
        <v>238</v>
      </c>
      <c r="E65" s="221"/>
      <c r="F65" s="221">
        <v>0</v>
      </c>
      <c r="G65" s="221"/>
      <c r="H65" s="221">
        <f t="shared" si="6"/>
        <v>238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2028</v>
      </c>
      <c r="C66" s="221"/>
      <c r="D66" s="221">
        <f t="shared" si="5"/>
        <v>233</v>
      </c>
      <c r="E66" s="221"/>
      <c r="F66" s="221">
        <v>0</v>
      </c>
      <c r="G66" s="221"/>
      <c r="H66" s="221">
        <f t="shared" si="6"/>
        <v>233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20">
        <v>2029</v>
      </c>
      <c r="C67" s="221"/>
      <c r="D67" s="221">
        <f t="shared" si="5"/>
        <v>229</v>
      </c>
      <c r="E67" s="221"/>
      <c r="F67" s="221">
        <v>0</v>
      </c>
      <c r="G67" s="221"/>
      <c r="H67" s="221">
        <f t="shared" si="6"/>
        <v>229</v>
      </c>
      <c r="I67" s="221"/>
      <c r="J67" s="222">
        <v>0</v>
      </c>
      <c r="K67" s="222"/>
      <c r="L67" s="203"/>
      <c r="M67" s="203"/>
      <c r="N67" s="203"/>
      <c r="O67" s="203"/>
    </row>
    <row r="68" spans="1:15" ht="15" customHeight="1">
      <c r="A68" s="203"/>
      <c r="B68" s="268">
        <v>2030</v>
      </c>
      <c r="C68" s="269"/>
      <c r="D68" s="269">
        <f t="shared" si="5"/>
        <v>225</v>
      </c>
      <c r="E68" s="269"/>
      <c r="F68" s="269">
        <v>0</v>
      </c>
      <c r="G68" s="269"/>
      <c r="H68" s="269">
        <f t="shared" si="6"/>
        <v>225</v>
      </c>
      <c r="I68" s="269"/>
      <c r="J68" s="270">
        <v>0</v>
      </c>
      <c r="K68" s="270"/>
      <c r="L68" s="203"/>
      <c r="M68" s="203"/>
      <c r="N68" s="203"/>
      <c r="O68" s="203"/>
    </row>
    <row r="69" spans="1:15" ht="15" customHeight="1">
      <c r="A69" s="203"/>
      <c r="B69" s="220">
        <v>2031</v>
      </c>
      <c r="C69" s="221"/>
      <c r="D69" s="221">
        <f t="shared" si="5"/>
        <v>221</v>
      </c>
      <c r="E69" s="221"/>
      <c r="F69" s="221">
        <v>0</v>
      </c>
      <c r="G69" s="221"/>
      <c r="H69" s="221">
        <f>ROUND(D69*(1+F69),0)</f>
        <v>221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2032</v>
      </c>
      <c r="C70" s="221"/>
      <c r="D70" s="221">
        <f t="shared" si="5"/>
        <v>217</v>
      </c>
      <c r="E70" s="221"/>
      <c r="F70" s="221">
        <v>0</v>
      </c>
      <c r="G70" s="221"/>
      <c r="H70" s="221">
        <f>ROUND(D70*(1+F70),0)</f>
        <v>217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2033</v>
      </c>
      <c r="C71" s="221"/>
      <c r="D71" s="221">
        <f t="shared" si="5"/>
        <v>213</v>
      </c>
      <c r="E71" s="221"/>
      <c r="F71" s="221">
        <v>0</v>
      </c>
      <c r="G71" s="221"/>
      <c r="H71" s="221">
        <f>ROUND(D71*(1+F71),0)</f>
        <v>213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>
      <c r="A72" s="203"/>
      <c r="B72" s="220">
        <v>2034</v>
      </c>
      <c r="C72" s="221"/>
      <c r="D72" s="221">
        <f t="shared" si="5"/>
        <v>209</v>
      </c>
      <c r="E72" s="221"/>
      <c r="F72" s="221">
        <v>0</v>
      </c>
      <c r="G72" s="221"/>
      <c r="H72" s="221">
        <f>ROUND(D72*(1+F72),0)</f>
        <v>209</v>
      </c>
      <c r="I72" s="221"/>
      <c r="J72" s="222">
        <v>0</v>
      </c>
      <c r="K72" s="222"/>
      <c r="L72" s="203"/>
      <c r="M72" s="203"/>
      <c r="N72" s="203"/>
      <c r="O72" s="203"/>
    </row>
    <row r="73" spans="1:15" ht="15" customHeight="1" thickBot="1">
      <c r="A73" s="203"/>
      <c r="B73" s="268">
        <v>2035</v>
      </c>
      <c r="C73" s="269"/>
      <c r="D73" s="269">
        <f t="shared" si="5"/>
        <v>206</v>
      </c>
      <c r="E73" s="269"/>
      <c r="F73" s="269">
        <v>0</v>
      </c>
      <c r="G73" s="269"/>
      <c r="H73" s="269">
        <f>ROUND(D73*(1+F73),0)</f>
        <v>206</v>
      </c>
      <c r="I73" s="269"/>
      <c r="J73" s="270">
        <v>0</v>
      </c>
      <c r="K73" s="270"/>
      <c r="L73" s="203"/>
      <c r="M73" s="203"/>
      <c r="N73" s="203"/>
      <c r="O73" s="203"/>
    </row>
    <row r="74" spans="1:15" ht="15" customHeight="1">
      <c r="A74" s="203"/>
      <c r="B74" s="223" t="s">
        <v>1405</v>
      </c>
      <c r="C74" s="223"/>
      <c r="D74" s="224" t="s">
        <v>1406</v>
      </c>
      <c r="E74" s="225">
        <f>D$12</f>
        <v>289.92941317221988</v>
      </c>
      <c r="F74" s="226"/>
      <c r="G74" s="224" t="s">
        <v>179</v>
      </c>
      <c r="H74" s="224">
        <f>ROUND((E$74/D$7)^(1/(COUNT(D$7:D$12)-1)),6)</f>
        <v>0.98209900000000006</v>
      </c>
      <c r="I74" s="224"/>
      <c r="J74" s="224" t="s">
        <v>163</v>
      </c>
      <c r="K74" s="227" t="s">
        <v>164</v>
      </c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18" t="s">
        <v>182</v>
      </c>
      <c r="C84" s="219"/>
      <c r="D84" s="219"/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03"/>
      <c r="C85" s="219" t="s">
        <v>148</v>
      </c>
      <c r="D85" s="219" t="s">
        <v>184</v>
      </c>
      <c r="E85" s="219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28" t="s">
        <v>185</v>
      </c>
      <c r="D86" s="219" t="s">
        <v>186</v>
      </c>
      <c r="E86" s="201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19"/>
      <c r="C87" s="219"/>
      <c r="D87" s="219" t="s">
        <v>187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>
      <c r="A88" s="203"/>
      <c r="B88" s="201"/>
      <c r="C88" s="219"/>
      <c r="D88" s="219" t="s">
        <v>188</v>
      </c>
      <c r="E88" s="219"/>
      <c r="F88" s="203"/>
      <c r="G88" s="203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 thickBot="1">
      <c r="A89" s="203"/>
      <c r="B89" s="203"/>
      <c r="C89" s="203"/>
      <c r="D89" s="203"/>
      <c r="E89" s="203"/>
      <c r="F89" s="208" t="s">
        <v>189</v>
      </c>
      <c r="G89" s="208"/>
      <c r="H89" s="203"/>
      <c r="I89" s="203"/>
      <c r="J89" s="203"/>
      <c r="K89" s="203"/>
      <c r="L89" s="203"/>
      <c r="M89" s="203"/>
      <c r="N89" s="203"/>
      <c r="O89" s="203"/>
    </row>
    <row r="90" spans="1:15" ht="15" customHeight="1">
      <c r="A90" s="203"/>
      <c r="B90" s="202" t="s">
        <v>141</v>
      </c>
      <c r="C90" s="202"/>
      <c r="D90" s="202" t="s">
        <v>191</v>
      </c>
      <c r="E90" s="202" t="s">
        <v>192</v>
      </c>
      <c r="F90" s="202" t="s">
        <v>193</v>
      </c>
      <c r="G90" s="202"/>
      <c r="H90" s="202" t="s">
        <v>194</v>
      </c>
      <c r="I90" s="202"/>
      <c r="J90" s="202" t="s">
        <v>144</v>
      </c>
      <c r="K90" s="202"/>
      <c r="L90" s="203"/>
      <c r="M90" s="203"/>
      <c r="N90" s="203"/>
      <c r="O90" s="203"/>
    </row>
    <row r="91" spans="1:15" ht="15" customHeight="1">
      <c r="A91" s="203"/>
      <c r="B91" s="840">
        <f t="shared" ref="B91:B96" si="7">B7</f>
        <v>2011</v>
      </c>
      <c r="C91" s="840"/>
      <c r="D91" s="208">
        <f t="shared" ref="D91:D96" si="8">VLOOKUP(B91,B$7:E$12,3,FALSE)</f>
        <v>317.33307843804948</v>
      </c>
      <c r="E91" s="229">
        <f t="shared" ref="E91:E96" si="9">((COUNT(B$91:B$96)-1)/2)+(B91-$C$4)</f>
        <v>-2.5</v>
      </c>
      <c r="F91" s="208">
        <f t="shared" ref="F91:F96" si="10">E91^2</f>
        <v>6.25</v>
      </c>
      <c r="G91" s="206"/>
      <c r="H91" s="230">
        <f t="shared" ref="H91:H96" si="11">ROUND(D91*E91,2)</f>
        <v>-793.33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 t="shared" si="7"/>
        <v>2012</v>
      </c>
      <c r="C92" s="840"/>
      <c r="D92" s="208">
        <f t="shared" si="8"/>
        <v>318.93605974679502</v>
      </c>
      <c r="E92" s="229">
        <f t="shared" si="9"/>
        <v>-1.5</v>
      </c>
      <c r="F92" s="208">
        <f t="shared" si="10"/>
        <v>2.25</v>
      </c>
      <c r="G92" s="206"/>
      <c r="H92" s="230">
        <f t="shared" si="11"/>
        <v>-478.4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 t="shared" si="7"/>
        <v>2013</v>
      </c>
      <c r="C93" s="840"/>
      <c r="D93" s="208">
        <f t="shared" si="8"/>
        <v>351.18236541341196</v>
      </c>
      <c r="E93" s="229">
        <f t="shared" si="9"/>
        <v>-0.5</v>
      </c>
      <c r="F93" s="208">
        <f t="shared" si="10"/>
        <v>0.25</v>
      </c>
      <c r="G93" s="206"/>
      <c r="H93" s="230">
        <f t="shared" si="11"/>
        <v>-175.59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 t="shared" si="7"/>
        <v>2014</v>
      </c>
      <c r="C94" s="840"/>
      <c r="D94" s="208">
        <f t="shared" si="8"/>
        <v>329.63578821047184</v>
      </c>
      <c r="E94" s="229">
        <f t="shared" si="9"/>
        <v>0.5</v>
      </c>
      <c r="F94" s="208">
        <f t="shared" si="10"/>
        <v>0.25</v>
      </c>
      <c r="G94" s="206"/>
      <c r="H94" s="230">
        <f t="shared" si="11"/>
        <v>164.82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>
      <c r="A95" s="203"/>
      <c r="B95" s="840">
        <f t="shared" si="7"/>
        <v>2015</v>
      </c>
      <c r="C95" s="840"/>
      <c r="D95" s="208">
        <f t="shared" si="8"/>
        <v>286.312995274446</v>
      </c>
      <c r="E95" s="229">
        <f t="shared" si="9"/>
        <v>1.5</v>
      </c>
      <c r="F95" s="208">
        <f t="shared" si="10"/>
        <v>2.25</v>
      </c>
      <c r="G95" s="206"/>
      <c r="H95" s="230">
        <f t="shared" si="11"/>
        <v>429.47</v>
      </c>
      <c r="I95" s="231"/>
      <c r="J95" s="210">
        <v>0</v>
      </c>
      <c r="K95" s="210"/>
      <c r="L95" s="203"/>
      <c r="M95" s="203"/>
      <c r="N95" s="203"/>
      <c r="O95" s="203"/>
    </row>
    <row r="96" spans="1:15" ht="15" customHeight="1">
      <c r="A96" s="203"/>
      <c r="B96" s="840">
        <f t="shared" si="7"/>
        <v>2016</v>
      </c>
      <c r="C96" s="840"/>
      <c r="D96" s="208">
        <f t="shared" si="8"/>
        <v>289.92941317221988</v>
      </c>
      <c r="E96" s="229">
        <f t="shared" si="9"/>
        <v>2.5</v>
      </c>
      <c r="F96" s="208">
        <f t="shared" si="10"/>
        <v>6.25</v>
      </c>
      <c r="G96" s="206"/>
      <c r="H96" s="230">
        <f t="shared" si="11"/>
        <v>724.82</v>
      </c>
      <c r="I96" s="231"/>
      <c r="J96" s="210">
        <v>0</v>
      </c>
      <c r="K96" s="210"/>
      <c r="L96" s="203"/>
      <c r="M96" s="203"/>
      <c r="N96" s="203"/>
      <c r="O96" s="203"/>
    </row>
    <row r="97" spans="1:15" ht="15" customHeight="1" thickBot="1">
      <c r="A97" s="203"/>
      <c r="B97" s="211" t="s">
        <v>146</v>
      </c>
      <c r="C97" s="212"/>
      <c r="D97" s="232">
        <f>SUM(D91:D96)</f>
        <v>1893.3297002553941</v>
      </c>
      <c r="E97" s="215"/>
      <c r="F97" s="233">
        <f>ROUND(SUM(F91:F96),0)</f>
        <v>18</v>
      </c>
      <c r="G97" s="212"/>
      <c r="H97" s="234">
        <f>SUM(H91:H96)</f>
        <v>-128.20999999999992</v>
      </c>
      <c r="I97" s="216"/>
      <c r="J97" s="235"/>
      <c r="K97" s="235"/>
      <c r="L97" s="203"/>
      <c r="M97" s="203"/>
      <c r="N97" s="203"/>
      <c r="O97" s="203"/>
    </row>
    <row r="98" spans="1:15" ht="15" customHeight="1">
      <c r="A98" s="203"/>
      <c r="B98" s="208" t="s">
        <v>197</v>
      </c>
      <c r="C98" s="208"/>
      <c r="D98" s="236" t="s">
        <v>198</v>
      </c>
      <c r="E98" s="203"/>
      <c r="F98" s="203"/>
      <c r="G98" s="201">
        <f>((COUNT(B$91:B$96))*H$97-D$97*E$97)/((COUNT(B$91:B$96))*F$97-E$97*E$97)</f>
        <v>-7.1227777777777739</v>
      </c>
      <c r="H98" s="236" t="s">
        <v>199</v>
      </c>
      <c r="I98" s="201"/>
      <c r="J98" s="201"/>
      <c r="K98" s="201">
        <f>ROUND((F97*D97-H97*E97)/(COUNT(B$91:B$96)*F97-E97*E97),0)</f>
        <v>316</v>
      </c>
      <c r="L98" s="203"/>
      <c r="M98" s="203"/>
      <c r="N98" s="203"/>
      <c r="O98" s="203"/>
    </row>
    <row r="99" spans="1:15" ht="15" customHeight="1">
      <c r="A99" s="203"/>
      <c r="B99" s="237"/>
      <c r="C99" s="237"/>
      <c r="D99" s="238"/>
      <c r="E99" s="201"/>
      <c r="F99" s="239"/>
      <c r="G99" s="240"/>
      <c r="H99" s="203"/>
      <c r="I99" s="240"/>
      <c r="J99" s="240"/>
      <c r="K99" s="241"/>
      <c r="L99" s="203"/>
      <c r="M99" s="203"/>
      <c r="N99" s="203"/>
      <c r="O99" s="203"/>
    </row>
    <row r="100" spans="1:15" ht="15" customHeight="1">
      <c r="A100" s="203"/>
      <c r="B100" s="203"/>
      <c r="C100" s="203"/>
      <c r="D100" s="203"/>
      <c r="E100" s="219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</row>
    <row r="101" spans="1:15" ht="15" customHeight="1" thickBot="1">
      <c r="A101" s="203"/>
      <c r="B101" s="203"/>
      <c r="C101" s="203"/>
      <c r="D101" s="203"/>
      <c r="E101" s="203"/>
      <c r="F101" s="208" t="s">
        <v>200</v>
      </c>
      <c r="G101" s="208"/>
      <c r="H101" s="203"/>
      <c r="I101" s="203"/>
      <c r="J101" s="203"/>
      <c r="K101" s="203"/>
      <c r="L101" s="203"/>
      <c r="M101" s="203"/>
      <c r="N101" s="203"/>
      <c r="O101" s="203"/>
    </row>
    <row r="102" spans="1:15" ht="15" customHeight="1">
      <c r="A102" s="203"/>
      <c r="B102" s="202" t="s">
        <v>141</v>
      </c>
      <c r="C102" s="202"/>
      <c r="D102" s="202" t="s">
        <v>156</v>
      </c>
      <c r="E102" s="202"/>
      <c r="F102" s="202" t="s">
        <v>157</v>
      </c>
      <c r="G102" s="202"/>
      <c r="H102" s="202" t="s">
        <v>158</v>
      </c>
      <c r="I102" s="202"/>
      <c r="J102" s="202" t="s">
        <v>144</v>
      </c>
      <c r="K102" s="202"/>
      <c r="L102" s="203"/>
      <c r="M102" s="203"/>
      <c r="N102" s="203"/>
      <c r="O102" s="203"/>
    </row>
    <row r="103" spans="1:15" ht="15" customHeight="1">
      <c r="A103" s="203"/>
      <c r="B103" s="220">
        <v>2016</v>
      </c>
      <c r="C103" s="221"/>
      <c r="D103" s="221">
        <f t="shared" ref="D103:D117" si="12">ROUNDUP(G$98*(B103-B$96+E$96)+K$98,0)</f>
        <v>299</v>
      </c>
      <c r="E103" s="221"/>
      <c r="F103" s="221">
        <v>0</v>
      </c>
      <c r="G103" s="221"/>
      <c r="H103" s="221">
        <f t="shared" ref="H103:H117" si="13">ROUND(D103*(1+F103),0)</f>
        <v>299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2017</v>
      </c>
      <c r="C104" s="221"/>
      <c r="D104" s="221">
        <f t="shared" si="12"/>
        <v>292</v>
      </c>
      <c r="E104" s="221"/>
      <c r="F104" s="221">
        <v>0</v>
      </c>
      <c r="G104" s="221"/>
      <c r="H104" s="221">
        <f t="shared" si="13"/>
        <v>292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20">
        <v>2018</v>
      </c>
      <c r="C105" s="221"/>
      <c r="D105" s="221">
        <f t="shared" si="12"/>
        <v>284</v>
      </c>
      <c r="E105" s="221"/>
      <c r="F105" s="221">
        <v>0</v>
      </c>
      <c r="G105" s="221"/>
      <c r="H105" s="221">
        <f t="shared" si="13"/>
        <v>284</v>
      </c>
      <c r="I105" s="221"/>
      <c r="J105" s="222">
        <v>0</v>
      </c>
      <c r="K105" s="222"/>
      <c r="L105" s="203"/>
      <c r="M105" s="203"/>
      <c r="N105" s="203"/>
      <c r="O105" s="203"/>
    </row>
    <row r="106" spans="1:15" ht="15" customHeight="1">
      <c r="A106" s="203"/>
      <c r="B106" s="220">
        <v>2019</v>
      </c>
      <c r="C106" s="221"/>
      <c r="D106" s="221">
        <f t="shared" si="12"/>
        <v>277</v>
      </c>
      <c r="E106" s="221"/>
      <c r="F106" s="221">
        <v>0</v>
      </c>
      <c r="G106" s="221"/>
      <c r="H106" s="221">
        <f t="shared" si="13"/>
        <v>277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68">
        <v>2020</v>
      </c>
      <c r="C107" s="269"/>
      <c r="D107" s="269">
        <f t="shared" si="12"/>
        <v>270</v>
      </c>
      <c r="E107" s="269"/>
      <c r="F107" s="269">
        <v>0</v>
      </c>
      <c r="G107" s="269"/>
      <c r="H107" s="269">
        <f t="shared" si="13"/>
        <v>270</v>
      </c>
      <c r="I107" s="269"/>
      <c r="J107" s="270">
        <v>0</v>
      </c>
      <c r="K107" s="270"/>
      <c r="L107" s="203"/>
      <c r="M107" s="203"/>
      <c r="N107" s="203"/>
      <c r="O107" s="203"/>
    </row>
    <row r="108" spans="1:15" ht="15" customHeight="1">
      <c r="A108" s="203"/>
      <c r="B108" s="220">
        <v>2021</v>
      </c>
      <c r="C108" s="221"/>
      <c r="D108" s="221">
        <f t="shared" si="12"/>
        <v>263</v>
      </c>
      <c r="E108" s="221"/>
      <c r="F108" s="221">
        <v>0</v>
      </c>
      <c r="G108" s="221"/>
      <c r="H108" s="221">
        <f t="shared" si="13"/>
        <v>263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2022</v>
      </c>
      <c r="C109" s="221"/>
      <c r="D109" s="221">
        <f t="shared" si="12"/>
        <v>256</v>
      </c>
      <c r="E109" s="221"/>
      <c r="F109" s="221">
        <v>0</v>
      </c>
      <c r="G109" s="221"/>
      <c r="H109" s="221">
        <f t="shared" si="13"/>
        <v>256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20">
        <v>2023</v>
      </c>
      <c r="C110" s="221"/>
      <c r="D110" s="221">
        <f t="shared" si="12"/>
        <v>249</v>
      </c>
      <c r="E110" s="221"/>
      <c r="F110" s="221">
        <v>0</v>
      </c>
      <c r="G110" s="221"/>
      <c r="H110" s="221">
        <f t="shared" si="13"/>
        <v>249</v>
      </c>
      <c r="I110" s="221"/>
      <c r="J110" s="222">
        <v>0</v>
      </c>
      <c r="K110" s="222"/>
      <c r="L110" s="203"/>
      <c r="M110" s="203"/>
      <c r="N110" s="203"/>
      <c r="O110" s="203"/>
    </row>
    <row r="111" spans="1:15" ht="15" customHeight="1">
      <c r="A111" s="203"/>
      <c r="B111" s="220">
        <v>2024</v>
      </c>
      <c r="C111" s="221"/>
      <c r="D111" s="221">
        <f t="shared" si="12"/>
        <v>242</v>
      </c>
      <c r="E111" s="221"/>
      <c r="F111" s="221">
        <v>0</v>
      </c>
      <c r="G111" s="221"/>
      <c r="H111" s="221">
        <f t="shared" si="13"/>
        <v>242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68">
        <v>2025</v>
      </c>
      <c r="C112" s="269"/>
      <c r="D112" s="269">
        <f t="shared" si="12"/>
        <v>235</v>
      </c>
      <c r="E112" s="269"/>
      <c r="F112" s="269">
        <v>0</v>
      </c>
      <c r="G112" s="269"/>
      <c r="H112" s="269">
        <f t="shared" si="13"/>
        <v>235</v>
      </c>
      <c r="I112" s="269"/>
      <c r="J112" s="270">
        <v>0</v>
      </c>
      <c r="K112" s="270"/>
      <c r="L112" s="203"/>
      <c r="M112" s="203"/>
      <c r="N112" s="203"/>
      <c r="O112" s="203"/>
    </row>
    <row r="113" spans="1:15" ht="15" customHeight="1">
      <c r="A113" s="203"/>
      <c r="B113" s="220">
        <v>2026</v>
      </c>
      <c r="C113" s="221"/>
      <c r="D113" s="221">
        <f t="shared" si="12"/>
        <v>227</v>
      </c>
      <c r="E113" s="221"/>
      <c r="F113" s="221">
        <v>0</v>
      </c>
      <c r="G113" s="221"/>
      <c r="H113" s="221">
        <f t="shared" si="13"/>
        <v>227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2027</v>
      </c>
      <c r="C114" s="221"/>
      <c r="D114" s="221">
        <f t="shared" si="12"/>
        <v>220</v>
      </c>
      <c r="E114" s="221"/>
      <c r="F114" s="221">
        <v>0</v>
      </c>
      <c r="G114" s="221"/>
      <c r="H114" s="221">
        <f t="shared" si="13"/>
        <v>220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20">
        <v>2028</v>
      </c>
      <c r="C115" s="221"/>
      <c r="D115" s="221">
        <f t="shared" si="12"/>
        <v>213</v>
      </c>
      <c r="E115" s="221"/>
      <c r="F115" s="221">
        <v>0</v>
      </c>
      <c r="G115" s="221"/>
      <c r="H115" s="221">
        <f t="shared" si="13"/>
        <v>213</v>
      </c>
      <c r="I115" s="221"/>
      <c r="J115" s="222">
        <v>0</v>
      </c>
      <c r="K115" s="222"/>
      <c r="L115" s="203"/>
      <c r="M115" s="203"/>
      <c r="N115" s="203"/>
      <c r="O115" s="203"/>
    </row>
    <row r="116" spans="1:15" ht="15" customHeight="1">
      <c r="A116" s="203"/>
      <c r="B116" s="220">
        <v>2029</v>
      </c>
      <c r="C116" s="221"/>
      <c r="D116" s="221">
        <f t="shared" si="12"/>
        <v>206</v>
      </c>
      <c r="E116" s="221"/>
      <c r="F116" s="221">
        <v>0</v>
      </c>
      <c r="G116" s="221"/>
      <c r="H116" s="221">
        <f t="shared" si="13"/>
        <v>206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68">
        <v>2030</v>
      </c>
      <c r="C117" s="269"/>
      <c r="D117" s="269">
        <f t="shared" si="12"/>
        <v>199</v>
      </c>
      <c r="E117" s="269"/>
      <c r="F117" s="269">
        <v>0</v>
      </c>
      <c r="G117" s="269"/>
      <c r="H117" s="269">
        <f t="shared" si="13"/>
        <v>199</v>
      </c>
      <c r="I117" s="269"/>
      <c r="J117" s="270">
        <v>0</v>
      </c>
      <c r="K117" s="270"/>
      <c r="L117" s="203"/>
      <c r="M117" s="203"/>
      <c r="N117" s="203"/>
      <c r="O117" s="203"/>
    </row>
    <row r="118" spans="1:15" ht="15" customHeight="1">
      <c r="A118" s="203"/>
      <c r="B118" s="220">
        <v>2031</v>
      </c>
      <c r="C118" s="221"/>
      <c r="D118" s="221">
        <f>ROUNDUP(G$98*(B118-B$96+E$96)+K$98,0)</f>
        <v>192</v>
      </c>
      <c r="E118" s="221"/>
      <c r="F118" s="221">
        <v>0</v>
      </c>
      <c r="G118" s="221"/>
      <c r="H118" s="221">
        <f>ROUND(D118*(1+F118),0)</f>
        <v>192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2032</v>
      </c>
      <c r="C119" s="221"/>
      <c r="D119" s="221">
        <f>ROUNDUP(G$98*(B119-B$96+E$96)+K$98,0)</f>
        <v>185</v>
      </c>
      <c r="E119" s="221"/>
      <c r="F119" s="221">
        <v>0</v>
      </c>
      <c r="G119" s="221"/>
      <c r="H119" s="221">
        <f>ROUND(D119*(1+F119),0)</f>
        <v>185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>
      <c r="A120" s="203"/>
      <c r="B120" s="220">
        <v>2033</v>
      </c>
      <c r="C120" s="221"/>
      <c r="D120" s="221">
        <f>ROUNDUP(G$98*(B120-B$96+E$96)+K$98,0)</f>
        <v>178</v>
      </c>
      <c r="E120" s="221"/>
      <c r="F120" s="221">
        <v>0</v>
      </c>
      <c r="G120" s="221"/>
      <c r="H120" s="221">
        <f>ROUND(D120*(1+F120),0)</f>
        <v>178</v>
      </c>
      <c r="I120" s="221"/>
      <c r="J120" s="222">
        <v>0</v>
      </c>
      <c r="K120" s="222"/>
      <c r="L120" s="203"/>
      <c r="M120" s="203"/>
      <c r="N120" s="203"/>
      <c r="O120" s="203"/>
    </row>
    <row r="121" spans="1:15" ht="15" customHeight="1">
      <c r="A121" s="203"/>
      <c r="B121" s="220">
        <v>2034</v>
      </c>
      <c r="C121" s="221"/>
      <c r="D121" s="221">
        <f>ROUNDUP(G$98*(B121-B$96+E$96)+K$98,0)</f>
        <v>170</v>
      </c>
      <c r="E121" s="221"/>
      <c r="F121" s="221">
        <v>0</v>
      </c>
      <c r="G121" s="221"/>
      <c r="H121" s="221">
        <f>ROUND(D121*(1+F121),0)</f>
        <v>170</v>
      </c>
      <c r="I121" s="221"/>
      <c r="J121" s="222">
        <v>0</v>
      </c>
      <c r="K121" s="222"/>
      <c r="L121" s="203"/>
      <c r="M121" s="203"/>
      <c r="N121" s="203"/>
      <c r="O121" s="203"/>
    </row>
    <row r="122" spans="1:15" ht="15" customHeight="1" thickBot="1">
      <c r="A122" s="203"/>
      <c r="B122" s="268">
        <v>2035</v>
      </c>
      <c r="C122" s="269"/>
      <c r="D122" s="269">
        <f>ROUNDUP(G$98*(B122-B$96+E$96)+K$98,0)</f>
        <v>163</v>
      </c>
      <c r="E122" s="269"/>
      <c r="F122" s="269">
        <v>0</v>
      </c>
      <c r="G122" s="269"/>
      <c r="H122" s="269">
        <f>ROUND(D122*(1+F122),0)</f>
        <v>163</v>
      </c>
      <c r="I122" s="269"/>
      <c r="J122" s="270">
        <v>0</v>
      </c>
      <c r="K122" s="270"/>
      <c r="L122" s="203"/>
      <c r="M122" s="203"/>
      <c r="N122" s="203"/>
      <c r="O122" s="203"/>
    </row>
    <row r="123" spans="1:15" ht="15" customHeight="1">
      <c r="A123" s="203"/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03"/>
      <c r="M123" s="203"/>
      <c r="N123" s="203"/>
      <c r="O123" s="203"/>
    </row>
    <row r="124" spans="1:15" ht="15" customHeight="1">
      <c r="A124" s="203"/>
      <c r="B124" s="239"/>
      <c r="C124" s="239"/>
      <c r="D124" s="239"/>
      <c r="E124" s="239"/>
      <c r="F124" s="239"/>
      <c r="G124" s="239"/>
      <c r="H124" s="239"/>
      <c r="I124" s="239"/>
      <c r="J124" s="239"/>
      <c r="K124" s="239"/>
      <c r="L124" s="203"/>
      <c r="M124" s="203"/>
      <c r="N124" s="203"/>
      <c r="O124" s="203"/>
    </row>
    <row r="125" spans="1:15" ht="15" customHeight="1">
      <c r="A125" s="203"/>
      <c r="B125" s="218" t="s">
        <v>203</v>
      </c>
      <c r="C125" s="219"/>
      <c r="D125" s="219"/>
      <c r="E125" s="219"/>
      <c r="F125" s="219"/>
      <c r="G125" s="203"/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3"/>
      <c r="C126" s="219" t="s">
        <v>148</v>
      </c>
      <c r="D126" s="219" t="s">
        <v>205</v>
      </c>
      <c r="E126" s="219"/>
      <c r="F126" s="219"/>
      <c r="G126" s="242" t="b">
        <v>1</v>
      </c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01"/>
      <c r="C127" s="228" t="s">
        <v>185</v>
      </c>
      <c r="D127" s="219" t="s">
        <v>207</v>
      </c>
      <c r="E127" s="219"/>
      <c r="F127" s="201"/>
      <c r="G127" s="243" t="b">
        <v>0</v>
      </c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>
      <c r="A128" s="203"/>
      <c r="B128" s="201"/>
      <c r="C128" s="228"/>
      <c r="D128" s="219" t="s">
        <v>208</v>
      </c>
      <c r="E128" s="219"/>
      <c r="F128" s="201"/>
      <c r="G128" s="203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19"/>
      <c r="C129" s="219"/>
      <c r="D129" s="219" t="s">
        <v>209</v>
      </c>
      <c r="E129" s="219"/>
      <c r="F129" s="219"/>
      <c r="G129" s="203"/>
      <c r="H129" s="203"/>
      <c r="I129" s="203"/>
      <c r="J129" s="203"/>
      <c r="K129" s="203"/>
      <c r="L129" s="203"/>
      <c r="M129" s="203"/>
      <c r="N129" s="203"/>
      <c r="O129" s="203"/>
    </row>
    <row r="130" spans="1:15" ht="15" customHeight="1" thickBot="1">
      <c r="A130" s="203"/>
      <c r="B130" s="203"/>
      <c r="C130" s="203"/>
      <c r="D130" s="203"/>
      <c r="E130" s="203"/>
      <c r="F130" s="208" t="s">
        <v>210</v>
      </c>
      <c r="G130" s="208"/>
      <c r="H130" s="203"/>
      <c r="I130" s="203"/>
      <c r="J130" s="203"/>
      <c r="K130" s="203"/>
      <c r="L130" s="203"/>
      <c r="M130" s="203"/>
      <c r="N130" s="203"/>
      <c r="O130" s="203"/>
    </row>
    <row r="131" spans="1:15" ht="15" customHeight="1">
      <c r="A131" s="203"/>
      <c r="B131" s="202" t="s">
        <v>141</v>
      </c>
      <c r="C131" s="202"/>
      <c r="D131" s="202" t="s">
        <v>191</v>
      </c>
      <c r="E131" s="202" t="s">
        <v>192</v>
      </c>
      <c r="F131" s="202" t="s">
        <v>192</v>
      </c>
      <c r="G131" s="202" t="s">
        <v>193</v>
      </c>
      <c r="H131" s="202" t="s">
        <v>215</v>
      </c>
      <c r="I131" s="202"/>
      <c r="J131" s="202" t="s">
        <v>216</v>
      </c>
      <c r="K131" s="202" t="s">
        <v>217</v>
      </c>
      <c r="L131" s="203"/>
      <c r="M131" s="203"/>
      <c r="N131" s="203"/>
      <c r="O131" s="203"/>
    </row>
    <row r="132" spans="1:15" ht="15" customHeight="1">
      <c r="A132" s="203"/>
      <c r="B132" s="840">
        <f t="shared" ref="B132:B137" si="14">B91</f>
        <v>2011</v>
      </c>
      <c r="C132" s="840"/>
      <c r="D132" s="208">
        <f t="shared" ref="D132:D137" si="15">VLOOKUP(B132,B$7:E$12,3,FALSE)</f>
        <v>317.33307843804948</v>
      </c>
      <c r="E132" s="244">
        <f t="shared" ref="E132:E137" si="16">IF(G$126=FALSE,"",((COUNT(B$91:B$96)-1))+(B132-$C$4))</f>
        <v>0</v>
      </c>
      <c r="F132" s="245">
        <v>0</v>
      </c>
      <c r="G132" s="246">
        <f>IF(F132="","",F132^2)</f>
        <v>0</v>
      </c>
      <c r="H132" s="231">
        <f>IF(G132="","",ABS(D132-D132))</f>
        <v>0</v>
      </c>
      <c r="I132" s="231"/>
      <c r="J132" s="247">
        <v>0</v>
      </c>
      <c r="K132" s="247">
        <f t="shared" ref="K132:K137" si="17">IF(J132="","",J132*F132)</f>
        <v>0</v>
      </c>
      <c r="L132" s="203"/>
      <c r="M132" s="203"/>
      <c r="N132" s="203"/>
      <c r="O132" s="203"/>
    </row>
    <row r="133" spans="1:15" ht="15" customHeight="1">
      <c r="A133" s="203"/>
      <c r="B133" s="840">
        <f t="shared" si="14"/>
        <v>2012</v>
      </c>
      <c r="C133" s="840"/>
      <c r="D133" s="208">
        <f t="shared" si="15"/>
        <v>318.93605974679502</v>
      </c>
      <c r="E133" s="244">
        <f t="shared" si="16"/>
        <v>1</v>
      </c>
      <c r="F133" s="245">
        <f t="shared" ref="F133:F137" si="18">IF(E133="","",LOG(E133))</f>
        <v>0</v>
      </c>
      <c r="G133" s="246">
        <f t="shared" ref="G133:G137" si="19">IF(F133="","",F133^2)</f>
        <v>0</v>
      </c>
      <c r="H133" s="231">
        <f>IF(G133="","",ABS(D133-D132))</f>
        <v>1.6029813087455409</v>
      </c>
      <c r="I133" s="231"/>
      <c r="J133" s="247">
        <f t="shared" ref="J133:J137" si="20">IF(H133="","",LOG(H133))</f>
        <v>0.20492845837660423</v>
      </c>
      <c r="K133" s="247">
        <f t="shared" si="17"/>
        <v>0</v>
      </c>
      <c r="L133" s="203"/>
      <c r="M133" s="203"/>
      <c r="N133" s="203"/>
      <c r="O133" s="203"/>
    </row>
    <row r="134" spans="1:15" ht="15" customHeight="1">
      <c r="A134" s="203"/>
      <c r="B134" s="840">
        <f t="shared" si="14"/>
        <v>2013</v>
      </c>
      <c r="C134" s="840"/>
      <c r="D134" s="208">
        <f t="shared" si="15"/>
        <v>351.18236541341196</v>
      </c>
      <c r="E134" s="244">
        <f t="shared" si="16"/>
        <v>2</v>
      </c>
      <c r="F134" s="245">
        <f t="shared" si="18"/>
        <v>0.3010299956639812</v>
      </c>
      <c r="G134" s="246">
        <f t="shared" si="19"/>
        <v>9.0619058289456544E-2</v>
      </c>
      <c r="H134" s="231">
        <f>IF(G134="","",ABS(D134-D133))</f>
        <v>32.246305666616934</v>
      </c>
      <c r="I134" s="231"/>
      <c r="J134" s="247">
        <f t="shared" si="20"/>
        <v>1.5084799663974686</v>
      </c>
      <c r="K134" s="247">
        <f t="shared" si="17"/>
        <v>0.45409771774383251</v>
      </c>
      <c r="L134" s="203"/>
      <c r="M134" s="203"/>
      <c r="N134" s="203"/>
      <c r="O134" s="203"/>
    </row>
    <row r="135" spans="1:15" ht="15" customHeight="1">
      <c r="A135" s="203"/>
      <c r="B135" s="840">
        <f t="shared" si="14"/>
        <v>2014</v>
      </c>
      <c r="C135" s="840"/>
      <c r="D135" s="208">
        <f t="shared" si="15"/>
        <v>329.63578821047184</v>
      </c>
      <c r="E135" s="244">
        <f t="shared" si="16"/>
        <v>3</v>
      </c>
      <c r="F135" s="245">
        <f t="shared" si="18"/>
        <v>0.47712125471966244</v>
      </c>
      <c r="G135" s="246">
        <f t="shared" si="19"/>
        <v>0.227644691705265</v>
      </c>
      <c r="H135" s="231">
        <f>IF(G135="","",ABS(D135-D134))</f>
        <v>21.546577202940114</v>
      </c>
      <c r="I135" s="231"/>
      <c r="J135" s="247">
        <f t="shared" si="20"/>
        <v>1.333378289812797</v>
      </c>
      <c r="K135" s="247">
        <f t="shared" si="17"/>
        <v>0.63618312265143939</v>
      </c>
      <c r="L135" s="203"/>
      <c r="M135" s="203"/>
      <c r="N135" s="203"/>
      <c r="O135" s="203"/>
    </row>
    <row r="136" spans="1:15" ht="15" customHeight="1">
      <c r="A136" s="203"/>
      <c r="B136" s="840">
        <f t="shared" si="14"/>
        <v>2015</v>
      </c>
      <c r="C136" s="840"/>
      <c r="D136" s="208">
        <f t="shared" si="15"/>
        <v>286.312995274446</v>
      </c>
      <c r="E136" s="244">
        <f t="shared" si="16"/>
        <v>4</v>
      </c>
      <c r="F136" s="245">
        <f t="shared" si="18"/>
        <v>0.6020599913279624</v>
      </c>
      <c r="G136" s="246">
        <f t="shared" si="19"/>
        <v>0.36247623315782618</v>
      </c>
      <c r="H136" s="231">
        <f>IF(G136="","",ABS(D136-D135))</f>
        <v>43.322792936025849</v>
      </c>
      <c r="I136" s="231"/>
      <c r="J136" s="247">
        <f t="shared" si="20"/>
        <v>1.6367164469746358</v>
      </c>
      <c r="K136" s="247">
        <f t="shared" si="17"/>
        <v>0.9854014898718827</v>
      </c>
      <c r="L136" s="203"/>
      <c r="M136" s="203"/>
      <c r="N136" s="203"/>
      <c r="O136" s="203"/>
    </row>
    <row r="137" spans="1:15" ht="15" customHeight="1">
      <c r="A137" s="203"/>
      <c r="B137" s="840">
        <f t="shared" si="14"/>
        <v>2016</v>
      </c>
      <c r="C137" s="840"/>
      <c r="D137" s="208">
        <f t="shared" si="15"/>
        <v>289.92941317221988</v>
      </c>
      <c r="E137" s="244">
        <f t="shared" si="16"/>
        <v>5</v>
      </c>
      <c r="F137" s="245">
        <f t="shared" si="18"/>
        <v>0.69897000433601886</v>
      </c>
      <c r="G137" s="246">
        <f t="shared" si="19"/>
        <v>0.4885590669614942</v>
      </c>
      <c r="H137" s="231">
        <f>IF(G137="","",ABS(D137-D136))</f>
        <v>3.6164178977738857</v>
      </c>
      <c r="I137" s="231"/>
      <c r="J137" s="247">
        <f t="shared" si="20"/>
        <v>0.55827860991467804</v>
      </c>
      <c r="K137" s="247">
        <f t="shared" si="17"/>
        <v>0.39022000239276911</v>
      </c>
      <c r="L137" s="203"/>
      <c r="M137" s="203"/>
      <c r="N137" s="203"/>
      <c r="O137" s="203"/>
    </row>
    <row r="138" spans="1:15" ht="15" customHeight="1" thickBot="1">
      <c r="A138" s="203"/>
      <c r="B138" s="211" t="s">
        <v>146</v>
      </c>
      <c r="C138" s="212"/>
      <c r="D138" s="248"/>
      <c r="E138" s="249"/>
      <c r="F138" s="250">
        <f>IF(F137="","",ROUND(SUM(F132:F137),6))</f>
        <v>2.0791810000000002</v>
      </c>
      <c r="G138" s="250">
        <f>IF(G137="","",ROUND(SUM(G132:G137),6))</f>
        <v>1.1692990000000001</v>
      </c>
      <c r="H138" s="251"/>
      <c r="I138" s="252"/>
      <c r="J138" s="253">
        <f>IF(J137="","",SUM(J132:J137))</f>
        <v>5.2417817714761838</v>
      </c>
      <c r="K138" s="253">
        <f>IF(K137="","",SUM(K132:K137))</f>
        <v>2.4659023326599234</v>
      </c>
      <c r="L138" s="203"/>
      <c r="M138" s="203"/>
      <c r="N138" s="203"/>
      <c r="O138" s="203"/>
    </row>
    <row r="139" spans="1:15" ht="15" customHeight="1">
      <c r="A139" s="203"/>
      <c r="B139" s="208" t="s">
        <v>219</v>
      </c>
      <c r="C139" s="208"/>
      <c r="D139" s="201" t="s">
        <v>162</v>
      </c>
      <c r="E139" s="201">
        <f>IF(G138="",0,10^ROUND((G138*J138-F138*K138)/((COUNT(B$132:B$137)-1)*G138-F138*F138),5))</f>
        <v>4.5477857864369193</v>
      </c>
      <c r="F139" s="238" t="s">
        <v>220</v>
      </c>
      <c r="G139" s="203"/>
      <c r="H139" s="208"/>
      <c r="I139" s="203"/>
      <c r="J139" s="254">
        <f>IF(G138="",0,ROUND(((COUNT(B$132:B$137)-1)*K138-J138*F138)/((COUNT(B$132:B$137)-1)*G138-F138*F138),5))</f>
        <v>0.93922000000000005</v>
      </c>
      <c r="K139" s="255"/>
      <c r="L139" s="203"/>
      <c r="M139" s="203"/>
      <c r="N139" s="203"/>
      <c r="O139" s="203"/>
    </row>
    <row r="140" spans="1:15" ht="15" customHeight="1">
      <c r="A140" s="203"/>
      <c r="B140" s="203"/>
      <c r="C140" s="203"/>
      <c r="D140" s="238" t="s">
        <v>221</v>
      </c>
      <c r="E140" s="219"/>
      <c r="F140" s="219"/>
      <c r="G140" s="256"/>
      <c r="H140" s="201" t="s">
        <v>222</v>
      </c>
      <c r="I140" s="219" t="s">
        <v>223</v>
      </c>
      <c r="J140" s="201" t="str">
        <f>"A = 10^("&amp;RIGHT(H140,1)&amp;") "</f>
        <v xml:space="preserve">A = 10^(b) </v>
      </c>
      <c r="K140" s="203"/>
      <c r="L140" s="203"/>
      <c r="M140" s="203"/>
      <c r="N140" s="203"/>
      <c r="O140" s="203"/>
    </row>
    <row r="141" spans="1:15" ht="15" customHeight="1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</row>
    <row r="142" spans="1:15" ht="15" customHeight="1" thickBot="1">
      <c r="A142" s="203"/>
      <c r="B142" s="203"/>
      <c r="C142" s="203"/>
      <c r="D142" s="203"/>
      <c r="E142" s="203"/>
      <c r="F142" s="208" t="s">
        <v>200</v>
      </c>
      <c r="G142" s="208"/>
      <c r="H142" s="203"/>
      <c r="I142" s="203"/>
      <c r="J142" s="203"/>
      <c r="K142" s="203"/>
      <c r="L142" s="203"/>
      <c r="M142" s="203"/>
      <c r="N142" s="203"/>
      <c r="O142" s="203"/>
    </row>
    <row r="143" spans="1:15" ht="15" customHeight="1">
      <c r="A143" s="203"/>
      <c r="B143" s="202" t="s">
        <v>141</v>
      </c>
      <c r="C143" s="202"/>
      <c r="D143" s="202" t="s">
        <v>156</v>
      </c>
      <c r="E143" s="202"/>
      <c r="F143" s="202" t="s">
        <v>157</v>
      </c>
      <c r="G143" s="202"/>
      <c r="H143" s="202" t="s">
        <v>158</v>
      </c>
      <c r="I143" s="202"/>
      <c r="J143" s="202" t="s">
        <v>144</v>
      </c>
      <c r="K143" s="202"/>
      <c r="L143" s="203"/>
      <c r="M143" s="203"/>
      <c r="N143" s="203"/>
      <c r="O143" s="203"/>
    </row>
    <row r="144" spans="1:15" ht="15" customHeight="1">
      <c r="A144" s="203"/>
      <c r="B144" s="220">
        <v>2016</v>
      </c>
      <c r="C144" s="221"/>
      <c r="D144" s="257">
        <f>IF(J$139=0,0,ROUNDUP(D$132+E$139*(B144-B$132)^J$139,0))</f>
        <v>338</v>
      </c>
      <c r="E144" s="257"/>
      <c r="F144" s="258">
        <v>0</v>
      </c>
      <c r="G144" s="258"/>
      <c r="H144" s="258">
        <f t="shared" ref="H144:H158" si="21">ROUND(D144*(1+F144),0)</f>
        <v>338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20">
        <v>2017</v>
      </c>
      <c r="C145" s="221"/>
      <c r="D145" s="257">
        <f>IF(J$139=0,0,ROUNDUP(D$132+E$139*(B145-B$132)^J$139,0))</f>
        <v>342</v>
      </c>
      <c r="E145" s="257"/>
      <c r="F145" s="258">
        <v>0</v>
      </c>
      <c r="G145" s="258"/>
      <c r="H145" s="258">
        <f t="shared" si="21"/>
        <v>342</v>
      </c>
      <c r="I145" s="258"/>
      <c r="J145" s="222">
        <v>0</v>
      </c>
      <c r="K145" s="222"/>
      <c r="L145" s="203"/>
      <c r="M145" s="203"/>
      <c r="N145" s="203"/>
      <c r="O145" s="203"/>
    </row>
    <row r="146" spans="1:15" ht="15" customHeight="1">
      <c r="A146" s="203"/>
      <c r="B146" s="220">
        <v>2018</v>
      </c>
      <c r="C146" s="221"/>
      <c r="D146" s="257">
        <f>IF(J$139=0,0,ROUNDUP(D$132+E$139*(B146-B$132)^J$139,0))</f>
        <v>346</v>
      </c>
      <c r="E146" s="257"/>
      <c r="F146" s="258">
        <v>0</v>
      </c>
      <c r="G146" s="258"/>
      <c r="H146" s="258">
        <f t="shared" si="21"/>
        <v>346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2019</v>
      </c>
      <c r="C147" s="221"/>
      <c r="D147" s="257">
        <f t="shared" ref="D147:D163" si="22">IF(J$139=0,0,ROUNDUP(D$132+E$139*(B147-B$132)^J$139,0))</f>
        <v>350</v>
      </c>
      <c r="E147" s="257"/>
      <c r="F147" s="258">
        <v>0</v>
      </c>
      <c r="G147" s="258"/>
      <c r="H147" s="258">
        <f t="shared" si="21"/>
        <v>350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68">
        <v>2020</v>
      </c>
      <c r="C148" s="269"/>
      <c r="D148" s="271">
        <f t="shared" si="22"/>
        <v>354</v>
      </c>
      <c r="E148" s="271"/>
      <c r="F148" s="272">
        <v>0</v>
      </c>
      <c r="G148" s="272"/>
      <c r="H148" s="272">
        <f t="shared" si="21"/>
        <v>354</v>
      </c>
      <c r="I148" s="272"/>
      <c r="J148" s="270">
        <v>0</v>
      </c>
      <c r="K148" s="270"/>
      <c r="L148" s="203"/>
      <c r="M148" s="203"/>
      <c r="N148" s="203"/>
      <c r="O148" s="203"/>
    </row>
    <row r="149" spans="1:15" ht="15" customHeight="1">
      <c r="A149" s="203"/>
      <c r="B149" s="220">
        <v>2021</v>
      </c>
      <c r="C149" s="221"/>
      <c r="D149" s="257">
        <f t="shared" si="22"/>
        <v>357</v>
      </c>
      <c r="E149" s="257"/>
      <c r="F149" s="258">
        <v>0</v>
      </c>
      <c r="G149" s="258"/>
      <c r="H149" s="258">
        <f t="shared" si="21"/>
        <v>357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20">
        <v>2022</v>
      </c>
      <c r="C150" s="221"/>
      <c r="D150" s="257">
        <f t="shared" si="22"/>
        <v>361</v>
      </c>
      <c r="E150" s="257"/>
      <c r="F150" s="258">
        <v>0</v>
      </c>
      <c r="G150" s="258"/>
      <c r="H150" s="258">
        <f t="shared" si="21"/>
        <v>361</v>
      </c>
      <c r="I150" s="258"/>
      <c r="J150" s="222">
        <v>0</v>
      </c>
      <c r="K150" s="222"/>
      <c r="L150" s="203"/>
      <c r="M150" s="203"/>
      <c r="N150" s="203"/>
      <c r="O150" s="203"/>
    </row>
    <row r="151" spans="1:15" ht="15" customHeight="1">
      <c r="A151" s="203"/>
      <c r="B151" s="220">
        <v>2023</v>
      </c>
      <c r="C151" s="221"/>
      <c r="D151" s="257">
        <f t="shared" si="22"/>
        <v>365</v>
      </c>
      <c r="E151" s="257"/>
      <c r="F151" s="258">
        <v>0</v>
      </c>
      <c r="G151" s="258"/>
      <c r="H151" s="258">
        <f t="shared" si="21"/>
        <v>365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2024</v>
      </c>
      <c r="C152" s="221"/>
      <c r="D152" s="257">
        <f t="shared" si="22"/>
        <v>368</v>
      </c>
      <c r="E152" s="257"/>
      <c r="F152" s="258">
        <v>0</v>
      </c>
      <c r="G152" s="258"/>
      <c r="H152" s="258">
        <f t="shared" si="21"/>
        <v>368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68">
        <v>2025</v>
      </c>
      <c r="C153" s="269"/>
      <c r="D153" s="271">
        <f t="shared" si="22"/>
        <v>372</v>
      </c>
      <c r="E153" s="271"/>
      <c r="F153" s="272">
        <v>0</v>
      </c>
      <c r="G153" s="272"/>
      <c r="H153" s="272">
        <f t="shared" si="21"/>
        <v>372</v>
      </c>
      <c r="I153" s="272"/>
      <c r="J153" s="270">
        <v>0</v>
      </c>
      <c r="K153" s="270"/>
      <c r="L153" s="203"/>
      <c r="M153" s="203"/>
      <c r="N153" s="203"/>
      <c r="O153" s="203"/>
    </row>
    <row r="154" spans="1:15" ht="15" customHeight="1">
      <c r="A154" s="203"/>
      <c r="B154" s="220">
        <v>2026</v>
      </c>
      <c r="C154" s="221"/>
      <c r="D154" s="257">
        <f t="shared" si="22"/>
        <v>376</v>
      </c>
      <c r="E154" s="257"/>
      <c r="F154" s="258">
        <v>0</v>
      </c>
      <c r="G154" s="258"/>
      <c r="H154" s="258">
        <f t="shared" si="21"/>
        <v>376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20">
        <v>2027</v>
      </c>
      <c r="C155" s="221"/>
      <c r="D155" s="257">
        <f t="shared" si="22"/>
        <v>379</v>
      </c>
      <c r="E155" s="257"/>
      <c r="F155" s="258">
        <v>0</v>
      </c>
      <c r="G155" s="258"/>
      <c r="H155" s="258">
        <f t="shared" si="21"/>
        <v>379</v>
      </c>
      <c r="I155" s="258"/>
      <c r="J155" s="222">
        <v>0</v>
      </c>
      <c r="K155" s="222"/>
      <c r="L155" s="203"/>
      <c r="M155" s="203"/>
      <c r="N155" s="203"/>
      <c r="O155" s="203"/>
    </row>
    <row r="156" spans="1:15" ht="15" customHeight="1">
      <c r="A156" s="203"/>
      <c r="B156" s="220">
        <v>2028</v>
      </c>
      <c r="C156" s="221"/>
      <c r="D156" s="257">
        <f t="shared" si="22"/>
        <v>383</v>
      </c>
      <c r="E156" s="257"/>
      <c r="F156" s="258">
        <v>0</v>
      </c>
      <c r="G156" s="258"/>
      <c r="H156" s="258">
        <f t="shared" si="21"/>
        <v>383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2029</v>
      </c>
      <c r="C157" s="221"/>
      <c r="D157" s="257">
        <f t="shared" si="22"/>
        <v>387</v>
      </c>
      <c r="E157" s="257"/>
      <c r="F157" s="258">
        <v>0</v>
      </c>
      <c r="G157" s="258"/>
      <c r="H157" s="258">
        <f t="shared" si="21"/>
        <v>387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68">
        <v>2030</v>
      </c>
      <c r="C158" s="269"/>
      <c r="D158" s="271">
        <f t="shared" si="22"/>
        <v>390</v>
      </c>
      <c r="E158" s="271"/>
      <c r="F158" s="272">
        <v>0</v>
      </c>
      <c r="G158" s="272"/>
      <c r="H158" s="272">
        <f t="shared" si="21"/>
        <v>390</v>
      </c>
      <c r="I158" s="272"/>
      <c r="J158" s="270">
        <v>0</v>
      </c>
      <c r="K158" s="270"/>
      <c r="L158" s="203"/>
      <c r="M158" s="203"/>
      <c r="N158" s="203"/>
      <c r="O158" s="203"/>
    </row>
    <row r="159" spans="1:15" ht="15" customHeight="1">
      <c r="A159" s="203"/>
      <c r="B159" s="220">
        <v>2031</v>
      </c>
      <c r="C159" s="221"/>
      <c r="D159" s="257">
        <f t="shared" si="22"/>
        <v>394</v>
      </c>
      <c r="E159" s="257"/>
      <c r="F159" s="258">
        <v>0</v>
      </c>
      <c r="G159" s="258"/>
      <c r="H159" s="258">
        <f>ROUND(D159*(1+F159),0)</f>
        <v>394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>
      <c r="A160" s="203"/>
      <c r="B160" s="220">
        <v>2032</v>
      </c>
      <c r="C160" s="221"/>
      <c r="D160" s="257">
        <f t="shared" si="22"/>
        <v>397</v>
      </c>
      <c r="E160" s="257"/>
      <c r="F160" s="258">
        <v>0</v>
      </c>
      <c r="G160" s="258"/>
      <c r="H160" s="258">
        <f>ROUND(D160*(1+F160),0)</f>
        <v>397</v>
      </c>
      <c r="I160" s="258"/>
      <c r="J160" s="222">
        <v>0</v>
      </c>
      <c r="K160" s="222"/>
      <c r="L160" s="203"/>
      <c r="M160" s="203"/>
      <c r="N160" s="203"/>
      <c r="O160" s="203"/>
    </row>
    <row r="161" spans="1:15" ht="15" customHeight="1">
      <c r="A161" s="203"/>
      <c r="B161" s="220">
        <v>2033</v>
      </c>
      <c r="C161" s="221"/>
      <c r="D161" s="257">
        <f t="shared" si="22"/>
        <v>401</v>
      </c>
      <c r="E161" s="257"/>
      <c r="F161" s="258">
        <v>0</v>
      </c>
      <c r="G161" s="258"/>
      <c r="H161" s="258">
        <f>ROUND(D161*(1+F161),0)</f>
        <v>401</v>
      </c>
      <c r="I161" s="258"/>
      <c r="J161" s="222">
        <v>0</v>
      </c>
      <c r="K161" s="222"/>
      <c r="L161" s="203"/>
      <c r="M161" s="203"/>
      <c r="N161" s="203"/>
      <c r="O161" s="203"/>
    </row>
    <row r="162" spans="1:15" ht="15" customHeight="1">
      <c r="A162" s="203"/>
      <c r="B162" s="220">
        <v>2034</v>
      </c>
      <c r="C162" s="221"/>
      <c r="D162" s="257">
        <f t="shared" si="22"/>
        <v>404</v>
      </c>
      <c r="E162" s="257"/>
      <c r="F162" s="258">
        <v>0</v>
      </c>
      <c r="G162" s="258"/>
      <c r="H162" s="258">
        <f>ROUND(D162*(1+F162),0)</f>
        <v>404</v>
      </c>
      <c r="I162" s="258"/>
      <c r="J162" s="222">
        <v>0</v>
      </c>
      <c r="K162" s="222"/>
      <c r="L162" s="203"/>
      <c r="M162" s="203"/>
      <c r="N162" s="203"/>
      <c r="O162" s="203"/>
    </row>
    <row r="163" spans="1:15" ht="15" customHeight="1" thickBot="1">
      <c r="A163" s="203"/>
      <c r="B163" s="268">
        <v>2035</v>
      </c>
      <c r="C163" s="269"/>
      <c r="D163" s="271">
        <f t="shared" si="22"/>
        <v>408</v>
      </c>
      <c r="E163" s="271"/>
      <c r="F163" s="272">
        <v>0</v>
      </c>
      <c r="G163" s="272"/>
      <c r="H163" s="272">
        <f>ROUND(D163*(1+F163),0)</f>
        <v>408</v>
      </c>
      <c r="I163" s="272"/>
      <c r="J163" s="270">
        <v>0</v>
      </c>
      <c r="K163" s="270"/>
      <c r="L163" s="203"/>
      <c r="M163" s="203"/>
      <c r="N163" s="203"/>
      <c r="O163" s="203"/>
    </row>
    <row r="164" spans="1:15" ht="15" customHeight="1">
      <c r="A164" s="203"/>
      <c r="B164" s="226"/>
      <c r="C164" s="226"/>
      <c r="D164" s="226"/>
      <c r="E164" s="226"/>
      <c r="F164" s="226"/>
      <c r="G164" s="226"/>
      <c r="H164" s="226"/>
      <c r="I164" s="226"/>
      <c r="J164" s="226"/>
      <c r="K164" s="226"/>
      <c r="L164" s="203"/>
      <c r="M164" s="203"/>
      <c r="N164" s="203"/>
      <c r="O164" s="203"/>
    </row>
    <row r="165" spans="1:15" ht="15" customHeight="1">
      <c r="A165" s="203"/>
      <c r="B165" s="239"/>
      <c r="C165" s="239"/>
      <c r="D165" s="239"/>
      <c r="E165" s="239"/>
      <c r="F165" s="239"/>
      <c r="G165" s="239"/>
      <c r="H165" s="239"/>
      <c r="I165" s="239"/>
      <c r="J165" s="239"/>
      <c r="K165" s="239"/>
      <c r="L165" s="203"/>
      <c r="M165" s="203"/>
      <c r="N165" s="203"/>
      <c r="O165" s="203"/>
    </row>
    <row r="166" spans="1:15" ht="15" customHeight="1">
      <c r="A166" s="203"/>
      <c r="B166" s="239"/>
      <c r="C166" s="239"/>
      <c r="D166" s="239"/>
      <c r="E166" s="239"/>
      <c r="F166" s="239"/>
      <c r="G166" s="239"/>
      <c r="H166" s="239"/>
      <c r="I166" s="239"/>
      <c r="J166" s="239"/>
      <c r="K166" s="239"/>
      <c r="L166" s="203"/>
      <c r="M166" s="203"/>
      <c r="N166" s="203"/>
      <c r="O166" s="203"/>
    </row>
    <row r="167" spans="1:15" ht="15" customHeight="1">
      <c r="A167" s="203"/>
      <c r="B167" s="239"/>
      <c r="C167" s="239"/>
      <c r="D167" s="239"/>
      <c r="E167" s="239"/>
      <c r="F167" s="239"/>
      <c r="G167" s="239"/>
      <c r="H167" s="239"/>
      <c r="I167" s="239"/>
      <c r="J167" s="239"/>
      <c r="K167" s="239"/>
      <c r="L167" s="203"/>
      <c r="M167" s="203"/>
      <c r="N167" s="203"/>
      <c r="O167" s="203"/>
    </row>
    <row r="168" spans="1:15" ht="15" customHeight="1">
      <c r="A168" s="203"/>
      <c r="B168" s="239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18" t="s">
        <v>229</v>
      </c>
      <c r="C169" s="219"/>
      <c r="D169" s="219"/>
      <c r="E169" s="219"/>
      <c r="F169" s="219"/>
      <c r="G169" s="219"/>
      <c r="H169" s="203"/>
      <c r="I169" s="203"/>
      <c r="J169" s="203"/>
      <c r="K169" s="203"/>
      <c r="L169" s="203"/>
      <c r="M169" s="203"/>
      <c r="N169" s="203"/>
      <c r="O169" s="203"/>
    </row>
    <row r="170" spans="1:15" ht="15" customHeight="1">
      <c r="A170" s="203"/>
      <c r="B170" s="203"/>
      <c r="C170" s="219" t="s">
        <v>148</v>
      </c>
      <c r="D170" s="219" t="s">
        <v>231</v>
      </c>
      <c r="E170" s="219"/>
      <c r="F170" s="219"/>
      <c r="G170" s="219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1"/>
      <c r="C171" s="228" t="s">
        <v>185</v>
      </c>
      <c r="D171" s="219" t="s">
        <v>207</v>
      </c>
      <c r="E171" s="219"/>
      <c r="F171" s="201"/>
      <c r="G171" s="203"/>
      <c r="H171" s="203"/>
      <c r="I171" s="203"/>
      <c r="J171" s="203"/>
      <c r="K171" s="203"/>
      <c r="L171" s="203"/>
      <c r="M171" s="203"/>
      <c r="N171" s="203"/>
      <c r="O171" s="203"/>
    </row>
    <row r="172" spans="1:15" ht="15" customHeight="1">
      <c r="A172" s="203"/>
      <c r="B172" s="201"/>
      <c r="C172" s="228"/>
      <c r="D172" s="219" t="s">
        <v>234</v>
      </c>
      <c r="E172" s="2250">
        <f>K7</f>
        <v>600</v>
      </c>
      <c r="F172" s="2250"/>
      <c r="G172" s="219" t="s">
        <v>235</v>
      </c>
      <c r="H172" s="219"/>
      <c r="I172" s="203"/>
      <c r="J172" s="203"/>
      <c r="K172" s="203"/>
      <c r="L172" s="203"/>
      <c r="M172" s="203"/>
      <c r="N172" s="203"/>
      <c r="O172" s="203"/>
    </row>
    <row r="173" spans="1:15" ht="15" customHeight="1" thickBot="1">
      <c r="A173" s="203"/>
      <c r="B173" s="203"/>
      <c r="C173" s="203"/>
      <c r="D173" s="203"/>
      <c r="E173" s="203"/>
      <c r="F173" s="208" t="s">
        <v>236</v>
      </c>
      <c r="G173" s="208"/>
      <c r="H173" s="203"/>
      <c r="I173" s="203"/>
      <c r="J173" s="203"/>
      <c r="K173" s="203"/>
      <c r="L173" s="203"/>
      <c r="M173" s="203"/>
      <c r="N173" s="203"/>
      <c r="O173" s="203"/>
    </row>
    <row r="174" spans="1:15" ht="15" customHeight="1">
      <c r="A174" s="203"/>
      <c r="B174" s="202" t="s">
        <v>141</v>
      </c>
      <c r="C174" s="202"/>
      <c r="D174" s="202" t="s">
        <v>191</v>
      </c>
      <c r="E174" s="202" t="s">
        <v>192</v>
      </c>
      <c r="F174" s="202" t="s">
        <v>193</v>
      </c>
      <c r="G174" s="202" t="s">
        <v>241</v>
      </c>
      <c r="H174" s="202" t="s">
        <v>242</v>
      </c>
      <c r="I174" s="202" t="s">
        <v>243</v>
      </c>
      <c r="J174" s="202" t="s">
        <v>216</v>
      </c>
      <c r="K174" s="202" t="s">
        <v>245</v>
      </c>
      <c r="L174" s="203"/>
      <c r="M174" s="203"/>
      <c r="N174" s="203"/>
      <c r="O174" s="203"/>
    </row>
    <row r="175" spans="1:15" ht="15" customHeight="1">
      <c r="A175" s="203"/>
      <c r="B175" s="840">
        <f t="shared" ref="B175:B180" si="23">B132</f>
        <v>2011</v>
      </c>
      <c r="C175" s="840"/>
      <c r="D175" s="208">
        <f t="shared" ref="D175:D180" si="24">VLOOKUP(B175,B$7:E$12,3,FALSE)</f>
        <v>317.33307843804948</v>
      </c>
      <c r="E175" s="244">
        <f t="shared" ref="E175:E180" si="25">((COUNT(B$175:B$180)-1)/2)+(B175-$C$4)</f>
        <v>-2.5</v>
      </c>
      <c r="F175" s="206">
        <f t="shared" ref="F175:F180" si="26">E175^2</f>
        <v>6.25</v>
      </c>
      <c r="G175" s="844">
        <f t="shared" ref="G175:G180" si="27">E$172-D175</f>
        <v>282.66692156195052</v>
      </c>
      <c r="H175" s="259">
        <f t="shared" ref="H175:H180" si="28">LOG(D175)</f>
        <v>2.5015153448213465</v>
      </c>
      <c r="I175" s="245">
        <f t="shared" ref="I175:I180" si="29">LOG(G175)</f>
        <v>2.4512749891628722</v>
      </c>
      <c r="J175" s="246">
        <f t="shared" ref="J175:J180" si="30">H175-I175</f>
        <v>5.0240355658474289E-2</v>
      </c>
      <c r="K175" s="246">
        <f t="shared" ref="K175:K180" si="31">E175*J175</f>
        <v>-0.12560088914618572</v>
      </c>
      <c r="L175" s="203"/>
      <c r="M175" s="203"/>
      <c r="N175" s="203"/>
      <c r="O175" s="203"/>
    </row>
    <row r="176" spans="1:15" ht="15" customHeight="1">
      <c r="A176" s="203"/>
      <c r="B176" s="840">
        <f t="shared" si="23"/>
        <v>2012</v>
      </c>
      <c r="C176" s="840"/>
      <c r="D176" s="208">
        <f t="shared" si="24"/>
        <v>318.93605974679502</v>
      </c>
      <c r="E176" s="244">
        <f t="shared" si="25"/>
        <v>-1.5</v>
      </c>
      <c r="F176" s="206">
        <f t="shared" si="26"/>
        <v>2.25</v>
      </c>
      <c r="G176" s="844">
        <f t="shared" si="27"/>
        <v>281.06394025320498</v>
      </c>
      <c r="H176" s="259">
        <f t="shared" si="28"/>
        <v>2.5037036244913353</v>
      </c>
      <c r="I176" s="245">
        <f t="shared" si="29"/>
        <v>2.4488051303686924</v>
      </c>
      <c r="J176" s="246">
        <f t="shared" si="30"/>
        <v>5.4898494122642916E-2</v>
      </c>
      <c r="K176" s="246">
        <f t="shared" si="31"/>
        <v>-8.2347741183964374E-2</v>
      </c>
      <c r="L176" s="203"/>
      <c r="M176" s="203"/>
      <c r="N176" s="203"/>
      <c r="O176" s="203"/>
    </row>
    <row r="177" spans="1:15" ht="15" customHeight="1">
      <c r="A177" s="203"/>
      <c r="B177" s="840">
        <f t="shared" si="23"/>
        <v>2013</v>
      </c>
      <c r="C177" s="840"/>
      <c r="D177" s="208">
        <f t="shared" si="24"/>
        <v>351.18236541341196</v>
      </c>
      <c r="E177" s="244">
        <f t="shared" si="25"/>
        <v>-0.5</v>
      </c>
      <c r="F177" s="206">
        <f t="shared" si="26"/>
        <v>0.25</v>
      </c>
      <c r="G177" s="844">
        <f t="shared" si="27"/>
        <v>248.81763458658804</v>
      </c>
      <c r="H177" s="259">
        <f t="shared" si="28"/>
        <v>2.5455326997285677</v>
      </c>
      <c r="I177" s="245">
        <f t="shared" si="29"/>
        <v>2.3958811570969294</v>
      </c>
      <c r="J177" s="246">
        <f t="shared" si="30"/>
        <v>0.14965154263163827</v>
      </c>
      <c r="K177" s="246">
        <f t="shared" si="31"/>
        <v>-7.4825771315819134E-2</v>
      </c>
      <c r="L177" s="203"/>
      <c r="M177" s="203"/>
      <c r="N177" s="203"/>
      <c r="O177" s="203"/>
    </row>
    <row r="178" spans="1:15" ht="15" customHeight="1">
      <c r="A178" s="203"/>
      <c r="B178" s="840">
        <f t="shared" si="23"/>
        <v>2014</v>
      </c>
      <c r="C178" s="840"/>
      <c r="D178" s="208">
        <f t="shared" si="24"/>
        <v>329.63578821047184</v>
      </c>
      <c r="E178" s="244">
        <f t="shared" si="25"/>
        <v>0.5</v>
      </c>
      <c r="F178" s="206">
        <f t="shared" si="26"/>
        <v>0.25</v>
      </c>
      <c r="G178" s="844">
        <f t="shared" si="27"/>
        <v>270.36421178952816</v>
      </c>
      <c r="H178" s="259">
        <f t="shared" si="28"/>
        <v>2.518034356479482</v>
      </c>
      <c r="I178" s="245">
        <f t="shared" si="29"/>
        <v>2.4319492033532852</v>
      </c>
      <c r="J178" s="246">
        <f t="shared" si="30"/>
        <v>8.6085153126196801E-2</v>
      </c>
      <c r="K178" s="246">
        <f t="shared" si="31"/>
        <v>4.30425765630984E-2</v>
      </c>
      <c r="L178" s="203"/>
      <c r="M178" s="203"/>
      <c r="N178" s="203"/>
      <c r="O178" s="203"/>
    </row>
    <row r="179" spans="1:15" ht="15" customHeight="1">
      <c r="A179" s="203"/>
      <c r="B179" s="840">
        <f t="shared" si="23"/>
        <v>2015</v>
      </c>
      <c r="C179" s="840"/>
      <c r="D179" s="208">
        <f t="shared" si="24"/>
        <v>286.312995274446</v>
      </c>
      <c r="E179" s="244">
        <f t="shared" si="25"/>
        <v>1.5</v>
      </c>
      <c r="F179" s="206">
        <f t="shared" si="26"/>
        <v>2.25</v>
      </c>
      <c r="G179" s="844">
        <f t="shared" si="27"/>
        <v>313.687004725554</v>
      </c>
      <c r="H179" s="259">
        <f t="shared" si="28"/>
        <v>2.4568410603789159</v>
      </c>
      <c r="I179" s="245">
        <f t="shared" si="29"/>
        <v>2.4964965273273756</v>
      </c>
      <c r="J179" s="246">
        <f t="shared" si="30"/>
        <v>-3.9655466948459672E-2</v>
      </c>
      <c r="K179" s="246">
        <f t="shared" si="31"/>
        <v>-5.9483200422689508E-2</v>
      </c>
      <c r="L179" s="203"/>
      <c r="M179" s="203"/>
      <c r="N179" s="203"/>
      <c r="O179" s="203"/>
    </row>
    <row r="180" spans="1:15" ht="15" customHeight="1">
      <c r="A180" s="203"/>
      <c r="B180" s="840">
        <f t="shared" si="23"/>
        <v>2016</v>
      </c>
      <c r="C180" s="840"/>
      <c r="D180" s="208">
        <f t="shared" si="24"/>
        <v>289.92941317221988</v>
      </c>
      <c r="E180" s="244">
        <f t="shared" si="25"/>
        <v>2.5</v>
      </c>
      <c r="F180" s="206">
        <f t="shared" si="26"/>
        <v>6.25</v>
      </c>
      <c r="G180" s="844">
        <f t="shared" si="27"/>
        <v>310.07058682778012</v>
      </c>
      <c r="H180" s="259">
        <f t="shared" si="28"/>
        <v>2.4622922765154391</v>
      </c>
      <c r="I180" s="245">
        <f t="shared" si="29"/>
        <v>2.4914605711897981</v>
      </c>
      <c r="J180" s="246">
        <f t="shared" si="30"/>
        <v>-2.9168294674358997E-2</v>
      </c>
      <c r="K180" s="246">
        <f t="shared" si="31"/>
        <v>-7.2920736685897491E-2</v>
      </c>
      <c r="L180" s="203"/>
      <c r="M180" s="203"/>
      <c r="N180" s="203"/>
      <c r="O180" s="203"/>
    </row>
    <row r="181" spans="1:15" ht="15" customHeight="1" thickBot="1">
      <c r="A181" s="203"/>
      <c r="B181" s="211" t="s">
        <v>146</v>
      </c>
      <c r="C181" s="212"/>
      <c r="D181" s="260">
        <f>SUM(D175:D180)</f>
        <v>1893.3297002553941</v>
      </c>
      <c r="E181" s="261">
        <f>SUM(E175:E180)</f>
        <v>0</v>
      </c>
      <c r="F181" s="262">
        <f>ROUND(SUM(F175:F180),0)</f>
        <v>18</v>
      </c>
      <c r="G181" s="249"/>
      <c r="H181" s="251"/>
      <c r="I181" s="252"/>
      <c r="J181" s="263">
        <f>SUM(J175:J180)</f>
        <v>0.2720517839161336</v>
      </c>
      <c r="K181" s="263">
        <f>SUM(K175:K180)</f>
        <v>-0.37213576219145783</v>
      </c>
      <c r="L181" s="203"/>
      <c r="M181" s="203"/>
      <c r="N181" s="203"/>
      <c r="O181" s="203"/>
    </row>
    <row r="182" spans="1:15" ht="15" customHeight="1">
      <c r="A182" s="203"/>
      <c r="B182" s="208" t="s">
        <v>246</v>
      </c>
      <c r="C182" s="208"/>
      <c r="D182" s="201" t="s">
        <v>247</v>
      </c>
      <c r="E182" s="236" t="s">
        <v>248</v>
      </c>
      <c r="F182" s="203"/>
      <c r="G182" s="219" t="str">
        <f>"X = x × LOG e = "&amp;E181&amp;" 이고,"</f>
        <v>X = x × LOG e = 0 이고,</v>
      </c>
      <c r="H182" s="219"/>
      <c r="I182" s="219" t="s">
        <v>249</v>
      </c>
      <c r="J182" s="219"/>
      <c r="K182" s="201"/>
      <c r="L182" s="203"/>
      <c r="M182" s="203"/>
      <c r="N182" s="203"/>
      <c r="O182" s="203"/>
    </row>
    <row r="183" spans="1:15" ht="15" customHeight="1">
      <c r="A183" s="203"/>
      <c r="B183" s="203"/>
      <c r="C183" s="203"/>
      <c r="D183" s="219" t="s">
        <v>250</v>
      </c>
      <c r="E183" s="219"/>
      <c r="F183" s="219"/>
      <c r="G183" s="219"/>
      <c r="H183" s="254">
        <f>ROUND(((E$181*K$181-F$181*J$181)/(COUNT(B$175:B$180)*F$181-E$181*E$181))/LOG(EXP(1)),5)</f>
        <v>-0.10440000000000001</v>
      </c>
      <c r="I183" s="219"/>
      <c r="J183" s="219"/>
      <c r="K183" s="203"/>
      <c r="L183" s="203"/>
      <c r="M183" s="203"/>
      <c r="N183" s="203"/>
      <c r="O183" s="203"/>
    </row>
    <row r="184" spans="1:15" ht="15" customHeight="1">
      <c r="A184" s="203"/>
      <c r="B184" s="203"/>
      <c r="C184" s="203"/>
      <c r="D184" s="219" t="s">
        <v>251</v>
      </c>
      <c r="E184" s="219"/>
      <c r="F184" s="219"/>
      <c r="G184" s="264" t="s">
        <v>252</v>
      </c>
      <c r="H184" s="219"/>
      <c r="I184" s="219"/>
      <c r="J184" s="219"/>
      <c r="K184" s="265">
        <f>ROUND((COUNT(B$175:B$180)*K181-E181*J181)/(LOG(EXP(1))*(COUNT(B$175:B$180)*F181-E181*E181)),6)</f>
        <v>-4.7604E-2</v>
      </c>
      <c r="L184" s="203"/>
      <c r="M184" s="203"/>
      <c r="N184" s="203"/>
      <c r="O184" s="203"/>
    </row>
    <row r="185" spans="1:15" ht="15" customHeight="1">
      <c r="A185" s="203"/>
      <c r="B185" s="203"/>
      <c r="C185" s="203"/>
      <c r="D185" s="219"/>
      <c r="E185" s="203"/>
      <c r="F185" s="201"/>
      <c r="G185" s="201"/>
      <c r="H185" s="219"/>
      <c r="I185" s="219"/>
      <c r="J185" s="256"/>
      <c r="K185" s="203"/>
      <c r="L185" s="203"/>
      <c r="M185" s="203"/>
      <c r="N185" s="203"/>
      <c r="O185" s="203"/>
    </row>
    <row r="186" spans="1:15" ht="15" customHeight="1" thickBot="1">
      <c r="A186" s="203"/>
      <c r="B186" s="203"/>
      <c r="C186" s="203"/>
      <c r="D186" s="203"/>
      <c r="E186" s="203"/>
      <c r="F186" s="208" t="s">
        <v>200</v>
      </c>
      <c r="G186" s="208"/>
      <c r="H186" s="203"/>
      <c r="I186" s="203"/>
      <c r="J186" s="203"/>
      <c r="K186" s="203"/>
      <c r="L186" s="203"/>
      <c r="M186" s="203"/>
      <c r="N186" s="203"/>
      <c r="O186" s="203"/>
    </row>
    <row r="187" spans="1:15" ht="15" customHeight="1">
      <c r="A187" s="203"/>
      <c r="B187" s="202" t="s">
        <v>141</v>
      </c>
      <c r="C187" s="202"/>
      <c r="D187" s="202" t="s">
        <v>156</v>
      </c>
      <c r="E187" s="202"/>
      <c r="F187" s="202" t="s">
        <v>157</v>
      </c>
      <c r="G187" s="202"/>
      <c r="H187" s="202" t="s">
        <v>158</v>
      </c>
      <c r="I187" s="202"/>
      <c r="J187" s="202" t="s">
        <v>144</v>
      </c>
      <c r="K187" s="202"/>
      <c r="L187" s="203"/>
      <c r="M187" s="203"/>
      <c r="N187" s="203"/>
      <c r="O187" s="203"/>
    </row>
    <row r="188" spans="1:15" ht="15" customHeight="1">
      <c r="A188" s="203"/>
      <c r="B188" s="220">
        <v>2016</v>
      </c>
      <c r="C188" s="221"/>
      <c r="D188" s="221">
        <f t="shared" ref="D188:D207" si="32">ROUNDUP(E$172/(1+EXP(1)^(H$183-K$184*(B188-B$176+0.5))),0)</f>
        <v>284</v>
      </c>
      <c r="E188" s="221"/>
      <c r="F188" s="221">
        <v>0</v>
      </c>
      <c r="G188" s="221"/>
      <c r="H188" s="221">
        <f t="shared" ref="H188:H202" si="33">ROUND(D188*(1+F188),0)</f>
        <v>284</v>
      </c>
      <c r="I188" s="221"/>
      <c r="J188" s="222">
        <v>0</v>
      </c>
      <c r="K188" s="222"/>
      <c r="L188" s="203"/>
      <c r="M188" s="203"/>
      <c r="N188" s="203"/>
      <c r="O188" s="203"/>
    </row>
    <row r="189" spans="1:15" ht="15" customHeight="1">
      <c r="A189" s="203"/>
      <c r="B189" s="220">
        <v>2017</v>
      </c>
      <c r="C189" s="221"/>
      <c r="D189" s="221">
        <f t="shared" si="32"/>
        <v>277</v>
      </c>
      <c r="E189" s="221"/>
      <c r="F189" s="221">
        <v>0</v>
      </c>
      <c r="G189" s="221"/>
      <c r="H189" s="221">
        <f t="shared" si="33"/>
        <v>277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2018</v>
      </c>
      <c r="C190" s="221"/>
      <c r="D190" s="221">
        <f t="shared" si="32"/>
        <v>270</v>
      </c>
      <c r="E190" s="221"/>
      <c r="F190" s="221">
        <v>0</v>
      </c>
      <c r="G190" s="221"/>
      <c r="H190" s="221">
        <f t="shared" si="33"/>
        <v>270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2019</v>
      </c>
      <c r="C191" s="221"/>
      <c r="D191" s="221">
        <f t="shared" si="32"/>
        <v>263</v>
      </c>
      <c r="E191" s="221"/>
      <c r="F191" s="221">
        <v>0</v>
      </c>
      <c r="G191" s="221"/>
      <c r="H191" s="221">
        <f t="shared" si="33"/>
        <v>263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68">
        <v>2020</v>
      </c>
      <c r="C192" s="269"/>
      <c r="D192" s="269">
        <f t="shared" si="32"/>
        <v>256</v>
      </c>
      <c r="E192" s="269"/>
      <c r="F192" s="269">
        <v>0</v>
      </c>
      <c r="G192" s="269"/>
      <c r="H192" s="269">
        <f t="shared" si="33"/>
        <v>256</v>
      </c>
      <c r="I192" s="269"/>
      <c r="J192" s="270">
        <v>0</v>
      </c>
      <c r="K192" s="270"/>
      <c r="L192" s="203"/>
      <c r="M192" s="203"/>
      <c r="N192" s="203"/>
      <c r="O192" s="203"/>
    </row>
    <row r="193" spans="1:15" ht="15" customHeight="1">
      <c r="A193" s="203"/>
      <c r="B193" s="220">
        <v>2021</v>
      </c>
      <c r="C193" s="221"/>
      <c r="D193" s="221">
        <f t="shared" si="32"/>
        <v>249</v>
      </c>
      <c r="E193" s="221"/>
      <c r="F193" s="221">
        <v>0</v>
      </c>
      <c r="G193" s="221"/>
      <c r="H193" s="221">
        <f t="shared" si="33"/>
        <v>249</v>
      </c>
      <c r="I193" s="221"/>
      <c r="J193" s="222">
        <v>0</v>
      </c>
      <c r="K193" s="222"/>
      <c r="L193" s="203"/>
      <c r="M193" s="203"/>
      <c r="N193" s="203"/>
      <c r="O193" s="203"/>
    </row>
    <row r="194" spans="1:15" ht="15" customHeight="1">
      <c r="A194" s="203"/>
      <c r="B194" s="220">
        <v>2022</v>
      </c>
      <c r="C194" s="221"/>
      <c r="D194" s="221">
        <f t="shared" si="32"/>
        <v>242</v>
      </c>
      <c r="E194" s="221"/>
      <c r="F194" s="221">
        <v>0</v>
      </c>
      <c r="G194" s="221"/>
      <c r="H194" s="221">
        <f t="shared" si="33"/>
        <v>242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2023</v>
      </c>
      <c r="C195" s="221"/>
      <c r="D195" s="221">
        <f t="shared" si="32"/>
        <v>235</v>
      </c>
      <c r="E195" s="221"/>
      <c r="F195" s="221">
        <v>0</v>
      </c>
      <c r="G195" s="221"/>
      <c r="H195" s="221">
        <f t="shared" si="33"/>
        <v>235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2024</v>
      </c>
      <c r="C196" s="221"/>
      <c r="D196" s="221">
        <f t="shared" si="32"/>
        <v>228</v>
      </c>
      <c r="E196" s="221"/>
      <c r="F196" s="221">
        <v>0</v>
      </c>
      <c r="G196" s="221"/>
      <c r="H196" s="221">
        <f t="shared" si="33"/>
        <v>228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68">
        <v>2025</v>
      </c>
      <c r="C197" s="269"/>
      <c r="D197" s="269">
        <f t="shared" si="32"/>
        <v>222</v>
      </c>
      <c r="E197" s="269"/>
      <c r="F197" s="269">
        <v>0</v>
      </c>
      <c r="G197" s="269"/>
      <c r="H197" s="269">
        <f t="shared" si="33"/>
        <v>222</v>
      </c>
      <c r="I197" s="269"/>
      <c r="J197" s="270">
        <v>0</v>
      </c>
      <c r="K197" s="270"/>
      <c r="L197" s="203"/>
      <c r="M197" s="203"/>
      <c r="N197" s="203"/>
      <c r="O197" s="203"/>
    </row>
    <row r="198" spans="1:15" ht="15" customHeight="1">
      <c r="A198" s="203"/>
      <c r="B198" s="220">
        <v>2026</v>
      </c>
      <c r="C198" s="221"/>
      <c r="D198" s="221">
        <f t="shared" si="32"/>
        <v>215</v>
      </c>
      <c r="E198" s="221"/>
      <c r="F198" s="221">
        <v>0</v>
      </c>
      <c r="G198" s="221"/>
      <c r="H198" s="221">
        <f t="shared" si="33"/>
        <v>215</v>
      </c>
      <c r="I198" s="221"/>
      <c r="J198" s="222">
        <v>0</v>
      </c>
      <c r="K198" s="222"/>
      <c r="L198" s="203"/>
      <c r="M198" s="203"/>
      <c r="N198" s="203"/>
      <c r="O198" s="203"/>
    </row>
    <row r="199" spans="1:15" ht="15" customHeight="1">
      <c r="A199" s="203"/>
      <c r="B199" s="220">
        <v>2027</v>
      </c>
      <c r="C199" s="221"/>
      <c r="D199" s="221">
        <f t="shared" si="32"/>
        <v>209</v>
      </c>
      <c r="E199" s="221"/>
      <c r="F199" s="221">
        <v>0</v>
      </c>
      <c r="G199" s="221"/>
      <c r="H199" s="221">
        <f t="shared" si="33"/>
        <v>209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2028</v>
      </c>
      <c r="C200" s="221"/>
      <c r="D200" s="221">
        <f t="shared" si="32"/>
        <v>202</v>
      </c>
      <c r="E200" s="221"/>
      <c r="F200" s="221">
        <v>0</v>
      </c>
      <c r="G200" s="221"/>
      <c r="H200" s="221">
        <f t="shared" si="33"/>
        <v>202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2029</v>
      </c>
      <c r="C201" s="221"/>
      <c r="D201" s="221">
        <f t="shared" si="32"/>
        <v>196</v>
      </c>
      <c r="E201" s="221"/>
      <c r="F201" s="221">
        <v>0</v>
      </c>
      <c r="G201" s="221"/>
      <c r="H201" s="221">
        <f t="shared" si="33"/>
        <v>196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68">
        <v>2030</v>
      </c>
      <c r="C202" s="269"/>
      <c r="D202" s="269">
        <f t="shared" si="32"/>
        <v>190</v>
      </c>
      <c r="E202" s="269"/>
      <c r="F202" s="269">
        <v>0</v>
      </c>
      <c r="G202" s="269"/>
      <c r="H202" s="269">
        <f t="shared" si="33"/>
        <v>190</v>
      </c>
      <c r="I202" s="269"/>
      <c r="J202" s="270">
        <v>0</v>
      </c>
      <c r="K202" s="270"/>
      <c r="L202" s="203"/>
      <c r="M202" s="203"/>
      <c r="N202" s="203"/>
      <c r="O202" s="203"/>
    </row>
    <row r="203" spans="1:15" ht="15" customHeight="1">
      <c r="A203" s="203"/>
      <c r="B203" s="220">
        <v>2031</v>
      </c>
      <c r="C203" s="221"/>
      <c r="D203" s="221">
        <f t="shared" si="32"/>
        <v>183</v>
      </c>
      <c r="E203" s="221"/>
      <c r="F203" s="221">
        <v>0</v>
      </c>
      <c r="G203" s="221"/>
      <c r="H203" s="221">
        <f>ROUND(D203*(1+F203),0)</f>
        <v>183</v>
      </c>
      <c r="I203" s="221"/>
      <c r="J203" s="222">
        <v>0</v>
      </c>
      <c r="K203" s="222"/>
      <c r="L203" s="203"/>
      <c r="M203" s="203"/>
      <c r="N203" s="203"/>
      <c r="O203" s="203"/>
    </row>
    <row r="204" spans="1:15" ht="15" customHeight="1">
      <c r="A204" s="203"/>
      <c r="B204" s="220">
        <v>2032</v>
      </c>
      <c r="C204" s="221"/>
      <c r="D204" s="221">
        <f t="shared" si="32"/>
        <v>177</v>
      </c>
      <c r="E204" s="221"/>
      <c r="F204" s="221">
        <v>0</v>
      </c>
      <c r="G204" s="221"/>
      <c r="H204" s="221">
        <f>ROUND(D204*(1+F204),0)</f>
        <v>177</v>
      </c>
      <c r="I204" s="221"/>
      <c r="J204" s="222">
        <v>0</v>
      </c>
      <c r="K204" s="222"/>
      <c r="L204" s="203"/>
      <c r="M204" s="203"/>
      <c r="N204" s="203"/>
      <c r="O204" s="203"/>
    </row>
    <row r="205" spans="1:15" ht="15" customHeight="1">
      <c r="A205" s="203"/>
      <c r="B205" s="220">
        <v>2033</v>
      </c>
      <c r="C205" s="221"/>
      <c r="D205" s="221">
        <f t="shared" si="32"/>
        <v>172</v>
      </c>
      <c r="E205" s="221"/>
      <c r="F205" s="221">
        <v>0</v>
      </c>
      <c r="G205" s="221"/>
      <c r="H205" s="221">
        <f>ROUND(D205*(1+F205),0)</f>
        <v>172</v>
      </c>
      <c r="I205" s="221"/>
      <c r="J205" s="222">
        <v>0</v>
      </c>
      <c r="K205" s="222"/>
      <c r="L205" s="203"/>
      <c r="M205" s="203"/>
      <c r="N205" s="203"/>
      <c r="O205" s="203"/>
    </row>
    <row r="206" spans="1:15" ht="15" customHeight="1">
      <c r="A206" s="203"/>
      <c r="B206" s="220">
        <v>2034</v>
      </c>
      <c r="C206" s="221"/>
      <c r="D206" s="221">
        <f t="shared" si="32"/>
        <v>166</v>
      </c>
      <c r="E206" s="221"/>
      <c r="F206" s="221">
        <v>0</v>
      </c>
      <c r="G206" s="221"/>
      <c r="H206" s="221">
        <f>ROUND(D206*(1+F206),0)</f>
        <v>166</v>
      </c>
      <c r="I206" s="221"/>
      <c r="J206" s="222">
        <v>0</v>
      </c>
      <c r="K206" s="222"/>
      <c r="L206" s="203"/>
      <c r="M206" s="203"/>
      <c r="N206" s="203"/>
      <c r="O206" s="203"/>
    </row>
    <row r="207" spans="1:15" ht="15" customHeight="1" thickBot="1">
      <c r="A207" s="203"/>
      <c r="B207" s="268">
        <v>2035</v>
      </c>
      <c r="C207" s="269"/>
      <c r="D207" s="269">
        <f t="shared" si="32"/>
        <v>160</v>
      </c>
      <c r="E207" s="269"/>
      <c r="F207" s="269">
        <v>0</v>
      </c>
      <c r="G207" s="269"/>
      <c r="H207" s="269">
        <f>ROUND(D207*(1+F207),0)</f>
        <v>160</v>
      </c>
      <c r="I207" s="269"/>
      <c r="J207" s="270">
        <v>0</v>
      </c>
      <c r="K207" s="270"/>
      <c r="L207" s="203"/>
      <c r="M207" s="203"/>
      <c r="N207" s="203"/>
      <c r="O207" s="203"/>
    </row>
    <row r="208" spans="1:15" ht="15" customHeight="1">
      <c r="A208" s="203"/>
      <c r="B208" s="226"/>
      <c r="C208" s="226"/>
      <c r="D208" s="226"/>
      <c r="E208" s="226"/>
      <c r="F208" s="226"/>
      <c r="G208" s="226"/>
      <c r="H208" s="226"/>
      <c r="I208" s="226"/>
      <c r="J208" s="226"/>
      <c r="K208" s="226"/>
      <c r="L208" s="203"/>
      <c r="M208" s="203"/>
      <c r="N208" s="203"/>
      <c r="O208" s="203"/>
    </row>
    <row r="209" spans="1:15" ht="15" customHeight="1">
      <c r="A209" s="203"/>
      <c r="B209" s="239"/>
      <c r="C209" s="239"/>
      <c r="D209" s="239"/>
      <c r="E209" s="239"/>
      <c r="F209" s="239"/>
      <c r="G209" s="239"/>
      <c r="H209" s="239"/>
      <c r="I209" s="239"/>
      <c r="J209" s="239"/>
      <c r="K209" s="239"/>
      <c r="L209" s="203"/>
      <c r="M209" s="203"/>
      <c r="N209" s="203"/>
      <c r="O209" s="203"/>
    </row>
    <row r="210" spans="1:15" ht="15" customHeight="1">
      <c r="A210" s="203"/>
      <c r="B210" s="239"/>
      <c r="C210" s="239"/>
      <c r="D210" s="239"/>
      <c r="E210" s="239"/>
      <c r="F210" s="239"/>
      <c r="G210" s="239"/>
      <c r="H210" s="239"/>
      <c r="I210" s="239"/>
      <c r="J210" s="239"/>
      <c r="K210" s="239"/>
      <c r="L210" s="203"/>
      <c r="M210" s="203"/>
      <c r="N210" s="203"/>
      <c r="O210" s="203"/>
    </row>
    <row r="211" spans="1:15" ht="15" customHeight="1">
      <c r="A211" s="203"/>
      <c r="B211" s="239"/>
      <c r="C211" s="239"/>
      <c r="D211" s="239"/>
      <c r="E211" s="239"/>
      <c r="F211" s="239"/>
      <c r="G211" s="239"/>
      <c r="H211" s="239"/>
      <c r="I211" s="239"/>
      <c r="J211" s="239"/>
      <c r="K211" s="239"/>
      <c r="L211" s="203"/>
      <c r="M211" s="203"/>
      <c r="N211" s="203"/>
      <c r="O211" s="203"/>
    </row>
    <row r="212" spans="1:15" ht="15" customHeight="1">
      <c r="A212" s="203"/>
      <c r="B212" s="239"/>
      <c r="C212" s="239"/>
      <c r="D212" s="239"/>
      <c r="E212" s="239"/>
      <c r="F212" s="239"/>
      <c r="G212" s="239"/>
      <c r="H212" s="239"/>
      <c r="I212" s="239"/>
      <c r="J212" s="239"/>
      <c r="K212" s="239"/>
      <c r="L212" s="203"/>
      <c r="M212" s="203"/>
      <c r="N212" s="203"/>
      <c r="O212" s="203"/>
    </row>
    <row r="213" spans="1:15" ht="15" customHeight="1" thickBot="1">
      <c r="A213" s="203"/>
      <c r="B213" s="203"/>
      <c r="C213" s="203"/>
      <c r="D213" s="203"/>
      <c r="E213" s="203"/>
      <c r="F213" s="208" t="s">
        <v>259</v>
      </c>
      <c r="G213" s="208"/>
      <c r="H213" s="203"/>
      <c r="I213" s="203"/>
      <c r="J213" s="203"/>
      <c r="K213" s="228" t="s">
        <v>260</v>
      </c>
      <c r="L213" s="203"/>
      <c r="M213" s="203"/>
      <c r="N213" s="203"/>
      <c r="O213" s="203"/>
    </row>
    <row r="214" spans="1:15" ht="15" customHeight="1">
      <c r="A214" s="203"/>
      <c r="B214" s="202" t="s">
        <v>141</v>
      </c>
      <c r="C214" s="202"/>
      <c r="D214" s="202" t="s">
        <v>261</v>
      </c>
      <c r="E214" s="202" t="s">
        <v>262</v>
      </c>
      <c r="F214" s="202" t="s">
        <v>263</v>
      </c>
      <c r="G214" s="202" t="s">
        <v>279</v>
      </c>
      <c r="H214" s="202" t="s">
        <v>264</v>
      </c>
      <c r="I214" s="202" t="s">
        <v>54</v>
      </c>
      <c r="J214" s="202" t="s">
        <v>266</v>
      </c>
      <c r="K214" s="202"/>
      <c r="L214" s="203"/>
      <c r="M214" s="203"/>
      <c r="N214" s="203">
        <v>396</v>
      </c>
      <c r="O214" s="203">
        <v>386</v>
      </c>
    </row>
    <row r="215" spans="1:15" ht="15" customHeight="1">
      <c r="A215" s="203"/>
      <c r="B215" s="220">
        <v>2016</v>
      </c>
      <c r="C215" s="221"/>
      <c r="D215" s="257">
        <f t="array" ref="D215">IF(B22=B215,H22)</f>
        <v>290</v>
      </c>
      <c r="E215" s="257">
        <f t="array" ref="E215">IF(B54=B215,H54)</f>
        <v>290</v>
      </c>
      <c r="F215" s="257">
        <f t="array" ref="F215">IF(B103=B215,H103)</f>
        <v>299</v>
      </c>
      <c r="G215" s="257">
        <f t="array" ref="G215">IF(B144=B215,H144)</f>
        <v>338</v>
      </c>
      <c r="H215" s="257">
        <f t="array" ref="H215">IF(B188=B215,H188)</f>
        <v>284</v>
      </c>
      <c r="I215" s="257">
        <f t="shared" ref="I215:I229" si="34">IF(G215=0,AVERAGE(D215,E215,F215,H215),AVERAGE(D215:H215))</f>
        <v>300.2</v>
      </c>
      <c r="J215" s="266">
        <f t="shared" ref="J215:J229" si="35">ROUND(AVERAGE(D215,F215:G215),0)</f>
        <v>309</v>
      </c>
      <c r="K215" s="258"/>
      <c r="L215" s="203"/>
      <c r="M215" s="203"/>
      <c r="N215" s="203"/>
      <c r="O215" s="203"/>
    </row>
    <row r="216" spans="1:15" ht="15" customHeight="1">
      <c r="A216" s="203"/>
      <c r="B216" s="220">
        <v>2017</v>
      </c>
      <c r="C216" s="221"/>
      <c r="D216" s="257">
        <f t="array" ref="D216">IF(B23=B216,H23)</f>
        <v>284</v>
      </c>
      <c r="E216" s="257">
        <f t="array" ref="E216">IF(B55=B216,H55)</f>
        <v>285</v>
      </c>
      <c r="F216" s="257">
        <f t="array" ref="F216">IF(B104=B216,H104)</f>
        <v>292</v>
      </c>
      <c r="G216" s="257">
        <f t="array" ref="G216">IF(B145=B216,H145)</f>
        <v>342</v>
      </c>
      <c r="H216" s="257">
        <f t="array" ref="H216">IF(B189=B216,H189)</f>
        <v>277</v>
      </c>
      <c r="I216" s="257">
        <f t="shared" si="34"/>
        <v>296</v>
      </c>
      <c r="J216" s="266">
        <f t="shared" si="35"/>
        <v>306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2018</v>
      </c>
      <c r="C217" s="221"/>
      <c r="D217" s="257">
        <f t="array" ref="D217">IF(B24=B217,H24)</f>
        <v>279</v>
      </c>
      <c r="E217" s="257">
        <f t="array" ref="E217">IF(B56=B217,H56)</f>
        <v>280</v>
      </c>
      <c r="F217" s="257">
        <f t="array" ref="F217">IF(B105=B217,H105)</f>
        <v>284</v>
      </c>
      <c r="G217" s="257">
        <f t="array" ref="G217">IF(B146=B217,H146)</f>
        <v>346</v>
      </c>
      <c r="H217" s="257">
        <f t="array" ref="H217">IF(B190=B217,H190)</f>
        <v>270</v>
      </c>
      <c r="I217" s="257">
        <f t="shared" si="34"/>
        <v>291.8</v>
      </c>
      <c r="J217" s="266">
        <f t="shared" si="35"/>
        <v>303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2019</v>
      </c>
      <c r="C218" s="221"/>
      <c r="D218" s="257">
        <f t="array" ref="D218">IF(B25=B218,H25)</f>
        <v>273</v>
      </c>
      <c r="E218" s="257">
        <f t="array" ref="E218">IF(B57=B218,H57)</f>
        <v>275</v>
      </c>
      <c r="F218" s="257">
        <f t="array" ref="F218">IF(B106=B218,H106)</f>
        <v>277</v>
      </c>
      <c r="G218" s="257">
        <f t="array" ref="G218">IF(B147=B218,H147)</f>
        <v>350</v>
      </c>
      <c r="H218" s="257">
        <f t="array" ref="H218">IF(B191=B218,H191)</f>
        <v>263</v>
      </c>
      <c r="I218" s="257">
        <f t="shared" si="34"/>
        <v>287.60000000000002</v>
      </c>
      <c r="J218" s="266">
        <f t="shared" si="35"/>
        <v>300</v>
      </c>
      <c r="K218" s="258"/>
      <c r="L218" s="203"/>
      <c r="M218" s="203"/>
      <c r="N218" s="203"/>
      <c r="O218" s="203"/>
    </row>
    <row r="219" spans="1:15" ht="15" customHeight="1">
      <c r="A219" s="203"/>
      <c r="B219" s="268">
        <v>2020</v>
      </c>
      <c r="C219" s="269"/>
      <c r="D219" s="271">
        <f t="array" ref="D219">IF(B26=B219,H26)</f>
        <v>268</v>
      </c>
      <c r="E219" s="271">
        <f t="array" ref="E219">IF(B58=B219,H58)</f>
        <v>270</v>
      </c>
      <c r="F219" s="271">
        <f t="array" ref="F219">IF(B107=B219,H107)</f>
        <v>270</v>
      </c>
      <c r="G219" s="271">
        <f t="array" ref="G219">IF(B148=B219,H148)</f>
        <v>354</v>
      </c>
      <c r="H219" s="271">
        <f t="array" ref="H219">IF(B192=B219,H192)</f>
        <v>256</v>
      </c>
      <c r="I219" s="271">
        <f t="shared" si="34"/>
        <v>283.60000000000002</v>
      </c>
      <c r="J219" s="273">
        <f t="shared" si="35"/>
        <v>297</v>
      </c>
      <c r="K219" s="272"/>
      <c r="L219" s="203"/>
      <c r="M219" s="203"/>
      <c r="N219" s="203"/>
      <c r="O219" s="203"/>
    </row>
    <row r="220" spans="1:15" ht="15" customHeight="1">
      <c r="A220" s="203"/>
      <c r="B220" s="220">
        <v>2021</v>
      </c>
      <c r="C220" s="221"/>
      <c r="D220" s="257">
        <f t="array" ref="D220">IF(B27=B220,H27)</f>
        <v>262</v>
      </c>
      <c r="E220" s="257">
        <f t="array" ref="E220">IF(B59=B220,H59)</f>
        <v>265</v>
      </c>
      <c r="F220" s="257">
        <f t="array" ref="F220">IF(B108=B220,H108)</f>
        <v>263</v>
      </c>
      <c r="G220" s="257">
        <f t="array" ref="G220">IF(B149=B220,H149)</f>
        <v>357</v>
      </c>
      <c r="H220" s="257">
        <f t="array" ref="H220">IF(B193=B220,H193)</f>
        <v>249</v>
      </c>
      <c r="I220" s="257">
        <f t="shared" si="34"/>
        <v>279.2</v>
      </c>
      <c r="J220" s="266">
        <f t="shared" si="35"/>
        <v>294</v>
      </c>
      <c r="K220" s="258"/>
      <c r="L220" s="203"/>
      <c r="M220" s="203"/>
      <c r="N220" s="203"/>
      <c r="O220" s="203"/>
    </row>
    <row r="221" spans="1:15" ht="15" customHeight="1">
      <c r="A221" s="203"/>
      <c r="B221" s="220">
        <v>2022</v>
      </c>
      <c r="C221" s="221"/>
      <c r="D221" s="257">
        <f t="array" ref="D221">IF(B28=B221,H28)</f>
        <v>257</v>
      </c>
      <c r="E221" s="257">
        <f t="array" ref="E221">IF(B60=B221,H60)</f>
        <v>260</v>
      </c>
      <c r="F221" s="257">
        <f t="array" ref="F221">IF(B109=B221,H109)</f>
        <v>256</v>
      </c>
      <c r="G221" s="257">
        <f t="array" ref="G221">IF(B150=B221,H150)</f>
        <v>361</v>
      </c>
      <c r="H221" s="257">
        <f t="array" ref="H221">IF(B194=B221,H194)</f>
        <v>242</v>
      </c>
      <c r="I221" s="257">
        <f t="shared" si="34"/>
        <v>275.2</v>
      </c>
      <c r="J221" s="266">
        <f t="shared" si="35"/>
        <v>291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2023</v>
      </c>
      <c r="C222" s="221"/>
      <c r="D222" s="257">
        <f t="array" ref="D222">IF(B29=B222,H29)</f>
        <v>251</v>
      </c>
      <c r="E222" s="257">
        <f t="array" ref="E222">IF(B61=B222,H61)</f>
        <v>255</v>
      </c>
      <c r="F222" s="257">
        <f t="array" ref="F222">IF(B110=B222,H110)</f>
        <v>249</v>
      </c>
      <c r="G222" s="257">
        <f t="array" ref="G222">IF(B151=B222,H151)</f>
        <v>365</v>
      </c>
      <c r="H222" s="257">
        <f t="array" ref="H222">IF(B195=B222,H195)</f>
        <v>235</v>
      </c>
      <c r="I222" s="257">
        <f t="shared" si="34"/>
        <v>271</v>
      </c>
      <c r="J222" s="266">
        <f t="shared" si="35"/>
        <v>288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2024</v>
      </c>
      <c r="C223" s="221"/>
      <c r="D223" s="257">
        <f t="array" ref="D223">IF(B30=B223,H30)</f>
        <v>246</v>
      </c>
      <c r="E223" s="257">
        <f t="array" ref="E223">IF(B62=B223,H62)</f>
        <v>251</v>
      </c>
      <c r="F223" s="257">
        <f t="array" ref="F223">IF(B111=B223,H111)</f>
        <v>242</v>
      </c>
      <c r="G223" s="257">
        <f t="array" ref="G223">IF(B152=B223,H152)</f>
        <v>368</v>
      </c>
      <c r="H223" s="257">
        <f t="array" ref="H223">IF(B196=B223,H196)</f>
        <v>228</v>
      </c>
      <c r="I223" s="257">
        <f t="shared" si="34"/>
        <v>267</v>
      </c>
      <c r="J223" s="266">
        <f t="shared" si="35"/>
        <v>285</v>
      </c>
      <c r="K223" s="258"/>
      <c r="L223" s="203"/>
      <c r="M223" s="203"/>
      <c r="N223" s="203"/>
      <c r="O223" s="203"/>
    </row>
    <row r="224" spans="1:15" ht="15" customHeight="1">
      <c r="A224" s="203"/>
      <c r="B224" s="268">
        <v>2025</v>
      </c>
      <c r="C224" s="269"/>
      <c r="D224" s="271">
        <f t="array" ref="D224">IF(B31=B224,H31)</f>
        <v>240</v>
      </c>
      <c r="E224" s="271">
        <f t="array" ref="E224">IF(B63=B224,H63)</f>
        <v>246</v>
      </c>
      <c r="F224" s="271">
        <f t="array" ref="F224">IF(B112=B224,H112)</f>
        <v>235</v>
      </c>
      <c r="G224" s="271">
        <f t="array" ref="G224">IF(B153=B224,H153)</f>
        <v>372</v>
      </c>
      <c r="H224" s="271">
        <f t="array" ref="H224">IF(B197=B224,H197)</f>
        <v>222</v>
      </c>
      <c r="I224" s="271">
        <f t="shared" si="34"/>
        <v>263</v>
      </c>
      <c r="J224" s="273">
        <f t="shared" si="35"/>
        <v>282</v>
      </c>
      <c r="K224" s="272"/>
      <c r="L224" s="203"/>
      <c r="M224" s="203"/>
      <c r="N224" s="203"/>
      <c r="O224" s="203"/>
    </row>
    <row r="225" spans="1:15" ht="15" customHeight="1">
      <c r="A225" s="203"/>
      <c r="B225" s="220">
        <v>2026</v>
      </c>
      <c r="C225" s="221"/>
      <c r="D225" s="257">
        <f t="array" ref="D225">IF(B32=B225,H32)</f>
        <v>235</v>
      </c>
      <c r="E225" s="257">
        <f t="array" ref="E225">IF(B64=B225,H64)</f>
        <v>242</v>
      </c>
      <c r="F225" s="257">
        <f t="array" ref="F225">IF(B113=B225,H113)</f>
        <v>227</v>
      </c>
      <c r="G225" s="257">
        <f t="array" ref="G225">IF(B154=B225,H154)</f>
        <v>376</v>
      </c>
      <c r="H225" s="257">
        <f t="array" ref="H225">IF(B198=B225,H198)</f>
        <v>215</v>
      </c>
      <c r="I225" s="257">
        <f t="shared" si="34"/>
        <v>259</v>
      </c>
      <c r="J225" s="266">
        <f t="shared" si="35"/>
        <v>279</v>
      </c>
      <c r="K225" s="258"/>
      <c r="L225" s="203"/>
      <c r="M225" s="203"/>
      <c r="N225" s="203"/>
      <c r="O225" s="203"/>
    </row>
    <row r="226" spans="1:15" ht="15" customHeight="1">
      <c r="A226" s="203"/>
      <c r="B226" s="220">
        <v>2027</v>
      </c>
      <c r="C226" s="221"/>
      <c r="D226" s="257">
        <f t="array" ref="D226">IF(B33=B226,H33)</f>
        <v>229</v>
      </c>
      <c r="E226" s="257">
        <f t="array" ref="E226">IF(B65=B226,H65)</f>
        <v>238</v>
      </c>
      <c r="F226" s="257">
        <f t="array" ref="F226">IF(B114=B226,H114)</f>
        <v>220</v>
      </c>
      <c r="G226" s="257">
        <f t="array" ref="G226">IF(B155=B226,H155)</f>
        <v>379</v>
      </c>
      <c r="H226" s="257">
        <f t="array" ref="H226">IF(B199=B226,H199)</f>
        <v>209</v>
      </c>
      <c r="I226" s="257">
        <f t="shared" si="34"/>
        <v>255</v>
      </c>
      <c r="J226" s="266">
        <f t="shared" si="35"/>
        <v>276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2028</v>
      </c>
      <c r="C227" s="221"/>
      <c r="D227" s="257">
        <f t="array" ref="D227">IF(B34=B227,H34)</f>
        <v>224</v>
      </c>
      <c r="E227" s="257">
        <f t="array" ref="E227">IF(B66=B227,H66)</f>
        <v>233</v>
      </c>
      <c r="F227" s="257">
        <f t="array" ref="F227">IF(B115=B227,H115)</f>
        <v>213</v>
      </c>
      <c r="G227" s="257">
        <f t="array" ref="G227">IF(B156=B227,H156)</f>
        <v>383</v>
      </c>
      <c r="H227" s="257">
        <f t="array" ref="H227">IF(B200=B227,H200)</f>
        <v>202</v>
      </c>
      <c r="I227" s="257">
        <f t="shared" si="34"/>
        <v>251</v>
      </c>
      <c r="J227" s="266">
        <f t="shared" si="35"/>
        <v>273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2029</v>
      </c>
      <c r="C228" s="221"/>
      <c r="D228" s="257">
        <f t="array" ref="D228">IF(B35=B228,H35)</f>
        <v>218</v>
      </c>
      <c r="E228" s="257">
        <f t="array" ref="E228">IF(B67=B228,H67)</f>
        <v>229</v>
      </c>
      <c r="F228" s="257">
        <f t="array" ref="F228">IF(B116=B228,H116)</f>
        <v>206</v>
      </c>
      <c r="G228" s="257">
        <f t="array" ref="G228">IF(B157=B228,H157)</f>
        <v>387</v>
      </c>
      <c r="H228" s="257">
        <f t="array" ref="H228">IF(B201=B228,H201)</f>
        <v>196</v>
      </c>
      <c r="I228" s="257">
        <f t="shared" si="34"/>
        <v>247.2</v>
      </c>
      <c r="J228" s="266">
        <f t="shared" si="35"/>
        <v>270</v>
      </c>
      <c r="K228" s="258"/>
      <c r="L228" s="203"/>
      <c r="M228" s="203"/>
      <c r="N228" s="203"/>
      <c r="O228" s="203"/>
    </row>
    <row r="229" spans="1:15" ht="15" customHeight="1">
      <c r="A229" s="203"/>
      <c r="B229" s="268">
        <v>2030</v>
      </c>
      <c r="C229" s="269"/>
      <c r="D229" s="271">
        <f t="array" ref="D229">IF(B36=B229,H36)</f>
        <v>213</v>
      </c>
      <c r="E229" s="271">
        <f t="array" ref="E229">IF(B68=B229,H68)</f>
        <v>225</v>
      </c>
      <c r="F229" s="271">
        <f t="array" ref="F229">IF(B117=B229,H117)</f>
        <v>199</v>
      </c>
      <c r="G229" s="271">
        <f t="array" ref="G229">IF(B158=B229,H158)</f>
        <v>390</v>
      </c>
      <c r="H229" s="271">
        <f t="array" ref="H229">IF(B202=B229,H202)</f>
        <v>190</v>
      </c>
      <c r="I229" s="271">
        <f t="shared" si="34"/>
        <v>243.4</v>
      </c>
      <c r="J229" s="273">
        <f t="shared" si="35"/>
        <v>267</v>
      </c>
      <c r="K229" s="272"/>
      <c r="L229" s="203"/>
      <c r="M229" s="203"/>
      <c r="N229" s="203"/>
      <c r="O229" s="203"/>
    </row>
    <row r="230" spans="1:15" ht="15" customHeight="1">
      <c r="A230" s="203"/>
      <c r="B230" s="220">
        <v>2031</v>
      </c>
      <c r="C230" s="221"/>
      <c r="D230" s="257">
        <f t="array" ref="D230">IF(B37=B230,H37)</f>
        <v>207</v>
      </c>
      <c r="E230" s="257">
        <f t="array" ref="E230">IF(B69=B230,H69)</f>
        <v>221</v>
      </c>
      <c r="F230" s="257">
        <f t="array" ref="F230">IF(B118=B230,H118)</f>
        <v>192</v>
      </c>
      <c r="G230" s="257">
        <f t="array" ref="G230">IF(B159=B230,H159)</f>
        <v>394</v>
      </c>
      <c r="H230" s="257">
        <f t="array" ref="H230">IF(B203=B230,H203)</f>
        <v>183</v>
      </c>
      <c r="I230" s="257">
        <f>IF(G230=0,AVERAGE(D230,E230,F230,H230),AVERAGE(D230:H230))</f>
        <v>239.4</v>
      </c>
      <c r="J230" s="266">
        <f>ROUND(AVERAGE(D230,F230:G230),0)</f>
        <v>264</v>
      </c>
      <c r="K230" s="258"/>
      <c r="L230" s="203"/>
      <c r="M230" s="203"/>
      <c r="N230" s="203"/>
      <c r="O230" s="203"/>
    </row>
    <row r="231" spans="1:15" ht="15" customHeight="1">
      <c r="A231" s="203"/>
      <c r="B231" s="220">
        <v>2032</v>
      </c>
      <c r="C231" s="221"/>
      <c r="D231" s="257">
        <f t="array" ref="D231">IF(B38=B231,H38)</f>
        <v>202</v>
      </c>
      <c r="E231" s="257">
        <f t="array" ref="E231">IF(B70=B231,H70)</f>
        <v>217</v>
      </c>
      <c r="F231" s="257">
        <f t="array" ref="F231">IF(B119=B231,H119)</f>
        <v>185</v>
      </c>
      <c r="G231" s="257">
        <f t="array" ref="G231">IF(B160=B231,H160)</f>
        <v>397</v>
      </c>
      <c r="H231" s="257">
        <f t="array" ref="H231">IF(B204=B231,H204)</f>
        <v>177</v>
      </c>
      <c r="I231" s="257">
        <f>IF(G231=0,AVERAGE(D231,E231,F231,H231),AVERAGE(D231:H231))</f>
        <v>235.6</v>
      </c>
      <c r="J231" s="266">
        <f>ROUND(AVERAGE(D231,F231:G231),0)</f>
        <v>261</v>
      </c>
      <c r="K231" s="258"/>
      <c r="L231" s="203"/>
      <c r="M231" s="203"/>
      <c r="N231" s="203"/>
      <c r="O231" s="203"/>
    </row>
    <row r="232" spans="1:15" ht="15" customHeight="1">
      <c r="A232" s="203"/>
      <c r="B232" s="220">
        <v>2033</v>
      </c>
      <c r="C232" s="221"/>
      <c r="D232" s="257">
        <f t="array" ref="D232">IF(B39=B232,H39)</f>
        <v>196</v>
      </c>
      <c r="E232" s="257">
        <f t="array" ref="E232">IF(B71=B232,H71)</f>
        <v>213</v>
      </c>
      <c r="F232" s="257">
        <f t="array" ref="F232">IF(B120=B232,H120)</f>
        <v>178</v>
      </c>
      <c r="G232" s="257">
        <f t="array" ref="G232">IF(B161=B232,H161)</f>
        <v>401</v>
      </c>
      <c r="H232" s="257">
        <f t="array" ref="H232">IF(B205=B232,H205)</f>
        <v>172</v>
      </c>
      <c r="I232" s="257">
        <f>IF(G232=0,AVERAGE(D232,E232,F232,H232),AVERAGE(D232:H232))</f>
        <v>232</v>
      </c>
      <c r="J232" s="266">
        <f>ROUND(AVERAGE(D232,F232:G232),0)</f>
        <v>258</v>
      </c>
      <c r="K232" s="258"/>
      <c r="L232" s="203"/>
      <c r="M232" s="203"/>
      <c r="N232" s="203"/>
      <c r="O232" s="203"/>
    </row>
    <row r="233" spans="1:15" ht="15" customHeight="1">
      <c r="A233" s="203"/>
      <c r="B233" s="220">
        <v>2034</v>
      </c>
      <c r="C233" s="221"/>
      <c r="D233" s="257">
        <f t="array" ref="D233">IF(B40=B233,H40)</f>
        <v>191</v>
      </c>
      <c r="E233" s="257">
        <f t="array" ref="E233">IF(B72=B233,H72)</f>
        <v>209</v>
      </c>
      <c r="F233" s="257">
        <f t="array" ref="F233">IF(B121=B233,H121)</f>
        <v>170</v>
      </c>
      <c r="G233" s="257">
        <f t="array" ref="G233">IF(B162=B233,H162)</f>
        <v>404</v>
      </c>
      <c r="H233" s="257">
        <f t="array" ref="H233">IF(B206=B233,H206)</f>
        <v>166</v>
      </c>
      <c r="I233" s="257">
        <f>IF(G233=0,AVERAGE(D233,E233,F233,H233),AVERAGE(D233:H233))</f>
        <v>228</v>
      </c>
      <c r="J233" s="266">
        <f>ROUND(AVERAGE(D233,F233:G233),0)</f>
        <v>255</v>
      </c>
      <c r="K233" s="258"/>
      <c r="L233" s="203"/>
      <c r="M233" s="203"/>
      <c r="N233" s="203"/>
      <c r="O233" s="203"/>
    </row>
    <row r="234" spans="1:15" ht="15" customHeight="1" thickBot="1">
      <c r="A234" s="203"/>
      <c r="B234" s="268">
        <v>2035</v>
      </c>
      <c r="C234" s="269"/>
      <c r="D234" s="271">
        <f t="array" ref="D234">IF(B41=B234,H41)</f>
        <v>185</v>
      </c>
      <c r="E234" s="271">
        <f t="array" ref="E234">IF(B73=B234,H73)</f>
        <v>206</v>
      </c>
      <c r="F234" s="271">
        <f t="array" ref="F234">IF(B122=B234,H122)</f>
        <v>163</v>
      </c>
      <c r="G234" s="271">
        <f t="array" ref="G234">IF(B163=B234,H163)</f>
        <v>408</v>
      </c>
      <c r="H234" s="271">
        <f t="array" ref="H234">IF(B207=B234,H207)</f>
        <v>160</v>
      </c>
      <c r="I234" s="271">
        <f>IF(G234=0,AVERAGE(D234,E234,F234,H234),AVERAGE(D234:H234))</f>
        <v>224.4</v>
      </c>
      <c r="J234" s="273">
        <f>ROUND(AVERAGE(D234,F234:G234),0)</f>
        <v>252</v>
      </c>
      <c r="K234" s="272"/>
      <c r="L234" s="203"/>
      <c r="M234" s="203"/>
      <c r="N234" s="203"/>
      <c r="O234" s="203"/>
    </row>
    <row r="235" spans="1:15">
      <c r="B235" s="226"/>
      <c r="C235" s="226"/>
      <c r="D235" s="226"/>
      <c r="E235" s="226"/>
      <c r="F235" s="226"/>
      <c r="G235" s="226"/>
      <c r="H235" s="226"/>
      <c r="I235" s="226"/>
      <c r="J235" s="226"/>
      <c r="K235" s="226"/>
    </row>
  </sheetData>
  <mergeCells count="1">
    <mergeCell ref="E172:F172"/>
  </mergeCells>
  <phoneticPr fontId="7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O231"/>
  <sheetViews>
    <sheetView workbookViewId="0"/>
  </sheetViews>
  <sheetFormatPr defaultRowHeight="16.5"/>
  <cols>
    <col min="1" max="1" width="2.33203125" style="196" customWidth="1"/>
    <col min="2" max="3" width="6.109375" style="196" customWidth="1"/>
    <col min="4" max="4" width="7.33203125" style="196" customWidth="1"/>
    <col min="5" max="5" width="7.109375" style="196" customWidth="1"/>
    <col min="6" max="6" width="6.5546875" style="196" customWidth="1"/>
    <col min="7" max="7" width="6.77734375" style="196" customWidth="1"/>
    <col min="8" max="8" width="7.109375" style="196" customWidth="1"/>
    <col min="9" max="9" width="6.6640625" style="196" customWidth="1"/>
    <col min="10" max="10" width="8.5546875" style="196" customWidth="1"/>
    <col min="11" max="11" width="9.21875" style="196" customWidth="1"/>
    <col min="12" max="12" width="1" style="196" customWidth="1"/>
    <col min="13" max="15" width="8.88671875" style="195"/>
    <col min="16" max="16384" width="8.88671875" style="964"/>
  </cols>
  <sheetData>
    <row r="1" spans="1:15" ht="15" customHeight="1">
      <c r="A1" s="82"/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4"/>
    </row>
    <row r="2" spans="1:15" ht="15" customHeight="1">
      <c r="A2" s="916" t="s">
        <v>1407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4"/>
    </row>
    <row r="3" spans="1:15" ht="15" customHeight="1">
      <c r="A3" s="87"/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4"/>
    </row>
    <row r="4" spans="1:15" ht="15" customHeight="1">
      <c r="B4" s="197" t="s">
        <v>138</v>
      </c>
      <c r="C4" s="197">
        <v>2016</v>
      </c>
    </row>
    <row r="5" spans="1:15" ht="15" customHeight="1" thickBot="1">
      <c r="A5" s="198"/>
      <c r="B5" s="196" t="s">
        <v>139</v>
      </c>
      <c r="C5" s="199"/>
      <c r="D5" s="196" t="s">
        <v>1783</v>
      </c>
      <c r="F5" s="200" t="s">
        <v>140</v>
      </c>
      <c r="G5" s="200"/>
      <c r="I5" s="199"/>
      <c r="J5" s="199"/>
      <c r="K5" s="199"/>
      <c r="L5" s="199"/>
    </row>
    <row r="6" spans="1:15" ht="15" customHeight="1">
      <c r="A6" s="201"/>
      <c r="B6" s="202" t="s">
        <v>141</v>
      </c>
      <c r="C6" s="202"/>
      <c r="D6" s="202" t="s">
        <v>276</v>
      </c>
      <c r="E6" s="202"/>
      <c r="F6" s="202" t="s">
        <v>142</v>
      </c>
      <c r="G6" s="202"/>
      <c r="H6" s="202" t="s">
        <v>143</v>
      </c>
      <c r="I6" s="202"/>
      <c r="J6" s="202" t="s">
        <v>144</v>
      </c>
      <c r="K6" s="202"/>
      <c r="L6" s="203"/>
      <c r="M6" s="203"/>
      <c r="N6" s="203"/>
      <c r="O6" s="203"/>
    </row>
    <row r="7" spans="1:15" ht="15" customHeight="1">
      <c r="A7" s="203"/>
      <c r="B7" s="840">
        <v>2012</v>
      </c>
      <c r="C7" s="840"/>
      <c r="D7" s="844">
        <f>+'감곡면(10년) (물)'!D8</f>
        <v>318.93605974679502</v>
      </c>
      <c r="E7" s="844"/>
      <c r="F7" s="206">
        <v>0</v>
      </c>
      <c r="G7" s="206"/>
      <c r="H7" s="207">
        <v>0</v>
      </c>
      <c r="I7" s="208"/>
      <c r="J7" s="209" t="s">
        <v>145</v>
      </c>
      <c r="K7" s="209">
        <v>600</v>
      </c>
      <c r="L7" s="203"/>
      <c r="M7" s="203"/>
      <c r="N7" s="203"/>
      <c r="O7" s="203"/>
    </row>
    <row r="8" spans="1:15" ht="15" customHeight="1">
      <c r="A8" s="203"/>
      <c r="B8" s="840">
        <f>+B7+1</f>
        <v>2013</v>
      </c>
      <c r="C8" s="840"/>
      <c r="D8" s="844">
        <f>+'감곡면(10년) (물)'!D9</f>
        <v>351.18236541341196</v>
      </c>
      <c r="E8" s="844"/>
      <c r="F8" s="206">
        <f>D8-D7</f>
        <v>32.246305666616934</v>
      </c>
      <c r="G8" s="206"/>
      <c r="H8" s="207">
        <f>ROUND(F8/D7*100,2)</f>
        <v>10.11</v>
      </c>
      <c r="I8" s="208"/>
      <c r="J8" s="210">
        <v>0</v>
      </c>
      <c r="K8" s="210"/>
      <c r="L8" s="203"/>
      <c r="M8" s="203"/>
      <c r="N8" s="203"/>
      <c r="O8" s="203"/>
    </row>
    <row r="9" spans="1:15" ht="15" customHeight="1">
      <c r="A9" s="203"/>
      <c r="B9" s="840">
        <f>+B8+1</f>
        <v>2014</v>
      </c>
      <c r="C9" s="840"/>
      <c r="D9" s="844">
        <f>+'감곡면(10년) (물)'!D10</f>
        <v>329.63578821047184</v>
      </c>
      <c r="E9" s="844"/>
      <c r="F9" s="206">
        <f>D9-D8</f>
        <v>-21.546577202940114</v>
      </c>
      <c r="G9" s="206"/>
      <c r="H9" s="207">
        <f>ROUND(F9/D8*100,2)</f>
        <v>-6.14</v>
      </c>
      <c r="I9" s="208"/>
      <c r="J9" s="210">
        <v>0</v>
      </c>
      <c r="K9" s="210"/>
      <c r="L9" s="203"/>
      <c r="M9" s="203"/>
      <c r="N9" s="203"/>
      <c r="O9" s="203"/>
    </row>
    <row r="10" spans="1:15" ht="15" customHeight="1">
      <c r="A10" s="203"/>
      <c r="B10" s="840">
        <f>+B9+1</f>
        <v>2015</v>
      </c>
      <c r="C10" s="840"/>
      <c r="D10" s="844">
        <f>+'감곡면(10년) (물)'!D11</f>
        <v>286.312995274446</v>
      </c>
      <c r="E10" s="844"/>
      <c r="F10" s="206">
        <f>D10-D9</f>
        <v>-43.322792936025849</v>
      </c>
      <c r="G10" s="206"/>
      <c r="H10" s="207">
        <f>ROUND(F10/D9*100,2)</f>
        <v>-13.14</v>
      </c>
      <c r="I10" s="208"/>
      <c r="J10" s="210">
        <v>0</v>
      </c>
      <c r="K10" s="210"/>
      <c r="L10" s="203"/>
      <c r="M10" s="203"/>
      <c r="N10" s="203"/>
      <c r="O10" s="203"/>
    </row>
    <row r="11" spans="1:15" ht="15" customHeight="1">
      <c r="A11" s="203"/>
      <c r="B11" s="840">
        <f>+B10+1</f>
        <v>2016</v>
      </c>
      <c r="C11" s="840"/>
      <c r="D11" s="844">
        <f>+'감곡면(10년) (물)'!D12</f>
        <v>289.92941317221988</v>
      </c>
      <c r="E11" s="844"/>
      <c r="F11" s="206">
        <f>D11-D10</f>
        <v>3.6164178977738857</v>
      </c>
      <c r="G11" s="206"/>
      <c r="H11" s="207">
        <f>ROUND(F11/D10*100,2)</f>
        <v>1.26</v>
      </c>
      <c r="I11" s="208"/>
      <c r="J11" s="210">
        <v>0</v>
      </c>
      <c r="K11" s="210"/>
      <c r="L11" s="203"/>
      <c r="M11" s="203"/>
      <c r="N11" s="203"/>
      <c r="O11" s="203"/>
    </row>
    <row r="12" spans="1:15" ht="15" customHeight="1" thickBot="1">
      <c r="A12" s="203"/>
      <c r="B12" s="211" t="s">
        <v>146</v>
      </c>
      <c r="C12" s="212"/>
      <c r="D12" s="213">
        <f>SUM(D7:D11)</f>
        <v>1575.9966218173447</v>
      </c>
      <c r="E12" s="214"/>
      <c r="F12" s="215"/>
      <c r="G12" s="215"/>
      <c r="H12" s="216">
        <f>SUM(H7:H11)</f>
        <v>-7.9100000000000019</v>
      </c>
      <c r="I12" s="216"/>
      <c r="J12" s="217">
        <f>ROUND(AVERAGE(H7:H11),1)</f>
        <v>-1.6</v>
      </c>
      <c r="K12" s="217"/>
      <c r="L12" s="203"/>
      <c r="M12" s="203"/>
      <c r="N12" s="203"/>
      <c r="O12" s="203"/>
    </row>
    <row r="13" spans="1:15" ht="15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</row>
    <row r="14" spans="1:15" ht="15" customHeight="1">
      <c r="A14" s="203"/>
      <c r="B14" s="218" t="s">
        <v>147</v>
      </c>
      <c r="C14" s="219"/>
      <c r="D14" s="219"/>
      <c r="E14" s="219"/>
      <c r="F14" s="219"/>
      <c r="G14" s="203"/>
      <c r="H14" s="203"/>
      <c r="I14" s="203"/>
      <c r="J14" s="203"/>
      <c r="K14" s="203"/>
      <c r="L14" s="203"/>
      <c r="M14" s="203"/>
      <c r="N14" s="203"/>
      <c r="O14" s="203"/>
    </row>
    <row r="15" spans="1:15" ht="15" customHeight="1">
      <c r="A15" s="203"/>
      <c r="B15" s="203"/>
      <c r="C15" s="219" t="s">
        <v>148</v>
      </c>
      <c r="D15" s="219" t="s">
        <v>149</v>
      </c>
      <c r="E15" s="219"/>
      <c r="F15" s="219"/>
      <c r="G15" s="203"/>
      <c r="H15" s="203"/>
      <c r="I15" s="203"/>
      <c r="J15" s="203"/>
      <c r="K15" s="203"/>
      <c r="L15" s="203"/>
      <c r="M15" s="203"/>
      <c r="N15" s="203"/>
      <c r="O15" s="203"/>
    </row>
    <row r="16" spans="1:15" ht="15" customHeight="1">
      <c r="A16" s="203"/>
      <c r="B16" s="201"/>
      <c r="C16" s="201" t="s">
        <v>150</v>
      </c>
      <c r="D16" s="219" t="s">
        <v>151</v>
      </c>
      <c r="E16" s="201"/>
      <c r="F16" s="201"/>
      <c r="G16" s="203"/>
      <c r="H16" s="203"/>
      <c r="I16" s="203"/>
      <c r="J16" s="203"/>
      <c r="K16" s="203"/>
      <c r="L16" s="203"/>
      <c r="M16" s="203"/>
      <c r="N16" s="203"/>
      <c r="O16" s="203"/>
    </row>
    <row r="17" spans="1:15" ht="15" customHeight="1">
      <c r="A17" s="203"/>
      <c r="B17" s="219"/>
      <c r="C17" s="219"/>
      <c r="D17" s="219" t="s">
        <v>152</v>
      </c>
      <c r="E17" s="219"/>
      <c r="F17" s="219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ht="15" customHeight="1">
      <c r="A18" s="203"/>
      <c r="B18" s="219"/>
      <c r="C18" s="219"/>
      <c r="D18" s="219" t="s">
        <v>153</v>
      </c>
      <c r="E18" s="219"/>
      <c r="F18" s="219"/>
      <c r="G18" s="203"/>
      <c r="H18" s="203"/>
      <c r="I18" s="203"/>
      <c r="J18" s="203"/>
      <c r="K18" s="203"/>
      <c r="L18" s="203"/>
      <c r="M18" s="203"/>
      <c r="N18" s="203"/>
      <c r="O18" s="203"/>
    </row>
    <row r="19" spans="1:15" ht="15" customHeight="1" thickBot="1">
      <c r="A19" s="203"/>
      <c r="B19" s="203"/>
      <c r="C19" s="203"/>
      <c r="D19" s="203"/>
      <c r="E19" s="203"/>
      <c r="F19" s="208" t="s">
        <v>154</v>
      </c>
      <c r="G19" s="208"/>
      <c r="H19" s="203"/>
      <c r="I19" s="203"/>
      <c r="J19" s="203"/>
      <c r="K19" s="203"/>
      <c r="L19" s="203"/>
      <c r="M19" s="203"/>
      <c r="N19" s="203"/>
      <c r="O19" s="203"/>
    </row>
    <row r="20" spans="1:15" ht="15" customHeight="1">
      <c r="A20" s="203"/>
      <c r="B20" s="202" t="s">
        <v>141</v>
      </c>
      <c r="C20" s="202"/>
      <c r="D20" s="202" t="s">
        <v>156</v>
      </c>
      <c r="E20" s="202"/>
      <c r="F20" s="202" t="s">
        <v>157</v>
      </c>
      <c r="G20" s="202"/>
      <c r="H20" s="202" t="s">
        <v>158</v>
      </c>
      <c r="I20" s="202"/>
      <c r="J20" s="202" t="s">
        <v>144</v>
      </c>
      <c r="K20" s="202"/>
      <c r="L20" s="203"/>
      <c r="M20" s="203"/>
      <c r="N20" s="203"/>
      <c r="O20" s="203"/>
    </row>
    <row r="21" spans="1:15" ht="15" customHeight="1">
      <c r="A21" s="203"/>
      <c r="B21" s="220">
        <v>2016</v>
      </c>
      <c r="C21" s="221"/>
      <c r="D21" s="221">
        <f t="shared" ref="D21:D40" si="0">ROUND(E$41+H$41*(B21-$C$4),0)</f>
        <v>290</v>
      </c>
      <c r="E21" s="221"/>
      <c r="F21" s="221">
        <v>0</v>
      </c>
      <c r="G21" s="221"/>
      <c r="H21" s="221">
        <f t="shared" ref="H21:H40" si="1">ROUND(D21*(1+F21),0)</f>
        <v>290</v>
      </c>
      <c r="I21" s="221"/>
      <c r="J21" s="222">
        <v>0</v>
      </c>
      <c r="K21" s="222"/>
      <c r="L21" s="203"/>
      <c r="M21" s="203"/>
      <c r="N21" s="203"/>
      <c r="O21" s="203"/>
    </row>
    <row r="22" spans="1:15" ht="15" customHeight="1">
      <c r="A22" s="203"/>
      <c r="B22" s="220">
        <v>2017</v>
      </c>
      <c r="C22" s="221"/>
      <c r="D22" s="221">
        <f t="shared" si="0"/>
        <v>283</v>
      </c>
      <c r="E22" s="221"/>
      <c r="F22" s="221">
        <v>0</v>
      </c>
      <c r="G22" s="221"/>
      <c r="H22" s="221">
        <f t="shared" si="1"/>
        <v>283</v>
      </c>
      <c r="I22" s="221"/>
      <c r="J22" s="222">
        <v>0</v>
      </c>
      <c r="K22" s="222"/>
      <c r="L22" s="203"/>
      <c r="M22" s="203"/>
      <c r="N22" s="203"/>
      <c r="O22" s="203"/>
    </row>
    <row r="23" spans="1:15" ht="15" customHeight="1">
      <c r="A23" s="203"/>
      <c r="B23" s="220">
        <v>2018</v>
      </c>
      <c r="C23" s="221"/>
      <c r="D23" s="221">
        <f t="shared" si="0"/>
        <v>275</v>
      </c>
      <c r="E23" s="221"/>
      <c r="F23" s="221">
        <v>0</v>
      </c>
      <c r="G23" s="221"/>
      <c r="H23" s="221">
        <f t="shared" si="1"/>
        <v>275</v>
      </c>
      <c r="I23" s="221"/>
      <c r="J23" s="222">
        <v>0</v>
      </c>
      <c r="K23" s="222"/>
      <c r="L23" s="203"/>
      <c r="M23" s="203"/>
      <c r="N23" s="203"/>
      <c r="O23" s="203"/>
    </row>
    <row r="24" spans="1:15" ht="15" customHeight="1">
      <c r="A24" s="203"/>
      <c r="B24" s="220">
        <v>2019</v>
      </c>
      <c r="C24" s="221"/>
      <c r="D24" s="221">
        <f t="shared" si="0"/>
        <v>268</v>
      </c>
      <c r="E24" s="221"/>
      <c r="F24" s="221">
        <v>0</v>
      </c>
      <c r="G24" s="221"/>
      <c r="H24" s="221">
        <f t="shared" si="1"/>
        <v>268</v>
      </c>
      <c r="I24" s="221"/>
      <c r="J24" s="222">
        <v>0</v>
      </c>
      <c r="K24" s="222"/>
      <c r="L24" s="203"/>
      <c r="M24" s="203"/>
      <c r="N24" s="203"/>
      <c r="O24" s="203"/>
    </row>
    <row r="25" spans="1:15" ht="15" customHeight="1">
      <c r="A25" s="203"/>
      <c r="B25" s="268">
        <v>2020</v>
      </c>
      <c r="C25" s="269"/>
      <c r="D25" s="269">
        <f t="shared" si="0"/>
        <v>261</v>
      </c>
      <c r="E25" s="269"/>
      <c r="F25" s="269">
        <v>0</v>
      </c>
      <c r="G25" s="269"/>
      <c r="H25" s="269">
        <f t="shared" si="1"/>
        <v>261</v>
      </c>
      <c r="I25" s="269"/>
      <c r="J25" s="270">
        <v>0</v>
      </c>
      <c r="K25" s="270"/>
      <c r="L25" s="203"/>
      <c r="M25" s="203"/>
      <c r="N25" s="203"/>
      <c r="O25" s="203"/>
    </row>
    <row r="26" spans="1:15" ht="15" customHeight="1">
      <c r="A26" s="203"/>
      <c r="B26" s="220">
        <v>2021</v>
      </c>
      <c r="C26" s="221"/>
      <c r="D26" s="221">
        <f t="shared" si="0"/>
        <v>253</v>
      </c>
      <c r="E26" s="221"/>
      <c r="F26" s="221">
        <v>0</v>
      </c>
      <c r="G26" s="221"/>
      <c r="H26" s="221">
        <f t="shared" si="1"/>
        <v>253</v>
      </c>
      <c r="I26" s="221"/>
      <c r="J26" s="222">
        <v>0</v>
      </c>
      <c r="K26" s="222"/>
      <c r="L26" s="203"/>
      <c r="M26" s="203"/>
      <c r="N26" s="203"/>
      <c r="O26" s="203"/>
    </row>
    <row r="27" spans="1:15" ht="15" customHeight="1">
      <c r="A27" s="203"/>
      <c r="B27" s="220">
        <v>2022</v>
      </c>
      <c r="C27" s="221"/>
      <c r="D27" s="221">
        <f t="shared" si="0"/>
        <v>246</v>
      </c>
      <c r="E27" s="221"/>
      <c r="F27" s="221">
        <v>0</v>
      </c>
      <c r="G27" s="221"/>
      <c r="H27" s="221">
        <f t="shared" si="1"/>
        <v>246</v>
      </c>
      <c r="I27" s="221"/>
      <c r="J27" s="222">
        <v>0</v>
      </c>
      <c r="K27" s="222"/>
      <c r="L27" s="203"/>
      <c r="M27" s="203"/>
      <c r="N27" s="203"/>
      <c r="O27" s="203"/>
    </row>
    <row r="28" spans="1:15" ht="15" customHeight="1">
      <c r="A28" s="203"/>
      <c r="B28" s="220">
        <v>2023</v>
      </c>
      <c r="C28" s="221"/>
      <c r="D28" s="221">
        <f t="shared" si="0"/>
        <v>239</v>
      </c>
      <c r="E28" s="221"/>
      <c r="F28" s="221">
        <v>0</v>
      </c>
      <c r="G28" s="221"/>
      <c r="H28" s="221">
        <f t="shared" si="1"/>
        <v>239</v>
      </c>
      <c r="I28" s="221"/>
      <c r="J28" s="222">
        <v>0</v>
      </c>
      <c r="K28" s="222"/>
      <c r="L28" s="203"/>
      <c r="M28" s="203"/>
      <c r="N28" s="203"/>
      <c r="O28" s="203"/>
    </row>
    <row r="29" spans="1:15" ht="15" customHeight="1">
      <c r="A29" s="203"/>
      <c r="B29" s="220">
        <v>2024</v>
      </c>
      <c r="C29" s="221"/>
      <c r="D29" s="221">
        <f t="shared" si="0"/>
        <v>232</v>
      </c>
      <c r="E29" s="221"/>
      <c r="F29" s="221">
        <v>0</v>
      </c>
      <c r="G29" s="221"/>
      <c r="H29" s="221">
        <f t="shared" si="1"/>
        <v>232</v>
      </c>
      <c r="I29" s="221"/>
      <c r="J29" s="222">
        <v>0</v>
      </c>
      <c r="K29" s="222"/>
      <c r="L29" s="203"/>
      <c r="M29" s="203"/>
      <c r="N29" s="203"/>
      <c r="O29" s="203"/>
    </row>
    <row r="30" spans="1:15" ht="15" customHeight="1">
      <c r="A30" s="203"/>
      <c r="B30" s="268">
        <v>2025</v>
      </c>
      <c r="C30" s="269"/>
      <c r="D30" s="269">
        <f t="shared" si="0"/>
        <v>224</v>
      </c>
      <c r="E30" s="269"/>
      <c r="F30" s="269">
        <v>0</v>
      </c>
      <c r="G30" s="269"/>
      <c r="H30" s="269">
        <f t="shared" si="1"/>
        <v>224</v>
      </c>
      <c r="I30" s="269"/>
      <c r="J30" s="270">
        <v>0</v>
      </c>
      <c r="K30" s="270"/>
      <c r="L30" s="203"/>
      <c r="M30" s="203"/>
      <c r="N30" s="203"/>
      <c r="O30" s="203"/>
    </row>
    <row r="31" spans="1:15" ht="15" customHeight="1">
      <c r="A31" s="203"/>
      <c r="B31" s="220">
        <v>2026</v>
      </c>
      <c r="C31" s="221"/>
      <c r="D31" s="221">
        <f t="shared" si="0"/>
        <v>217</v>
      </c>
      <c r="E31" s="221"/>
      <c r="F31" s="221">
        <v>0</v>
      </c>
      <c r="G31" s="221"/>
      <c r="H31" s="221">
        <f t="shared" si="1"/>
        <v>217</v>
      </c>
      <c r="I31" s="221"/>
      <c r="J31" s="222">
        <v>0</v>
      </c>
      <c r="K31" s="222"/>
      <c r="L31" s="203"/>
      <c r="M31" s="203"/>
      <c r="N31" s="203"/>
      <c r="O31" s="203"/>
    </row>
    <row r="32" spans="1:15" ht="15" customHeight="1">
      <c r="A32" s="203"/>
      <c r="B32" s="220">
        <v>2027</v>
      </c>
      <c r="C32" s="221"/>
      <c r="D32" s="221">
        <f t="shared" si="0"/>
        <v>210</v>
      </c>
      <c r="E32" s="221"/>
      <c r="F32" s="221">
        <v>0</v>
      </c>
      <c r="G32" s="221"/>
      <c r="H32" s="221">
        <f t="shared" si="1"/>
        <v>210</v>
      </c>
      <c r="I32" s="221"/>
      <c r="J32" s="222">
        <v>0</v>
      </c>
      <c r="K32" s="222"/>
      <c r="L32" s="203"/>
      <c r="M32" s="203"/>
      <c r="N32" s="203"/>
      <c r="O32" s="203"/>
    </row>
    <row r="33" spans="1:15" ht="15" customHeight="1">
      <c r="A33" s="203"/>
      <c r="B33" s="220">
        <v>2028</v>
      </c>
      <c r="C33" s="221"/>
      <c r="D33" s="221">
        <f t="shared" si="0"/>
        <v>202</v>
      </c>
      <c r="E33" s="221"/>
      <c r="F33" s="221">
        <v>0</v>
      </c>
      <c r="G33" s="221"/>
      <c r="H33" s="221">
        <f t="shared" si="1"/>
        <v>202</v>
      </c>
      <c r="I33" s="221"/>
      <c r="J33" s="222">
        <v>0</v>
      </c>
      <c r="K33" s="222"/>
      <c r="L33" s="203"/>
      <c r="M33" s="203"/>
      <c r="N33" s="203"/>
      <c r="O33" s="203"/>
    </row>
    <row r="34" spans="1:15" ht="15" customHeight="1">
      <c r="A34" s="203"/>
      <c r="B34" s="220">
        <v>2029</v>
      </c>
      <c r="C34" s="221"/>
      <c r="D34" s="221">
        <f t="shared" si="0"/>
        <v>195</v>
      </c>
      <c r="E34" s="221"/>
      <c r="F34" s="221">
        <v>0</v>
      </c>
      <c r="G34" s="221"/>
      <c r="H34" s="221">
        <f t="shared" si="1"/>
        <v>195</v>
      </c>
      <c r="I34" s="221"/>
      <c r="J34" s="222">
        <v>0</v>
      </c>
      <c r="K34" s="222"/>
      <c r="L34" s="203"/>
      <c r="M34" s="203"/>
      <c r="N34" s="203"/>
      <c r="O34" s="203"/>
    </row>
    <row r="35" spans="1:15" ht="15" customHeight="1">
      <c r="A35" s="203"/>
      <c r="B35" s="268">
        <v>2030</v>
      </c>
      <c r="C35" s="269"/>
      <c r="D35" s="269">
        <f t="shared" si="0"/>
        <v>188</v>
      </c>
      <c r="E35" s="269"/>
      <c r="F35" s="269">
        <v>0</v>
      </c>
      <c r="G35" s="269"/>
      <c r="H35" s="269">
        <f t="shared" si="1"/>
        <v>188</v>
      </c>
      <c r="I35" s="269"/>
      <c r="J35" s="270">
        <v>0</v>
      </c>
      <c r="K35" s="270"/>
      <c r="L35" s="203"/>
      <c r="M35" s="203"/>
      <c r="N35" s="203"/>
      <c r="O35" s="203"/>
    </row>
    <row r="36" spans="1:15" ht="15" customHeight="1">
      <c r="A36" s="203"/>
      <c r="B36" s="220">
        <v>2031</v>
      </c>
      <c r="C36" s="221"/>
      <c r="D36" s="221">
        <f t="shared" si="0"/>
        <v>180</v>
      </c>
      <c r="E36" s="221"/>
      <c r="F36" s="221">
        <v>0</v>
      </c>
      <c r="G36" s="221"/>
      <c r="H36" s="221">
        <f t="shared" si="1"/>
        <v>180</v>
      </c>
      <c r="I36" s="221"/>
      <c r="J36" s="222">
        <v>0</v>
      </c>
      <c r="K36" s="222"/>
      <c r="L36" s="203"/>
      <c r="M36" s="203"/>
      <c r="N36" s="203"/>
      <c r="O36" s="203"/>
    </row>
    <row r="37" spans="1:15" ht="15" customHeight="1">
      <c r="A37" s="203"/>
      <c r="B37" s="220">
        <v>2032</v>
      </c>
      <c r="C37" s="221"/>
      <c r="D37" s="221">
        <f t="shared" si="0"/>
        <v>173</v>
      </c>
      <c r="E37" s="221"/>
      <c r="F37" s="221">
        <v>0</v>
      </c>
      <c r="G37" s="221"/>
      <c r="H37" s="221">
        <f t="shared" si="1"/>
        <v>173</v>
      </c>
      <c r="I37" s="221"/>
      <c r="J37" s="222">
        <v>0</v>
      </c>
      <c r="K37" s="222"/>
      <c r="L37" s="203"/>
      <c r="M37" s="203"/>
      <c r="N37" s="203"/>
      <c r="O37" s="203"/>
    </row>
    <row r="38" spans="1:15" ht="15" customHeight="1">
      <c r="A38" s="203"/>
      <c r="B38" s="220">
        <v>2033</v>
      </c>
      <c r="C38" s="221"/>
      <c r="D38" s="221">
        <f t="shared" si="0"/>
        <v>166</v>
      </c>
      <c r="E38" s="221"/>
      <c r="F38" s="221">
        <v>0</v>
      </c>
      <c r="G38" s="221"/>
      <c r="H38" s="221">
        <f t="shared" si="1"/>
        <v>166</v>
      </c>
      <c r="I38" s="221"/>
      <c r="J38" s="222">
        <v>0</v>
      </c>
      <c r="K38" s="222"/>
      <c r="L38" s="203"/>
      <c r="M38" s="203"/>
      <c r="N38" s="203"/>
      <c r="O38" s="203"/>
    </row>
    <row r="39" spans="1:15" ht="15" customHeight="1">
      <c r="A39" s="203"/>
      <c r="B39" s="220">
        <v>2034</v>
      </c>
      <c r="C39" s="221"/>
      <c r="D39" s="221">
        <f t="shared" si="0"/>
        <v>159</v>
      </c>
      <c r="E39" s="221"/>
      <c r="F39" s="221">
        <v>0</v>
      </c>
      <c r="G39" s="221"/>
      <c r="H39" s="221">
        <f t="shared" si="1"/>
        <v>159</v>
      </c>
      <c r="I39" s="221"/>
      <c r="J39" s="222">
        <v>0</v>
      </c>
      <c r="K39" s="222"/>
      <c r="L39" s="203"/>
      <c r="M39" s="203"/>
      <c r="N39" s="203"/>
      <c r="O39" s="203"/>
    </row>
    <row r="40" spans="1:15" ht="15" customHeight="1" thickBot="1">
      <c r="A40" s="203"/>
      <c r="B40" s="268">
        <v>2035</v>
      </c>
      <c r="C40" s="269"/>
      <c r="D40" s="269">
        <f t="shared" si="0"/>
        <v>151</v>
      </c>
      <c r="E40" s="269"/>
      <c r="F40" s="269">
        <v>0</v>
      </c>
      <c r="G40" s="269"/>
      <c r="H40" s="269">
        <f t="shared" si="1"/>
        <v>151</v>
      </c>
      <c r="I40" s="269"/>
      <c r="J40" s="270">
        <v>0</v>
      </c>
      <c r="K40" s="270"/>
      <c r="L40" s="203"/>
      <c r="M40" s="203"/>
      <c r="N40" s="203"/>
      <c r="O40" s="203"/>
    </row>
    <row r="41" spans="1:15" ht="15" customHeight="1">
      <c r="A41" s="203"/>
      <c r="B41" s="223" t="s">
        <v>160</v>
      </c>
      <c r="C41" s="223"/>
      <c r="D41" s="224" t="s">
        <v>161</v>
      </c>
      <c r="E41" s="225">
        <f>D$11</f>
        <v>289.92941317221988</v>
      </c>
      <c r="F41" s="226"/>
      <c r="G41" s="224" t="s">
        <v>162</v>
      </c>
      <c r="H41" s="224">
        <f>ROUND((D$11-D$7)/(COUNT(D$7:D$11)-1),1)</f>
        <v>-7.3</v>
      </c>
      <c r="I41" s="224"/>
      <c r="J41" s="224" t="s">
        <v>163</v>
      </c>
      <c r="K41" s="227" t="s">
        <v>164</v>
      </c>
      <c r="L41" s="203"/>
      <c r="M41" s="203"/>
      <c r="N41" s="203"/>
      <c r="O41" s="203"/>
    </row>
    <row r="42" spans="1:15" ht="15" customHeight="1">
      <c r="A42" s="203"/>
      <c r="B42" s="237"/>
      <c r="C42" s="237"/>
      <c r="D42" s="240"/>
      <c r="E42" s="267"/>
      <c r="F42" s="239"/>
      <c r="G42" s="240"/>
      <c r="H42" s="240"/>
      <c r="I42" s="240"/>
      <c r="J42" s="240"/>
      <c r="K42" s="241"/>
      <c r="L42" s="203"/>
      <c r="M42" s="203"/>
      <c r="N42" s="203"/>
      <c r="O42" s="203"/>
    </row>
    <row r="43" spans="1:15" ht="15" customHeight="1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</row>
    <row r="44" spans="1:15" ht="15" customHeight="1">
      <c r="A44" s="203"/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</row>
    <row r="45" spans="1:15" ht="15" customHeight="1">
      <c r="A45" s="203"/>
      <c r="B45" s="218" t="s">
        <v>165</v>
      </c>
      <c r="C45" s="219"/>
      <c r="D45" s="219"/>
      <c r="E45" s="219"/>
      <c r="F45" s="219"/>
      <c r="G45" s="219"/>
      <c r="H45" s="203"/>
      <c r="I45" s="203"/>
      <c r="J45" s="203"/>
      <c r="K45" s="203"/>
      <c r="L45" s="203"/>
      <c r="M45" s="203"/>
      <c r="N45" s="203"/>
      <c r="O45" s="203"/>
    </row>
    <row r="46" spans="1:15" ht="15" customHeight="1">
      <c r="A46" s="203"/>
      <c r="B46" s="203"/>
      <c r="C46" s="219" t="s">
        <v>148</v>
      </c>
      <c r="D46" s="219" t="s">
        <v>167</v>
      </c>
      <c r="E46" s="219"/>
      <c r="F46" s="219"/>
      <c r="G46" s="219"/>
      <c r="H46" s="203"/>
      <c r="I46" s="203"/>
      <c r="J46" s="203"/>
      <c r="K46" s="203"/>
      <c r="L46" s="203"/>
      <c r="M46" s="203"/>
      <c r="N46" s="203"/>
      <c r="O46" s="203"/>
    </row>
    <row r="47" spans="1:15" ht="15" customHeight="1">
      <c r="A47" s="203"/>
      <c r="B47" s="201"/>
      <c r="C47" s="201" t="s">
        <v>150</v>
      </c>
      <c r="D47" s="219" t="s">
        <v>151</v>
      </c>
      <c r="E47" s="201"/>
      <c r="F47" s="201"/>
      <c r="G47" s="201"/>
      <c r="H47" s="203"/>
      <c r="I47" s="203"/>
      <c r="J47" s="203"/>
      <c r="K47" s="203"/>
      <c r="L47" s="203"/>
      <c r="M47" s="203"/>
      <c r="N47" s="203"/>
      <c r="O47" s="203"/>
    </row>
    <row r="48" spans="1:15" ht="15" customHeight="1">
      <c r="A48" s="203"/>
      <c r="B48" s="219"/>
      <c r="C48" s="219"/>
      <c r="D48" s="219" t="s">
        <v>152</v>
      </c>
      <c r="E48" s="219"/>
      <c r="F48" s="219"/>
      <c r="G48" s="219"/>
      <c r="H48" s="203"/>
      <c r="I48" s="203"/>
      <c r="J48" s="203"/>
      <c r="K48" s="203"/>
      <c r="L48" s="203"/>
      <c r="M48" s="203"/>
      <c r="N48" s="203"/>
      <c r="O48" s="203"/>
    </row>
    <row r="49" spans="1:15" ht="15" customHeight="1">
      <c r="A49" s="203"/>
      <c r="B49" s="219"/>
      <c r="C49" s="219"/>
      <c r="D49" s="219" t="s">
        <v>171</v>
      </c>
      <c r="E49" s="219"/>
      <c r="F49" s="219"/>
      <c r="G49" s="219"/>
      <c r="H49" s="203"/>
      <c r="I49" s="203"/>
      <c r="J49" s="203"/>
      <c r="K49" s="203"/>
      <c r="L49" s="203"/>
      <c r="M49" s="203"/>
      <c r="N49" s="203"/>
      <c r="O49" s="203"/>
    </row>
    <row r="50" spans="1:15" ht="15" customHeight="1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</row>
    <row r="51" spans="1:15" ht="15" customHeight="1" thickBot="1">
      <c r="A51" s="203"/>
      <c r="B51" s="203"/>
      <c r="C51" s="203"/>
      <c r="D51" s="203"/>
      <c r="E51" s="203"/>
      <c r="F51" s="208" t="s">
        <v>172</v>
      </c>
      <c r="G51" s="208"/>
      <c r="H51" s="203"/>
      <c r="I51" s="203"/>
      <c r="J51" s="203"/>
      <c r="K51" s="203"/>
      <c r="L51" s="203"/>
      <c r="M51" s="203"/>
      <c r="N51" s="203"/>
      <c r="O51" s="203"/>
    </row>
    <row r="52" spans="1:15" ht="15" customHeight="1">
      <c r="A52" s="203"/>
      <c r="B52" s="202" t="s">
        <v>141</v>
      </c>
      <c r="C52" s="202"/>
      <c r="D52" s="202" t="s">
        <v>156</v>
      </c>
      <c r="E52" s="202"/>
      <c r="F52" s="202" t="s">
        <v>157</v>
      </c>
      <c r="G52" s="202"/>
      <c r="H52" s="202" t="s">
        <v>158</v>
      </c>
      <c r="I52" s="202"/>
      <c r="J52" s="202" t="s">
        <v>144</v>
      </c>
      <c r="K52" s="202"/>
      <c r="L52" s="203"/>
      <c r="M52" s="203"/>
      <c r="N52" s="203"/>
      <c r="O52" s="203"/>
    </row>
    <row r="53" spans="1:15" ht="15" customHeight="1">
      <c r="A53" s="203"/>
      <c r="B53" s="220">
        <v>2016</v>
      </c>
      <c r="C53" s="221"/>
      <c r="D53" s="221">
        <f t="shared" ref="D53:D72" si="2">ROUND(E$73*H$73^(B53-$C$4),0)</f>
        <v>290</v>
      </c>
      <c r="E53" s="221"/>
      <c r="F53" s="221">
        <v>0</v>
      </c>
      <c r="G53" s="221"/>
      <c r="H53" s="221">
        <f t="shared" ref="H53:H72" si="3">ROUND(D53*(1+F53),0)</f>
        <v>290</v>
      </c>
      <c r="I53" s="221"/>
      <c r="J53" s="222">
        <v>0</v>
      </c>
      <c r="K53" s="222"/>
      <c r="L53" s="203"/>
      <c r="M53" s="203"/>
      <c r="N53" s="203"/>
      <c r="O53" s="203"/>
    </row>
    <row r="54" spans="1:15" ht="15" customHeight="1">
      <c r="A54" s="203"/>
      <c r="B54" s="220">
        <v>2017</v>
      </c>
      <c r="C54" s="221"/>
      <c r="D54" s="221">
        <f t="shared" si="2"/>
        <v>283</v>
      </c>
      <c r="E54" s="221"/>
      <c r="F54" s="221">
        <v>0</v>
      </c>
      <c r="G54" s="221"/>
      <c r="H54" s="221">
        <f t="shared" si="3"/>
        <v>283</v>
      </c>
      <c r="I54" s="221"/>
      <c r="J54" s="222">
        <v>0</v>
      </c>
      <c r="K54" s="222"/>
      <c r="L54" s="203"/>
      <c r="M54" s="203"/>
      <c r="N54" s="203"/>
      <c r="O54" s="203"/>
    </row>
    <row r="55" spans="1:15" ht="15" customHeight="1">
      <c r="A55" s="203"/>
      <c r="B55" s="220">
        <v>2018</v>
      </c>
      <c r="C55" s="221"/>
      <c r="D55" s="221">
        <f t="shared" si="2"/>
        <v>276</v>
      </c>
      <c r="E55" s="221"/>
      <c r="F55" s="221">
        <v>0</v>
      </c>
      <c r="G55" s="221"/>
      <c r="H55" s="221">
        <f t="shared" si="3"/>
        <v>276</v>
      </c>
      <c r="I55" s="221"/>
      <c r="J55" s="222">
        <v>0</v>
      </c>
      <c r="K55" s="222"/>
      <c r="L55" s="203"/>
      <c r="M55" s="203"/>
      <c r="N55" s="203"/>
      <c r="O55" s="203"/>
    </row>
    <row r="56" spans="1:15" ht="15" customHeight="1">
      <c r="A56" s="203"/>
      <c r="B56" s="220">
        <v>2019</v>
      </c>
      <c r="C56" s="221"/>
      <c r="D56" s="221">
        <f t="shared" si="2"/>
        <v>270</v>
      </c>
      <c r="E56" s="221"/>
      <c r="F56" s="221">
        <v>0</v>
      </c>
      <c r="G56" s="221"/>
      <c r="H56" s="221">
        <f t="shared" si="3"/>
        <v>270</v>
      </c>
      <c r="I56" s="221"/>
      <c r="J56" s="222">
        <v>0</v>
      </c>
      <c r="K56" s="222"/>
      <c r="L56" s="203"/>
      <c r="M56" s="203"/>
      <c r="N56" s="203"/>
      <c r="O56" s="203"/>
    </row>
    <row r="57" spans="1:15" ht="15" customHeight="1">
      <c r="A57" s="203"/>
      <c r="B57" s="268">
        <v>2020</v>
      </c>
      <c r="C57" s="269"/>
      <c r="D57" s="269">
        <f t="shared" si="2"/>
        <v>264</v>
      </c>
      <c r="E57" s="269"/>
      <c r="F57" s="269">
        <v>0</v>
      </c>
      <c r="G57" s="269"/>
      <c r="H57" s="269">
        <f t="shared" si="3"/>
        <v>264</v>
      </c>
      <c r="I57" s="269"/>
      <c r="J57" s="270">
        <v>0</v>
      </c>
      <c r="K57" s="270"/>
      <c r="L57" s="203"/>
      <c r="M57" s="203"/>
      <c r="N57" s="203"/>
      <c r="O57" s="203"/>
    </row>
    <row r="58" spans="1:15" ht="15" customHeight="1">
      <c r="A58" s="203"/>
      <c r="B58" s="220">
        <v>2021</v>
      </c>
      <c r="C58" s="221"/>
      <c r="D58" s="221">
        <f t="shared" si="2"/>
        <v>257</v>
      </c>
      <c r="E58" s="221"/>
      <c r="F58" s="221">
        <v>0</v>
      </c>
      <c r="G58" s="221"/>
      <c r="H58" s="221">
        <f t="shared" si="3"/>
        <v>257</v>
      </c>
      <c r="I58" s="221"/>
      <c r="J58" s="222">
        <v>0</v>
      </c>
      <c r="K58" s="222"/>
      <c r="L58" s="203"/>
      <c r="M58" s="203"/>
      <c r="N58" s="203"/>
      <c r="O58" s="203"/>
    </row>
    <row r="59" spans="1:15" ht="15" customHeight="1">
      <c r="A59" s="203"/>
      <c r="B59" s="220">
        <v>2022</v>
      </c>
      <c r="C59" s="221"/>
      <c r="D59" s="221">
        <f t="shared" si="2"/>
        <v>251</v>
      </c>
      <c r="E59" s="221"/>
      <c r="F59" s="221">
        <v>0</v>
      </c>
      <c r="G59" s="221"/>
      <c r="H59" s="221">
        <f t="shared" si="3"/>
        <v>251</v>
      </c>
      <c r="I59" s="221"/>
      <c r="J59" s="222">
        <v>0</v>
      </c>
      <c r="K59" s="222"/>
      <c r="L59" s="203"/>
      <c r="M59" s="203"/>
      <c r="N59" s="203"/>
      <c r="O59" s="203"/>
    </row>
    <row r="60" spans="1:15" ht="15" customHeight="1">
      <c r="A60" s="203"/>
      <c r="B60" s="220">
        <v>2023</v>
      </c>
      <c r="C60" s="221"/>
      <c r="D60" s="221">
        <f t="shared" si="2"/>
        <v>245</v>
      </c>
      <c r="E60" s="221"/>
      <c r="F60" s="221">
        <v>0</v>
      </c>
      <c r="G60" s="221"/>
      <c r="H60" s="221">
        <f t="shared" si="3"/>
        <v>245</v>
      </c>
      <c r="I60" s="221"/>
      <c r="J60" s="222">
        <v>0</v>
      </c>
      <c r="K60" s="222"/>
      <c r="L60" s="203"/>
      <c r="M60" s="203"/>
      <c r="N60" s="203"/>
      <c r="O60" s="203"/>
    </row>
    <row r="61" spans="1:15" ht="15" customHeight="1">
      <c r="A61" s="203"/>
      <c r="B61" s="220">
        <v>2024</v>
      </c>
      <c r="C61" s="221"/>
      <c r="D61" s="221">
        <f t="shared" si="2"/>
        <v>240</v>
      </c>
      <c r="E61" s="221"/>
      <c r="F61" s="221">
        <v>0</v>
      </c>
      <c r="G61" s="221"/>
      <c r="H61" s="221">
        <f t="shared" si="3"/>
        <v>240</v>
      </c>
      <c r="I61" s="221"/>
      <c r="J61" s="222">
        <v>0</v>
      </c>
      <c r="K61" s="222"/>
      <c r="L61" s="203"/>
      <c r="M61" s="203"/>
      <c r="N61" s="203"/>
      <c r="O61" s="203"/>
    </row>
    <row r="62" spans="1:15" ht="15" customHeight="1">
      <c r="A62" s="203"/>
      <c r="B62" s="268">
        <v>2025</v>
      </c>
      <c r="C62" s="269"/>
      <c r="D62" s="269">
        <f t="shared" si="2"/>
        <v>234</v>
      </c>
      <c r="E62" s="269"/>
      <c r="F62" s="269">
        <v>0</v>
      </c>
      <c r="G62" s="269"/>
      <c r="H62" s="269">
        <f t="shared" si="3"/>
        <v>234</v>
      </c>
      <c r="I62" s="269"/>
      <c r="J62" s="270">
        <v>0</v>
      </c>
      <c r="K62" s="270"/>
      <c r="L62" s="203"/>
      <c r="M62" s="203"/>
      <c r="N62" s="203"/>
      <c r="O62" s="203"/>
    </row>
    <row r="63" spans="1:15" ht="15" customHeight="1">
      <c r="A63" s="203"/>
      <c r="B63" s="220">
        <v>2026</v>
      </c>
      <c r="C63" s="221"/>
      <c r="D63" s="221">
        <f t="shared" si="2"/>
        <v>228</v>
      </c>
      <c r="E63" s="221"/>
      <c r="F63" s="221">
        <v>0</v>
      </c>
      <c r="G63" s="221"/>
      <c r="H63" s="221">
        <f t="shared" si="3"/>
        <v>228</v>
      </c>
      <c r="I63" s="221"/>
      <c r="J63" s="222">
        <v>0</v>
      </c>
      <c r="K63" s="222"/>
      <c r="L63" s="203"/>
      <c r="M63" s="203"/>
      <c r="N63" s="203"/>
      <c r="O63" s="203"/>
    </row>
    <row r="64" spans="1:15" ht="15" customHeight="1">
      <c r="A64" s="203"/>
      <c r="B64" s="220">
        <v>2027</v>
      </c>
      <c r="C64" s="221"/>
      <c r="D64" s="221">
        <f t="shared" si="2"/>
        <v>223</v>
      </c>
      <c r="E64" s="221"/>
      <c r="F64" s="221">
        <v>0</v>
      </c>
      <c r="G64" s="221"/>
      <c r="H64" s="221">
        <f t="shared" si="3"/>
        <v>223</v>
      </c>
      <c r="I64" s="221"/>
      <c r="J64" s="222">
        <v>0</v>
      </c>
      <c r="K64" s="222"/>
      <c r="L64" s="203"/>
      <c r="M64" s="203"/>
      <c r="N64" s="203"/>
      <c r="O64" s="203"/>
    </row>
    <row r="65" spans="1:15" ht="15" customHeight="1">
      <c r="A65" s="203"/>
      <c r="B65" s="220">
        <v>2028</v>
      </c>
      <c r="C65" s="221"/>
      <c r="D65" s="221">
        <f t="shared" si="2"/>
        <v>218</v>
      </c>
      <c r="E65" s="221"/>
      <c r="F65" s="221">
        <v>0</v>
      </c>
      <c r="G65" s="221"/>
      <c r="H65" s="221">
        <f t="shared" si="3"/>
        <v>218</v>
      </c>
      <c r="I65" s="221"/>
      <c r="J65" s="222">
        <v>0</v>
      </c>
      <c r="K65" s="222"/>
      <c r="L65" s="203"/>
      <c r="M65" s="203"/>
      <c r="N65" s="203"/>
      <c r="O65" s="203"/>
    </row>
    <row r="66" spans="1:15" ht="15" customHeight="1">
      <c r="A66" s="203"/>
      <c r="B66" s="220">
        <v>2029</v>
      </c>
      <c r="C66" s="221"/>
      <c r="D66" s="221">
        <f t="shared" si="2"/>
        <v>213</v>
      </c>
      <c r="E66" s="221"/>
      <c r="F66" s="221">
        <v>0</v>
      </c>
      <c r="G66" s="221"/>
      <c r="H66" s="221">
        <f t="shared" si="3"/>
        <v>213</v>
      </c>
      <c r="I66" s="221"/>
      <c r="J66" s="222">
        <v>0</v>
      </c>
      <c r="K66" s="222"/>
      <c r="L66" s="203"/>
      <c r="M66" s="203"/>
      <c r="N66" s="203"/>
      <c r="O66" s="203"/>
    </row>
    <row r="67" spans="1:15" ht="15" customHeight="1">
      <c r="A67" s="203"/>
      <c r="B67" s="268">
        <v>2030</v>
      </c>
      <c r="C67" s="269"/>
      <c r="D67" s="269">
        <f t="shared" si="2"/>
        <v>208</v>
      </c>
      <c r="E67" s="269"/>
      <c r="F67" s="269">
        <v>0</v>
      </c>
      <c r="G67" s="269"/>
      <c r="H67" s="269">
        <f t="shared" si="3"/>
        <v>208</v>
      </c>
      <c r="I67" s="269"/>
      <c r="J67" s="270">
        <v>0</v>
      </c>
      <c r="K67" s="270"/>
      <c r="L67" s="203"/>
      <c r="M67" s="203"/>
      <c r="N67" s="203"/>
      <c r="O67" s="203"/>
    </row>
    <row r="68" spans="1:15" ht="15" customHeight="1">
      <c r="A68" s="203"/>
      <c r="B68" s="220">
        <v>2031</v>
      </c>
      <c r="C68" s="221"/>
      <c r="D68" s="221">
        <f t="shared" si="2"/>
        <v>203</v>
      </c>
      <c r="E68" s="221"/>
      <c r="F68" s="221">
        <v>0</v>
      </c>
      <c r="G68" s="221"/>
      <c r="H68" s="221">
        <f t="shared" si="3"/>
        <v>203</v>
      </c>
      <c r="I68" s="221"/>
      <c r="J68" s="222">
        <v>0</v>
      </c>
      <c r="K68" s="222"/>
      <c r="L68" s="203"/>
      <c r="M68" s="203"/>
      <c r="N68" s="203"/>
      <c r="O68" s="203"/>
    </row>
    <row r="69" spans="1:15" ht="15" customHeight="1">
      <c r="A69" s="203"/>
      <c r="B69" s="220">
        <v>2032</v>
      </c>
      <c r="C69" s="221"/>
      <c r="D69" s="221">
        <f t="shared" si="2"/>
        <v>198</v>
      </c>
      <c r="E69" s="221"/>
      <c r="F69" s="221">
        <v>0</v>
      </c>
      <c r="G69" s="221"/>
      <c r="H69" s="221">
        <f t="shared" si="3"/>
        <v>198</v>
      </c>
      <c r="I69" s="221"/>
      <c r="J69" s="222">
        <v>0</v>
      </c>
      <c r="K69" s="222"/>
      <c r="L69" s="203"/>
      <c r="M69" s="203"/>
      <c r="N69" s="203"/>
      <c r="O69" s="203"/>
    </row>
    <row r="70" spans="1:15" ht="15" customHeight="1">
      <c r="A70" s="203"/>
      <c r="B70" s="220">
        <v>2033</v>
      </c>
      <c r="C70" s="221"/>
      <c r="D70" s="221">
        <f t="shared" si="2"/>
        <v>193</v>
      </c>
      <c r="E70" s="221"/>
      <c r="F70" s="221">
        <v>0</v>
      </c>
      <c r="G70" s="221"/>
      <c r="H70" s="221">
        <f t="shared" si="3"/>
        <v>193</v>
      </c>
      <c r="I70" s="221"/>
      <c r="J70" s="222">
        <v>0</v>
      </c>
      <c r="K70" s="222"/>
      <c r="L70" s="203"/>
      <c r="M70" s="203"/>
      <c r="N70" s="203"/>
      <c r="O70" s="203"/>
    </row>
    <row r="71" spans="1:15" ht="15" customHeight="1">
      <c r="A71" s="203"/>
      <c r="B71" s="220">
        <v>2034</v>
      </c>
      <c r="C71" s="221"/>
      <c r="D71" s="221">
        <f t="shared" si="2"/>
        <v>189</v>
      </c>
      <c r="E71" s="221"/>
      <c r="F71" s="221">
        <v>0</v>
      </c>
      <c r="G71" s="221"/>
      <c r="H71" s="221">
        <f t="shared" si="3"/>
        <v>189</v>
      </c>
      <c r="I71" s="221"/>
      <c r="J71" s="222">
        <v>0</v>
      </c>
      <c r="K71" s="222"/>
      <c r="L71" s="203"/>
      <c r="M71" s="203"/>
      <c r="N71" s="203"/>
      <c r="O71" s="203"/>
    </row>
    <row r="72" spans="1:15" ht="15" customHeight="1" thickBot="1">
      <c r="A72" s="203"/>
      <c r="B72" s="268">
        <v>2035</v>
      </c>
      <c r="C72" s="269"/>
      <c r="D72" s="269">
        <f t="shared" si="2"/>
        <v>184</v>
      </c>
      <c r="E72" s="269"/>
      <c r="F72" s="269">
        <v>0</v>
      </c>
      <c r="G72" s="269"/>
      <c r="H72" s="269">
        <f t="shared" si="3"/>
        <v>184</v>
      </c>
      <c r="I72" s="269"/>
      <c r="J72" s="270">
        <v>0</v>
      </c>
      <c r="K72" s="270"/>
      <c r="L72" s="203"/>
      <c r="M72" s="203"/>
      <c r="N72" s="203"/>
      <c r="O72" s="203"/>
    </row>
    <row r="73" spans="1:15" ht="15" customHeight="1">
      <c r="A73" s="203"/>
      <c r="B73" s="223" t="s">
        <v>177</v>
      </c>
      <c r="C73" s="223"/>
      <c r="D73" s="224" t="s">
        <v>161</v>
      </c>
      <c r="E73" s="225">
        <f>D$11</f>
        <v>289.92941317221988</v>
      </c>
      <c r="F73" s="226"/>
      <c r="G73" s="224" t="s">
        <v>179</v>
      </c>
      <c r="H73" s="224">
        <f>ROUND((E$73/D$7)^(1/(COUNT(D$7:D$11)-1)),6)</f>
        <v>0.97644399999999998</v>
      </c>
      <c r="I73" s="224"/>
      <c r="J73" s="224" t="s">
        <v>163</v>
      </c>
      <c r="K73" s="227" t="s">
        <v>164</v>
      </c>
      <c r="L73" s="203"/>
      <c r="M73" s="203"/>
      <c r="N73" s="203"/>
      <c r="O73" s="203"/>
    </row>
    <row r="74" spans="1:15" ht="15" customHeight="1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</row>
    <row r="75" spans="1:15" ht="15" customHeight="1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</row>
    <row r="76" spans="1:15" ht="15" customHeight="1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</row>
    <row r="77" spans="1:15" ht="15" customHeight="1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15" ht="15" customHeight="1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</row>
    <row r="79" spans="1:15" ht="15" customHeight="1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</row>
    <row r="80" spans="1:15" ht="15" customHeight="1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</row>
    <row r="81" spans="1:15" ht="15" customHeight="1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</row>
    <row r="82" spans="1:15" ht="15" customHeight="1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</row>
    <row r="83" spans="1:15" ht="15" customHeight="1">
      <c r="A83" s="203"/>
      <c r="B83" s="218" t="s">
        <v>182</v>
      </c>
      <c r="C83" s="219"/>
      <c r="D83" s="219"/>
      <c r="E83" s="219"/>
      <c r="F83" s="203"/>
      <c r="G83" s="203"/>
      <c r="H83" s="203"/>
      <c r="I83" s="203"/>
      <c r="J83" s="203"/>
      <c r="K83" s="203"/>
      <c r="L83" s="203"/>
      <c r="M83" s="203"/>
      <c r="N83" s="203"/>
      <c r="O83" s="203"/>
    </row>
    <row r="84" spans="1:15" ht="15" customHeight="1">
      <c r="A84" s="203"/>
      <c r="B84" s="203"/>
      <c r="C84" s="219" t="s">
        <v>148</v>
      </c>
      <c r="D84" s="219" t="s">
        <v>184</v>
      </c>
      <c r="E84" s="219"/>
      <c r="F84" s="203"/>
      <c r="G84" s="203"/>
      <c r="H84" s="203"/>
      <c r="I84" s="203"/>
      <c r="J84" s="203"/>
      <c r="K84" s="203"/>
      <c r="L84" s="203"/>
      <c r="M84" s="203"/>
      <c r="N84" s="203"/>
      <c r="O84" s="203"/>
    </row>
    <row r="85" spans="1:15" ht="15" customHeight="1">
      <c r="A85" s="203"/>
      <c r="B85" s="219"/>
      <c r="C85" s="228" t="s">
        <v>185</v>
      </c>
      <c r="D85" s="219" t="s">
        <v>186</v>
      </c>
      <c r="E85" s="201"/>
      <c r="F85" s="203"/>
      <c r="G85" s="203"/>
      <c r="H85" s="203"/>
      <c r="I85" s="203"/>
      <c r="J85" s="203"/>
      <c r="K85" s="203"/>
      <c r="L85" s="203"/>
      <c r="M85" s="203"/>
      <c r="N85" s="203"/>
      <c r="O85" s="203"/>
    </row>
    <row r="86" spans="1:15" ht="15" customHeight="1">
      <c r="A86" s="203"/>
      <c r="B86" s="219"/>
      <c r="C86" s="219"/>
      <c r="D86" s="219" t="s">
        <v>187</v>
      </c>
      <c r="E86" s="219"/>
      <c r="F86" s="203"/>
      <c r="G86" s="203"/>
      <c r="H86" s="203"/>
      <c r="I86" s="203"/>
      <c r="J86" s="203"/>
      <c r="K86" s="203"/>
      <c r="L86" s="203"/>
      <c r="M86" s="203"/>
      <c r="N86" s="203"/>
      <c r="O86" s="203"/>
    </row>
    <row r="87" spans="1:15" ht="15" customHeight="1">
      <c r="A87" s="203"/>
      <c r="B87" s="201"/>
      <c r="C87" s="219"/>
      <c r="D87" s="219" t="s">
        <v>188</v>
      </c>
      <c r="E87" s="219"/>
      <c r="F87" s="203"/>
      <c r="G87" s="203"/>
      <c r="H87" s="203"/>
      <c r="I87" s="203"/>
      <c r="J87" s="203"/>
      <c r="K87" s="203"/>
      <c r="L87" s="203"/>
      <c r="M87" s="203"/>
      <c r="N87" s="203"/>
      <c r="O87" s="203"/>
    </row>
    <row r="88" spans="1:15" ht="15" customHeight="1" thickBot="1">
      <c r="A88" s="203"/>
      <c r="B88" s="203"/>
      <c r="C88" s="203"/>
      <c r="D88" s="203"/>
      <c r="E88" s="203"/>
      <c r="F88" s="208" t="s">
        <v>189</v>
      </c>
      <c r="G88" s="208"/>
      <c r="H88" s="203"/>
      <c r="I88" s="203"/>
      <c r="J88" s="203"/>
      <c r="K88" s="203"/>
      <c r="L88" s="203"/>
      <c r="M88" s="203"/>
      <c r="N88" s="203"/>
      <c r="O88" s="203"/>
    </row>
    <row r="89" spans="1:15" ht="15" customHeight="1">
      <c r="A89" s="203"/>
      <c r="B89" s="202" t="s">
        <v>141</v>
      </c>
      <c r="C89" s="202"/>
      <c r="D89" s="202" t="s">
        <v>191</v>
      </c>
      <c r="E89" s="202" t="s">
        <v>192</v>
      </c>
      <c r="F89" s="202" t="s">
        <v>193</v>
      </c>
      <c r="G89" s="202"/>
      <c r="H89" s="202" t="s">
        <v>194</v>
      </c>
      <c r="I89" s="202"/>
      <c r="J89" s="202" t="s">
        <v>144</v>
      </c>
      <c r="K89" s="202"/>
      <c r="L89" s="203"/>
      <c r="M89" s="203"/>
      <c r="N89" s="203"/>
      <c r="O89" s="203"/>
    </row>
    <row r="90" spans="1:15" ht="15" customHeight="1">
      <c r="A90" s="203"/>
      <c r="B90" s="840">
        <f>B7</f>
        <v>2012</v>
      </c>
      <c r="C90" s="840"/>
      <c r="D90" s="208">
        <f>VLOOKUP(B90,B$7:E$11,3,FALSE)</f>
        <v>318.93605974679502</v>
      </c>
      <c r="E90" s="840">
        <f>((COUNT(B$90:B$94)-1)/2)+(B90-$C$4)</f>
        <v>-2</v>
      </c>
      <c r="F90" s="208">
        <f>E90^2</f>
        <v>4</v>
      </c>
      <c r="G90" s="206"/>
      <c r="H90" s="230">
        <f>ROUND(D90*E90,2)</f>
        <v>-637.87</v>
      </c>
      <c r="I90" s="231"/>
      <c r="J90" s="210">
        <v>0</v>
      </c>
      <c r="K90" s="210"/>
      <c r="L90" s="203"/>
      <c r="M90" s="203"/>
      <c r="N90" s="203"/>
      <c r="O90" s="203"/>
    </row>
    <row r="91" spans="1:15" ht="15" customHeight="1">
      <c r="A91" s="203"/>
      <c r="B91" s="840">
        <f>B8</f>
        <v>2013</v>
      </c>
      <c r="C91" s="840"/>
      <c r="D91" s="208">
        <f>VLOOKUP(B91,B$7:E$11,3,FALSE)</f>
        <v>351.18236541341196</v>
      </c>
      <c r="E91" s="840">
        <f>((COUNT(B$90:B$94)-1)/2)+(B91-$C$4)</f>
        <v>-1</v>
      </c>
      <c r="F91" s="208">
        <f>E91^2</f>
        <v>1</v>
      </c>
      <c r="G91" s="206"/>
      <c r="H91" s="230">
        <f>ROUND(D91*E91,2)</f>
        <v>-351.18</v>
      </c>
      <c r="I91" s="231"/>
      <c r="J91" s="210">
        <v>0</v>
      </c>
      <c r="K91" s="210"/>
      <c r="L91" s="203"/>
      <c r="M91" s="203"/>
      <c r="N91" s="203"/>
      <c r="O91" s="203"/>
    </row>
    <row r="92" spans="1:15" ht="15" customHeight="1">
      <c r="A92" s="203"/>
      <c r="B92" s="840">
        <f>B9</f>
        <v>2014</v>
      </c>
      <c r="C92" s="840"/>
      <c r="D92" s="208">
        <f>VLOOKUP(B92,B$7:E$11,3,FALSE)</f>
        <v>329.63578821047184</v>
      </c>
      <c r="E92" s="840">
        <f>((COUNT(B$90:B$94)-1)/2)+(B92-$C$4)</f>
        <v>0</v>
      </c>
      <c r="F92" s="208">
        <f>E92^2</f>
        <v>0</v>
      </c>
      <c r="G92" s="206"/>
      <c r="H92" s="230">
        <f>ROUND(D92*E92,2)</f>
        <v>0</v>
      </c>
      <c r="I92" s="231"/>
      <c r="J92" s="210">
        <v>0</v>
      </c>
      <c r="K92" s="210"/>
      <c r="L92" s="203"/>
      <c r="M92" s="203"/>
      <c r="N92" s="203"/>
      <c r="O92" s="203"/>
    </row>
    <row r="93" spans="1:15" ht="15" customHeight="1">
      <c r="A93" s="203"/>
      <c r="B93" s="840">
        <f>B10</f>
        <v>2015</v>
      </c>
      <c r="C93" s="840"/>
      <c r="D93" s="208">
        <f>VLOOKUP(B93,B$7:E$11,3,FALSE)</f>
        <v>286.312995274446</v>
      </c>
      <c r="E93" s="840">
        <f>((COUNT(B$90:B$94)-1)/2)+(B93-$C$4)</f>
        <v>1</v>
      </c>
      <c r="F93" s="208">
        <f>E93^2</f>
        <v>1</v>
      </c>
      <c r="G93" s="206"/>
      <c r="H93" s="230">
        <f>ROUND(D93*E93,2)</f>
        <v>286.31</v>
      </c>
      <c r="I93" s="231"/>
      <c r="J93" s="210">
        <v>0</v>
      </c>
      <c r="K93" s="210"/>
      <c r="L93" s="203"/>
      <c r="M93" s="203"/>
      <c r="N93" s="203"/>
      <c r="O93" s="203"/>
    </row>
    <row r="94" spans="1:15" ht="15" customHeight="1">
      <c r="A94" s="203"/>
      <c r="B94" s="840">
        <f>B11</f>
        <v>2016</v>
      </c>
      <c r="C94" s="840"/>
      <c r="D94" s="208">
        <f>VLOOKUP(B94,B$7:E$11,3,FALSE)</f>
        <v>289.92941317221988</v>
      </c>
      <c r="E94" s="840">
        <f>((COUNT(B$90:B$94)-1)/2)+(B94-$C$4)</f>
        <v>2</v>
      </c>
      <c r="F94" s="208">
        <f>E94^2</f>
        <v>4</v>
      </c>
      <c r="G94" s="206"/>
      <c r="H94" s="230">
        <f>ROUND(D94*E94,2)</f>
        <v>579.86</v>
      </c>
      <c r="I94" s="231"/>
      <c r="J94" s="210">
        <v>0</v>
      </c>
      <c r="K94" s="210"/>
      <c r="L94" s="203"/>
      <c r="M94" s="203"/>
      <c r="N94" s="203"/>
      <c r="O94" s="203"/>
    </row>
    <row r="95" spans="1:15" ht="15" customHeight="1" thickBot="1">
      <c r="A95" s="203"/>
      <c r="B95" s="211" t="s">
        <v>146</v>
      </c>
      <c r="C95" s="212"/>
      <c r="D95" s="232">
        <f>SUM(D90:D94)</f>
        <v>1575.9966218173447</v>
      </c>
      <c r="E95" s="215"/>
      <c r="F95" s="233">
        <f>ROUND(SUM(F90:F94),0)</f>
        <v>10</v>
      </c>
      <c r="G95" s="212"/>
      <c r="H95" s="211">
        <f>SUM(H90:H94)</f>
        <v>-122.88</v>
      </c>
      <c r="I95" s="216"/>
      <c r="J95" s="235"/>
      <c r="K95" s="235"/>
      <c r="L95" s="203"/>
      <c r="M95" s="203"/>
      <c r="N95" s="203"/>
      <c r="O95" s="203"/>
    </row>
    <row r="96" spans="1:15" ht="15" customHeight="1">
      <c r="A96" s="203"/>
      <c r="B96" s="208" t="s">
        <v>197</v>
      </c>
      <c r="C96" s="208"/>
      <c r="D96" s="236" t="s">
        <v>198</v>
      </c>
      <c r="E96" s="203"/>
      <c r="F96" s="203"/>
      <c r="G96" s="201">
        <f>((COUNT(B$90:B$94))*H$95-D$95*E$95)/((COUNT(B$90:B$94))*F$95-E$95*E$95)</f>
        <v>-12.288</v>
      </c>
      <c r="H96" s="236" t="s">
        <v>199</v>
      </c>
      <c r="I96" s="201"/>
      <c r="J96" s="201"/>
      <c r="K96" s="201">
        <f>ROUND((F95*D95-H95*E95)/(COUNT(B$90:B$94)*F95-E95*E95),0)</f>
        <v>315</v>
      </c>
      <c r="L96" s="203"/>
      <c r="M96" s="203"/>
      <c r="N96" s="203"/>
      <c r="O96" s="203"/>
    </row>
    <row r="97" spans="1:15" ht="15" customHeight="1">
      <c r="A97" s="203"/>
      <c r="B97" s="237"/>
      <c r="C97" s="237"/>
      <c r="D97" s="238"/>
      <c r="E97" s="201"/>
      <c r="F97" s="239"/>
      <c r="G97" s="240"/>
      <c r="H97" s="203"/>
      <c r="I97" s="240"/>
      <c r="J97" s="240"/>
      <c r="K97" s="241"/>
      <c r="L97" s="203"/>
      <c r="M97" s="203"/>
      <c r="N97" s="203"/>
      <c r="O97" s="203"/>
    </row>
    <row r="98" spans="1:15" ht="15" customHeight="1">
      <c r="A98" s="203"/>
      <c r="B98" s="203"/>
      <c r="C98" s="203"/>
      <c r="D98" s="203"/>
      <c r="E98" s="219"/>
      <c r="F98" s="203"/>
      <c r="G98" s="203"/>
      <c r="H98" s="203"/>
      <c r="I98" s="203"/>
      <c r="J98" s="203"/>
      <c r="K98" s="203"/>
      <c r="L98" s="203"/>
      <c r="M98" s="203"/>
      <c r="N98" s="203"/>
      <c r="O98" s="203"/>
    </row>
    <row r="99" spans="1:15" ht="15" customHeight="1" thickBot="1">
      <c r="A99" s="203"/>
      <c r="B99" s="203"/>
      <c r="C99" s="203"/>
      <c r="D99" s="203"/>
      <c r="E99" s="203"/>
      <c r="F99" s="208" t="s">
        <v>200</v>
      </c>
      <c r="G99" s="208"/>
      <c r="H99" s="203"/>
      <c r="I99" s="203"/>
      <c r="J99" s="203"/>
      <c r="K99" s="203"/>
      <c r="L99" s="203"/>
      <c r="M99" s="203"/>
      <c r="N99" s="203"/>
      <c r="O99" s="203"/>
    </row>
    <row r="100" spans="1:15" ht="15" customHeight="1">
      <c r="A100" s="203"/>
      <c r="B100" s="202" t="s">
        <v>141</v>
      </c>
      <c r="C100" s="202"/>
      <c r="D100" s="202" t="s">
        <v>156</v>
      </c>
      <c r="E100" s="202"/>
      <c r="F100" s="202" t="s">
        <v>157</v>
      </c>
      <c r="G100" s="202"/>
      <c r="H100" s="202" t="s">
        <v>158</v>
      </c>
      <c r="I100" s="202"/>
      <c r="J100" s="202" t="s">
        <v>144</v>
      </c>
      <c r="K100" s="202"/>
      <c r="L100" s="203"/>
      <c r="M100" s="203"/>
      <c r="N100" s="203"/>
      <c r="O100" s="203"/>
    </row>
    <row r="101" spans="1:15" ht="15" customHeight="1">
      <c r="A101" s="203"/>
      <c r="B101" s="220">
        <v>2016</v>
      </c>
      <c r="C101" s="221"/>
      <c r="D101" s="221">
        <f t="shared" ref="D101:D120" si="4">ROUNDUP(G$96*(B101-B$94+E$94)+K$96,0)</f>
        <v>291</v>
      </c>
      <c r="E101" s="221"/>
      <c r="F101" s="221">
        <v>0</v>
      </c>
      <c r="G101" s="221"/>
      <c r="H101" s="221">
        <f t="shared" ref="H101:H120" si="5">ROUND(D101*(1+F101),0)</f>
        <v>291</v>
      </c>
      <c r="I101" s="221"/>
      <c r="J101" s="222">
        <v>0</v>
      </c>
      <c r="K101" s="222"/>
      <c r="L101" s="203"/>
      <c r="M101" s="203"/>
      <c r="N101" s="203"/>
      <c r="O101" s="203"/>
    </row>
    <row r="102" spans="1:15" ht="15" customHeight="1">
      <c r="A102" s="203"/>
      <c r="B102" s="220">
        <v>2017</v>
      </c>
      <c r="C102" s="221"/>
      <c r="D102" s="221">
        <f t="shared" si="4"/>
        <v>279</v>
      </c>
      <c r="E102" s="221"/>
      <c r="F102" s="221">
        <v>0</v>
      </c>
      <c r="G102" s="221"/>
      <c r="H102" s="221">
        <f t="shared" si="5"/>
        <v>279</v>
      </c>
      <c r="I102" s="221"/>
      <c r="J102" s="222">
        <v>0</v>
      </c>
      <c r="K102" s="222"/>
      <c r="L102" s="203"/>
      <c r="M102" s="203"/>
      <c r="N102" s="203"/>
      <c r="O102" s="203"/>
    </row>
    <row r="103" spans="1:15" ht="15" customHeight="1">
      <c r="A103" s="203"/>
      <c r="B103" s="220">
        <v>2018</v>
      </c>
      <c r="C103" s="221"/>
      <c r="D103" s="221">
        <f t="shared" si="4"/>
        <v>266</v>
      </c>
      <c r="E103" s="221"/>
      <c r="F103" s="221">
        <v>0</v>
      </c>
      <c r="G103" s="221"/>
      <c r="H103" s="221">
        <f t="shared" si="5"/>
        <v>266</v>
      </c>
      <c r="I103" s="221"/>
      <c r="J103" s="222">
        <v>0</v>
      </c>
      <c r="K103" s="222"/>
      <c r="L103" s="203"/>
      <c r="M103" s="203"/>
      <c r="N103" s="203"/>
      <c r="O103" s="203"/>
    </row>
    <row r="104" spans="1:15" ht="15" customHeight="1">
      <c r="A104" s="203"/>
      <c r="B104" s="220">
        <v>2019</v>
      </c>
      <c r="C104" s="221"/>
      <c r="D104" s="221">
        <f t="shared" si="4"/>
        <v>254</v>
      </c>
      <c r="E104" s="221"/>
      <c r="F104" s="221">
        <v>0</v>
      </c>
      <c r="G104" s="221"/>
      <c r="H104" s="221">
        <f t="shared" si="5"/>
        <v>254</v>
      </c>
      <c r="I104" s="221"/>
      <c r="J104" s="222">
        <v>0</v>
      </c>
      <c r="K104" s="222"/>
      <c r="L104" s="203"/>
      <c r="M104" s="203"/>
      <c r="N104" s="203"/>
      <c r="O104" s="203"/>
    </row>
    <row r="105" spans="1:15" ht="15" customHeight="1">
      <c r="A105" s="203"/>
      <c r="B105" s="268">
        <v>2020</v>
      </c>
      <c r="C105" s="269"/>
      <c r="D105" s="269">
        <f t="shared" si="4"/>
        <v>242</v>
      </c>
      <c r="E105" s="269"/>
      <c r="F105" s="269">
        <v>0</v>
      </c>
      <c r="G105" s="269"/>
      <c r="H105" s="269">
        <f t="shared" si="5"/>
        <v>242</v>
      </c>
      <c r="I105" s="269"/>
      <c r="J105" s="270">
        <v>0</v>
      </c>
      <c r="K105" s="270"/>
      <c r="L105" s="203"/>
      <c r="M105" s="203"/>
      <c r="N105" s="203"/>
      <c r="O105" s="203"/>
    </row>
    <row r="106" spans="1:15" ht="15" customHeight="1">
      <c r="A106" s="203"/>
      <c r="B106" s="220">
        <v>2021</v>
      </c>
      <c r="C106" s="221"/>
      <c r="D106" s="221">
        <f t="shared" si="4"/>
        <v>229</v>
      </c>
      <c r="E106" s="221"/>
      <c r="F106" s="221">
        <v>0</v>
      </c>
      <c r="G106" s="221"/>
      <c r="H106" s="221">
        <f t="shared" si="5"/>
        <v>229</v>
      </c>
      <c r="I106" s="221"/>
      <c r="J106" s="222">
        <v>0</v>
      </c>
      <c r="K106" s="222"/>
      <c r="L106" s="203"/>
      <c r="M106" s="203"/>
      <c r="N106" s="203"/>
      <c r="O106" s="203"/>
    </row>
    <row r="107" spans="1:15" ht="15" customHeight="1">
      <c r="A107" s="203"/>
      <c r="B107" s="220">
        <v>2022</v>
      </c>
      <c r="C107" s="221"/>
      <c r="D107" s="221">
        <f t="shared" si="4"/>
        <v>217</v>
      </c>
      <c r="E107" s="221"/>
      <c r="F107" s="221">
        <v>0</v>
      </c>
      <c r="G107" s="221"/>
      <c r="H107" s="221">
        <f t="shared" si="5"/>
        <v>217</v>
      </c>
      <c r="I107" s="221"/>
      <c r="J107" s="222">
        <v>0</v>
      </c>
      <c r="K107" s="222"/>
      <c r="L107" s="203"/>
      <c r="M107" s="203"/>
      <c r="N107" s="203"/>
      <c r="O107" s="203"/>
    </row>
    <row r="108" spans="1:15" ht="15" customHeight="1">
      <c r="A108" s="203"/>
      <c r="B108" s="220">
        <v>2023</v>
      </c>
      <c r="C108" s="221"/>
      <c r="D108" s="221">
        <f t="shared" si="4"/>
        <v>205</v>
      </c>
      <c r="E108" s="221"/>
      <c r="F108" s="221">
        <v>0</v>
      </c>
      <c r="G108" s="221"/>
      <c r="H108" s="221">
        <f t="shared" si="5"/>
        <v>205</v>
      </c>
      <c r="I108" s="221"/>
      <c r="J108" s="222">
        <v>0</v>
      </c>
      <c r="K108" s="222"/>
      <c r="L108" s="203"/>
      <c r="M108" s="203"/>
      <c r="N108" s="203"/>
      <c r="O108" s="203"/>
    </row>
    <row r="109" spans="1:15" ht="15" customHeight="1">
      <c r="A109" s="203"/>
      <c r="B109" s="220">
        <v>2024</v>
      </c>
      <c r="C109" s="221"/>
      <c r="D109" s="221">
        <f t="shared" si="4"/>
        <v>193</v>
      </c>
      <c r="E109" s="221"/>
      <c r="F109" s="221">
        <v>0</v>
      </c>
      <c r="G109" s="221"/>
      <c r="H109" s="221">
        <f t="shared" si="5"/>
        <v>193</v>
      </c>
      <c r="I109" s="221"/>
      <c r="J109" s="222">
        <v>0</v>
      </c>
      <c r="K109" s="222"/>
      <c r="L109" s="203"/>
      <c r="M109" s="203"/>
      <c r="N109" s="203"/>
      <c r="O109" s="203"/>
    </row>
    <row r="110" spans="1:15" ht="15" customHeight="1">
      <c r="A110" s="203"/>
      <c r="B110" s="268">
        <v>2025</v>
      </c>
      <c r="C110" s="269"/>
      <c r="D110" s="269">
        <f t="shared" si="4"/>
        <v>180</v>
      </c>
      <c r="E110" s="269"/>
      <c r="F110" s="269">
        <v>0</v>
      </c>
      <c r="G110" s="269"/>
      <c r="H110" s="269">
        <f t="shared" si="5"/>
        <v>180</v>
      </c>
      <c r="I110" s="269"/>
      <c r="J110" s="270">
        <v>0</v>
      </c>
      <c r="K110" s="270"/>
      <c r="L110" s="203"/>
      <c r="M110" s="203"/>
      <c r="N110" s="203"/>
      <c r="O110" s="203"/>
    </row>
    <row r="111" spans="1:15" ht="15" customHeight="1">
      <c r="A111" s="203"/>
      <c r="B111" s="220">
        <v>2026</v>
      </c>
      <c r="C111" s="221"/>
      <c r="D111" s="221">
        <f t="shared" si="4"/>
        <v>168</v>
      </c>
      <c r="E111" s="221"/>
      <c r="F111" s="221">
        <v>0</v>
      </c>
      <c r="G111" s="221"/>
      <c r="H111" s="221">
        <f t="shared" si="5"/>
        <v>168</v>
      </c>
      <c r="I111" s="221"/>
      <c r="J111" s="222">
        <v>0</v>
      </c>
      <c r="K111" s="222"/>
      <c r="L111" s="203"/>
      <c r="M111" s="203"/>
      <c r="N111" s="203"/>
      <c r="O111" s="203"/>
    </row>
    <row r="112" spans="1:15" ht="15" customHeight="1">
      <c r="A112" s="203"/>
      <c r="B112" s="220">
        <v>2027</v>
      </c>
      <c r="C112" s="221"/>
      <c r="D112" s="221">
        <f t="shared" si="4"/>
        <v>156</v>
      </c>
      <c r="E112" s="221"/>
      <c r="F112" s="221">
        <v>0</v>
      </c>
      <c r="G112" s="221"/>
      <c r="H112" s="221">
        <f t="shared" si="5"/>
        <v>156</v>
      </c>
      <c r="I112" s="221"/>
      <c r="J112" s="222">
        <v>0</v>
      </c>
      <c r="K112" s="222"/>
      <c r="L112" s="203"/>
      <c r="M112" s="203"/>
      <c r="N112" s="203"/>
      <c r="O112" s="203"/>
    </row>
    <row r="113" spans="1:15" ht="15" customHeight="1">
      <c r="A113" s="203"/>
      <c r="B113" s="220">
        <v>2028</v>
      </c>
      <c r="C113" s="221"/>
      <c r="D113" s="221">
        <f t="shared" si="4"/>
        <v>143</v>
      </c>
      <c r="E113" s="221"/>
      <c r="F113" s="221">
        <v>0</v>
      </c>
      <c r="G113" s="221"/>
      <c r="H113" s="221">
        <f t="shared" si="5"/>
        <v>143</v>
      </c>
      <c r="I113" s="221"/>
      <c r="J113" s="222">
        <v>0</v>
      </c>
      <c r="K113" s="222"/>
      <c r="L113" s="203"/>
      <c r="M113" s="203"/>
      <c r="N113" s="203"/>
      <c r="O113" s="203"/>
    </row>
    <row r="114" spans="1:15" ht="15" customHeight="1">
      <c r="A114" s="203"/>
      <c r="B114" s="220">
        <v>2029</v>
      </c>
      <c r="C114" s="221"/>
      <c r="D114" s="221">
        <f t="shared" si="4"/>
        <v>131</v>
      </c>
      <c r="E114" s="221"/>
      <c r="F114" s="221">
        <v>0</v>
      </c>
      <c r="G114" s="221"/>
      <c r="H114" s="221">
        <f t="shared" si="5"/>
        <v>131</v>
      </c>
      <c r="I114" s="221"/>
      <c r="J114" s="222">
        <v>0</v>
      </c>
      <c r="K114" s="222"/>
      <c r="L114" s="203"/>
      <c r="M114" s="203"/>
      <c r="N114" s="203"/>
      <c r="O114" s="203"/>
    </row>
    <row r="115" spans="1:15" ht="15" customHeight="1">
      <c r="A115" s="203"/>
      <c r="B115" s="268">
        <v>2030</v>
      </c>
      <c r="C115" s="269"/>
      <c r="D115" s="269">
        <f t="shared" si="4"/>
        <v>119</v>
      </c>
      <c r="E115" s="269"/>
      <c r="F115" s="269">
        <v>0</v>
      </c>
      <c r="G115" s="269"/>
      <c r="H115" s="269">
        <f t="shared" si="5"/>
        <v>119</v>
      </c>
      <c r="I115" s="269"/>
      <c r="J115" s="270">
        <v>0</v>
      </c>
      <c r="K115" s="270"/>
      <c r="L115" s="203"/>
      <c r="M115" s="203"/>
      <c r="N115" s="203"/>
      <c r="O115" s="203"/>
    </row>
    <row r="116" spans="1:15" ht="15" customHeight="1">
      <c r="A116" s="203"/>
      <c r="B116" s="220">
        <v>2031</v>
      </c>
      <c r="C116" s="221"/>
      <c r="D116" s="221">
        <f t="shared" si="4"/>
        <v>107</v>
      </c>
      <c r="E116" s="221"/>
      <c r="F116" s="221">
        <v>0</v>
      </c>
      <c r="G116" s="221"/>
      <c r="H116" s="221">
        <f t="shared" si="5"/>
        <v>107</v>
      </c>
      <c r="I116" s="221"/>
      <c r="J116" s="222">
        <v>0</v>
      </c>
      <c r="K116" s="222"/>
      <c r="L116" s="203"/>
      <c r="M116" s="203"/>
      <c r="N116" s="203"/>
      <c r="O116" s="203"/>
    </row>
    <row r="117" spans="1:15" ht="15" customHeight="1">
      <c r="A117" s="203"/>
      <c r="B117" s="220">
        <v>2032</v>
      </c>
      <c r="C117" s="221"/>
      <c r="D117" s="221">
        <f t="shared" si="4"/>
        <v>94</v>
      </c>
      <c r="E117" s="221"/>
      <c r="F117" s="221">
        <v>0</v>
      </c>
      <c r="G117" s="221"/>
      <c r="H117" s="221">
        <f t="shared" si="5"/>
        <v>94</v>
      </c>
      <c r="I117" s="221"/>
      <c r="J117" s="222">
        <v>0</v>
      </c>
      <c r="K117" s="222"/>
      <c r="L117" s="203"/>
      <c r="M117" s="203"/>
      <c r="N117" s="203"/>
      <c r="O117" s="203"/>
    </row>
    <row r="118" spans="1:15" ht="15" customHeight="1">
      <c r="A118" s="203"/>
      <c r="B118" s="220">
        <v>2033</v>
      </c>
      <c r="C118" s="221"/>
      <c r="D118" s="221">
        <f t="shared" si="4"/>
        <v>82</v>
      </c>
      <c r="E118" s="221"/>
      <c r="F118" s="221">
        <v>0</v>
      </c>
      <c r="G118" s="221"/>
      <c r="H118" s="221">
        <f t="shared" si="5"/>
        <v>82</v>
      </c>
      <c r="I118" s="221"/>
      <c r="J118" s="222">
        <v>0</v>
      </c>
      <c r="K118" s="222"/>
      <c r="L118" s="203"/>
      <c r="M118" s="203"/>
      <c r="N118" s="203"/>
      <c r="O118" s="203"/>
    </row>
    <row r="119" spans="1:15" ht="15" customHeight="1">
      <c r="A119" s="203"/>
      <c r="B119" s="220">
        <v>2034</v>
      </c>
      <c r="C119" s="221"/>
      <c r="D119" s="221">
        <f t="shared" si="4"/>
        <v>70</v>
      </c>
      <c r="E119" s="221"/>
      <c r="F119" s="221">
        <v>0</v>
      </c>
      <c r="G119" s="221"/>
      <c r="H119" s="221">
        <f t="shared" si="5"/>
        <v>70</v>
      </c>
      <c r="I119" s="221"/>
      <c r="J119" s="222">
        <v>0</v>
      </c>
      <c r="K119" s="222"/>
      <c r="L119" s="203"/>
      <c r="M119" s="203"/>
      <c r="N119" s="203"/>
      <c r="O119" s="203"/>
    </row>
    <row r="120" spans="1:15" ht="15" customHeight="1" thickBot="1">
      <c r="A120" s="203"/>
      <c r="B120" s="268">
        <v>2035</v>
      </c>
      <c r="C120" s="269"/>
      <c r="D120" s="269">
        <f t="shared" si="4"/>
        <v>57</v>
      </c>
      <c r="E120" s="269"/>
      <c r="F120" s="269">
        <v>0</v>
      </c>
      <c r="G120" s="269"/>
      <c r="H120" s="269">
        <f t="shared" si="5"/>
        <v>57</v>
      </c>
      <c r="I120" s="269"/>
      <c r="J120" s="270">
        <v>0</v>
      </c>
      <c r="K120" s="270"/>
      <c r="L120" s="203"/>
      <c r="M120" s="203"/>
      <c r="N120" s="203"/>
      <c r="O120" s="203"/>
    </row>
    <row r="121" spans="1:15" ht="15" customHeight="1">
      <c r="A121" s="203"/>
      <c r="B121" s="226"/>
      <c r="C121" s="226"/>
      <c r="D121" s="226"/>
      <c r="E121" s="226"/>
      <c r="F121" s="226"/>
      <c r="G121" s="226"/>
      <c r="H121" s="226"/>
      <c r="I121" s="226"/>
      <c r="J121" s="226"/>
      <c r="K121" s="226"/>
      <c r="L121" s="203"/>
      <c r="M121" s="203"/>
      <c r="N121" s="203"/>
      <c r="O121" s="203"/>
    </row>
    <row r="122" spans="1:15" ht="15" customHeight="1">
      <c r="A122" s="203"/>
      <c r="B122" s="239"/>
      <c r="C122" s="239"/>
      <c r="D122" s="239"/>
      <c r="E122" s="239"/>
      <c r="F122" s="239"/>
      <c r="G122" s="239"/>
      <c r="H122" s="239"/>
      <c r="I122" s="239"/>
      <c r="J122" s="239"/>
      <c r="K122" s="239"/>
      <c r="L122" s="203"/>
      <c r="M122" s="203"/>
      <c r="N122" s="203"/>
      <c r="O122" s="203"/>
    </row>
    <row r="123" spans="1:15" ht="15" customHeight="1">
      <c r="A123" s="203"/>
      <c r="B123" s="218" t="s">
        <v>203</v>
      </c>
      <c r="C123" s="219"/>
      <c r="D123" s="219"/>
      <c r="E123" s="219"/>
      <c r="F123" s="219"/>
      <c r="G123" s="203"/>
      <c r="H123" s="203"/>
      <c r="I123" s="203"/>
      <c r="J123" s="203"/>
      <c r="K123" s="203"/>
      <c r="L123" s="203"/>
      <c r="M123" s="203"/>
      <c r="N123" s="203"/>
      <c r="O123" s="203"/>
    </row>
    <row r="124" spans="1:15" ht="15" customHeight="1">
      <c r="A124" s="203"/>
      <c r="B124" s="203"/>
      <c r="C124" s="219" t="s">
        <v>148</v>
      </c>
      <c r="D124" s="219" t="s">
        <v>205</v>
      </c>
      <c r="E124" s="219"/>
      <c r="F124" s="219"/>
      <c r="G124" s="166" t="b">
        <v>1</v>
      </c>
      <c r="H124" s="203"/>
      <c r="I124" s="203"/>
      <c r="J124" s="203"/>
      <c r="K124" s="203"/>
      <c r="L124" s="203"/>
      <c r="M124" s="203"/>
      <c r="N124" s="203"/>
      <c r="O124" s="203"/>
    </row>
    <row r="125" spans="1:15" ht="15" customHeight="1">
      <c r="A125" s="203"/>
      <c r="B125" s="201"/>
      <c r="C125" s="228" t="s">
        <v>185</v>
      </c>
      <c r="D125" s="219" t="s">
        <v>207</v>
      </c>
      <c r="E125" s="219"/>
      <c r="F125" s="201"/>
      <c r="G125" s="243" t="b">
        <v>0</v>
      </c>
      <c r="H125" s="203"/>
      <c r="I125" s="203"/>
      <c r="J125" s="203"/>
      <c r="K125" s="203"/>
      <c r="L125" s="203"/>
      <c r="M125" s="203"/>
      <c r="N125" s="203"/>
      <c r="O125" s="203"/>
    </row>
    <row r="126" spans="1:15" ht="15" customHeight="1">
      <c r="A126" s="203"/>
      <c r="B126" s="201"/>
      <c r="C126" s="228"/>
      <c r="D126" s="219" t="s">
        <v>208</v>
      </c>
      <c r="E126" s="219"/>
      <c r="F126" s="201"/>
      <c r="G126" s="203"/>
      <c r="H126" s="203"/>
      <c r="I126" s="203"/>
      <c r="J126" s="203"/>
      <c r="K126" s="203"/>
      <c r="L126" s="203"/>
      <c r="M126" s="203"/>
      <c r="N126" s="203"/>
      <c r="O126" s="203"/>
    </row>
    <row r="127" spans="1:15" ht="15" customHeight="1">
      <c r="A127" s="203"/>
      <c r="B127" s="219"/>
      <c r="C127" s="219"/>
      <c r="D127" s="219" t="s">
        <v>209</v>
      </c>
      <c r="E127" s="219"/>
      <c r="F127" s="219"/>
      <c r="G127" s="203"/>
      <c r="H127" s="203"/>
      <c r="I127" s="203"/>
      <c r="J127" s="203"/>
      <c r="K127" s="203"/>
      <c r="L127" s="203"/>
      <c r="M127" s="203"/>
      <c r="N127" s="203"/>
      <c r="O127" s="203"/>
    </row>
    <row r="128" spans="1:15" ht="15" customHeight="1" thickBot="1">
      <c r="A128" s="203"/>
      <c r="B128" s="203"/>
      <c r="C128" s="203"/>
      <c r="D128" s="203"/>
      <c r="E128" s="203"/>
      <c r="F128" s="208" t="s">
        <v>210</v>
      </c>
      <c r="G128" s="208"/>
      <c r="H128" s="203"/>
      <c r="I128" s="203"/>
      <c r="J128" s="203"/>
      <c r="K128" s="203"/>
      <c r="L128" s="203"/>
      <c r="M128" s="203"/>
      <c r="N128" s="203"/>
      <c r="O128" s="203"/>
    </row>
    <row r="129" spans="1:15" ht="15" customHeight="1">
      <c r="A129" s="203"/>
      <c r="B129" s="202" t="s">
        <v>141</v>
      </c>
      <c r="C129" s="202"/>
      <c r="D129" s="202" t="s">
        <v>191</v>
      </c>
      <c r="E129" s="202" t="s">
        <v>192</v>
      </c>
      <c r="F129" s="202" t="s">
        <v>192</v>
      </c>
      <c r="G129" s="202" t="s">
        <v>193</v>
      </c>
      <c r="H129" s="202" t="s">
        <v>215</v>
      </c>
      <c r="I129" s="202"/>
      <c r="J129" s="202" t="s">
        <v>216</v>
      </c>
      <c r="K129" s="202" t="s">
        <v>217</v>
      </c>
      <c r="L129" s="203"/>
      <c r="M129" s="203"/>
      <c r="N129" s="203"/>
      <c r="O129" s="203"/>
    </row>
    <row r="130" spans="1:15" ht="15" customHeight="1">
      <c r="A130" s="203"/>
      <c r="B130" s="840">
        <f>B90</f>
        <v>2012</v>
      </c>
      <c r="C130" s="840"/>
      <c r="D130" s="208">
        <f>VLOOKUP(B130,B$7:E$11,3,FALSE)</f>
        <v>318.93605974679502</v>
      </c>
      <c r="E130" s="244">
        <f>IF(G$124=FALSE,"",((COUNT(B$90:B$94)-1))+(B130-$C$4))</f>
        <v>0</v>
      </c>
      <c r="F130" s="245">
        <v>0</v>
      </c>
      <c r="G130" s="246">
        <f>IF(F130="","",F130^2)</f>
        <v>0</v>
      </c>
      <c r="H130" s="231">
        <f>IF(G130="","",ABS(D130-D$130))</f>
        <v>0</v>
      </c>
      <c r="I130" s="231"/>
      <c r="J130" s="247">
        <v>0</v>
      </c>
      <c r="K130" s="247">
        <f>IF(J130="","",J130*F130)</f>
        <v>0</v>
      </c>
      <c r="L130" s="203"/>
      <c r="M130" s="203"/>
      <c r="N130" s="203"/>
      <c r="O130" s="203"/>
    </row>
    <row r="131" spans="1:15" ht="15" customHeight="1">
      <c r="A131" s="203"/>
      <c r="B131" s="840">
        <f>B91</f>
        <v>2013</v>
      </c>
      <c r="C131" s="840"/>
      <c r="D131" s="208">
        <f>VLOOKUP(B131,B$7:E$11,3,FALSE)</f>
        <v>351.18236541341196</v>
      </c>
      <c r="E131" s="244">
        <f>IF(G$124=FALSE,"",((COUNT(B$90:B$94)-1))+(B131-$C$4))</f>
        <v>1</v>
      </c>
      <c r="F131" s="245">
        <f>IF(E131="","",LOG(E131))</f>
        <v>0</v>
      </c>
      <c r="G131" s="246">
        <f>IF(F131="","",F131^2)</f>
        <v>0</v>
      </c>
      <c r="H131" s="231">
        <f>IF(G131="","",ABS(D131-D$130))</f>
        <v>32.246305666616934</v>
      </c>
      <c r="I131" s="231"/>
      <c r="J131" s="247">
        <f>IF(H131="","",LOG(H131))</f>
        <v>1.5084799663974686</v>
      </c>
      <c r="K131" s="247">
        <f>IF(J131="","",J131*F131)</f>
        <v>0</v>
      </c>
      <c r="L131" s="203"/>
      <c r="M131" s="203"/>
      <c r="N131" s="203"/>
      <c r="O131" s="203"/>
    </row>
    <row r="132" spans="1:15" ht="15" customHeight="1">
      <c r="A132" s="203"/>
      <c r="B132" s="840">
        <f>B92</f>
        <v>2014</v>
      </c>
      <c r="C132" s="840"/>
      <c r="D132" s="208">
        <f>VLOOKUP(B132,B$7:E$11,3,FALSE)</f>
        <v>329.63578821047184</v>
      </c>
      <c r="E132" s="244">
        <f>IF(G$124=FALSE,"",((COUNT(B$90:B$94)-1))+(B132-$C$4))</f>
        <v>2</v>
      </c>
      <c r="F132" s="245">
        <f>IF(E132="","",LOG(E132))</f>
        <v>0.3010299956639812</v>
      </c>
      <c r="G132" s="246">
        <f>IF(F132="","",F132^2)</f>
        <v>9.0619058289456544E-2</v>
      </c>
      <c r="H132" s="231">
        <f>IF(G132="","",ABS(D132-D$130))</f>
        <v>10.69972846367682</v>
      </c>
      <c r="I132" s="231"/>
      <c r="J132" s="247">
        <f>IF(H132="","",LOG(H132))</f>
        <v>1.0293727563559438</v>
      </c>
      <c r="K132" s="247">
        <f>IF(J132="","",J132*F132)</f>
        <v>0.30987207638245012</v>
      </c>
      <c r="L132" s="203"/>
      <c r="M132" s="203"/>
      <c r="N132" s="203"/>
      <c r="O132" s="203"/>
    </row>
    <row r="133" spans="1:15" ht="15" customHeight="1">
      <c r="A133" s="203"/>
      <c r="B133" s="840">
        <f>B93</f>
        <v>2015</v>
      </c>
      <c r="C133" s="840"/>
      <c r="D133" s="208">
        <f>VLOOKUP(B133,B$7:E$11,3,FALSE)</f>
        <v>286.312995274446</v>
      </c>
      <c r="E133" s="244">
        <f>IF(G$124=FALSE,"",((COUNT(B$90:B$94)-1))+(B133-$C$4))</f>
        <v>3</v>
      </c>
      <c r="F133" s="245">
        <f>IF(E133="","",LOG(E133))</f>
        <v>0.47712125471966244</v>
      </c>
      <c r="G133" s="246">
        <f>IF(F133="","",F133^2)</f>
        <v>0.227644691705265</v>
      </c>
      <c r="H133" s="231">
        <f>IF(G133="","",ABS(D133-D$130))</f>
        <v>32.623064472349029</v>
      </c>
      <c r="I133" s="231"/>
      <c r="J133" s="247">
        <f>IF(H133="","",LOG(H133))</f>
        <v>1.5135247544026138</v>
      </c>
      <c r="K133" s="247">
        <f>IF(J133="","",J133*F133)</f>
        <v>0.72213482986984401</v>
      </c>
      <c r="L133" s="203"/>
      <c r="M133" s="203"/>
      <c r="N133" s="203"/>
      <c r="O133" s="203"/>
    </row>
    <row r="134" spans="1:15" ht="15" customHeight="1">
      <c r="A134" s="203"/>
      <c r="B134" s="840">
        <f>B94</f>
        <v>2016</v>
      </c>
      <c r="C134" s="840"/>
      <c r="D134" s="208">
        <f>VLOOKUP(B134,B$7:E$11,3,FALSE)</f>
        <v>289.92941317221988</v>
      </c>
      <c r="E134" s="244">
        <f>IF(G$124=FALSE,"",((COUNT(B$90:B$94)-1))+(B134-$C$4))</f>
        <v>4</v>
      </c>
      <c r="F134" s="245">
        <f>IF(E134="","",LOG(E134))</f>
        <v>0.6020599913279624</v>
      </c>
      <c r="G134" s="246">
        <f>IF(F134="","",F134^2)</f>
        <v>0.36247623315782618</v>
      </c>
      <c r="H134" s="231">
        <f>IF(G134="","",ABS(D134-D$130))</f>
        <v>29.006646574575143</v>
      </c>
      <c r="I134" s="231"/>
      <c r="J134" s="247">
        <f>IF(H134="","",LOG(H134))</f>
        <v>1.462497523413518</v>
      </c>
      <c r="K134" s="247">
        <f>IF(J134="","",J134*F134)</f>
        <v>0.88051124626350918</v>
      </c>
      <c r="L134" s="203"/>
      <c r="M134" s="203"/>
      <c r="N134" s="203"/>
      <c r="O134" s="203"/>
    </row>
    <row r="135" spans="1:15" ht="15" customHeight="1" thickBot="1">
      <c r="A135" s="203"/>
      <c r="B135" s="211" t="s">
        <v>146</v>
      </c>
      <c r="C135" s="212"/>
      <c r="D135" s="248"/>
      <c r="E135" s="249"/>
      <c r="F135" s="250">
        <f>IF(F134="","",ROUND(SUM(F130:F134),6))</f>
        <v>1.3802110000000001</v>
      </c>
      <c r="G135" s="250">
        <f>IF(G134="","",ROUND(SUM(G130:G134),6))</f>
        <v>0.68074000000000001</v>
      </c>
      <c r="H135" s="251"/>
      <c r="I135" s="252"/>
      <c r="J135" s="253">
        <f>IF(J134="","",SUM(J130:J134))</f>
        <v>5.513875000569544</v>
      </c>
      <c r="K135" s="253">
        <f>IF(K134="","",SUM(K130:K134))</f>
        <v>1.9125181525158033</v>
      </c>
      <c r="L135" s="203"/>
      <c r="M135" s="203"/>
      <c r="N135" s="203"/>
      <c r="O135" s="203"/>
    </row>
    <row r="136" spans="1:15" ht="15" customHeight="1">
      <c r="A136" s="203"/>
      <c r="B136" s="208" t="s">
        <v>219</v>
      </c>
      <c r="C136" s="208"/>
      <c r="D136" s="201" t="s">
        <v>162</v>
      </c>
      <c r="E136" s="201">
        <f>IF(G135="",0,5^ROUND((G135*J135-F135*K135)/((COUNT(B$130:B$134)-1)*G135-F135*F135),5))</f>
        <v>8.9492667840544904</v>
      </c>
      <c r="F136" s="238" t="s">
        <v>220</v>
      </c>
      <c r="G136" s="203"/>
      <c r="H136" s="208"/>
      <c r="I136" s="203"/>
      <c r="J136" s="254">
        <f>IF(G135="",0,ROUND(((COUNT(B$130:B$134)-1)*K135-J135*F135)/((COUNT(B$130:B$134)-1)*G135-F135*F135),5))</f>
        <v>4.861E-2</v>
      </c>
      <c r="K136" s="255"/>
      <c r="L136" s="203"/>
      <c r="M136" s="203"/>
      <c r="N136" s="203"/>
      <c r="O136" s="203"/>
    </row>
    <row r="137" spans="1:15" ht="15" customHeight="1">
      <c r="A137" s="203"/>
      <c r="B137" s="203"/>
      <c r="C137" s="203"/>
      <c r="D137" s="238" t="s">
        <v>221</v>
      </c>
      <c r="E137" s="219"/>
      <c r="F137" s="219"/>
      <c r="G137" s="256"/>
      <c r="H137" s="201" t="s">
        <v>222</v>
      </c>
      <c r="I137" s="219" t="s">
        <v>223</v>
      </c>
      <c r="J137" s="201" t="str">
        <f>"A = 5^("&amp;RIGHT(H137,1)&amp;") "</f>
        <v xml:space="preserve">A = 5^(b) </v>
      </c>
      <c r="K137" s="203"/>
      <c r="L137" s="203"/>
      <c r="M137" s="203"/>
      <c r="N137" s="203"/>
      <c r="O137" s="203"/>
    </row>
    <row r="138" spans="1:15" ht="15" customHeight="1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</row>
    <row r="139" spans="1:15" ht="15" customHeight="1" thickBot="1">
      <c r="A139" s="203"/>
      <c r="B139" s="203"/>
      <c r="C139" s="203"/>
      <c r="D139" s="203"/>
      <c r="E139" s="203"/>
      <c r="F139" s="208" t="s">
        <v>200</v>
      </c>
      <c r="G139" s="208"/>
      <c r="H139" s="203"/>
      <c r="I139" s="203"/>
      <c r="J139" s="203"/>
      <c r="K139" s="203"/>
      <c r="L139" s="203"/>
      <c r="M139" s="203"/>
      <c r="N139" s="203"/>
      <c r="O139" s="203"/>
    </row>
    <row r="140" spans="1:15" ht="15" customHeight="1">
      <c r="A140" s="203"/>
      <c r="B140" s="202" t="s">
        <v>141</v>
      </c>
      <c r="C140" s="202"/>
      <c r="D140" s="202" t="s">
        <v>156</v>
      </c>
      <c r="E140" s="202"/>
      <c r="F140" s="202" t="s">
        <v>157</v>
      </c>
      <c r="G140" s="202"/>
      <c r="H140" s="202" t="s">
        <v>158</v>
      </c>
      <c r="I140" s="202"/>
      <c r="J140" s="202" t="s">
        <v>144</v>
      </c>
      <c r="K140" s="202"/>
      <c r="L140" s="203"/>
      <c r="M140" s="203"/>
      <c r="N140" s="203"/>
      <c r="O140" s="203"/>
    </row>
    <row r="141" spans="1:15" ht="15" customHeight="1">
      <c r="A141" s="203"/>
      <c r="B141" s="220">
        <v>2016</v>
      </c>
      <c r="C141" s="221"/>
      <c r="D141" s="257">
        <f t="shared" ref="D141:D160" si="6">IF(J$136=0,0,ROUNDUP(D$130+E$136*(B141-B$130)^J$136,0))</f>
        <v>329</v>
      </c>
      <c r="E141" s="257"/>
      <c r="F141" s="258">
        <v>0</v>
      </c>
      <c r="G141" s="258"/>
      <c r="H141" s="258">
        <f t="shared" ref="H141:H160" si="7">ROUND(D141*(1+F141),0)</f>
        <v>329</v>
      </c>
      <c r="I141" s="258"/>
      <c r="J141" s="222">
        <v>0</v>
      </c>
      <c r="K141" s="222"/>
      <c r="L141" s="203"/>
      <c r="M141" s="203"/>
      <c r="N141" s="203"/>
      <c r="O141" s="203"/>
    </row>
    <row r="142" spans="1:15" ht="15" customHeight="1">
      <c r="A142" s="203"/>
      <c r="B142" s="220">
        <v>2017</v>
      </c>
      <c r="C142" s="221"/>
      <c r="D142" s="257">
        <f t="shared" si="6"/>
        <v>329</v>
      </c>
      <c r="E142" s="257"/>
      <c r="F142" s="258">
        <v>0</v>
      </c>
      <c r="G142" s="258"/>
      <c r="H142" s="258">
        <f t="shared" si="7"/>
        <v>329</v>
      </c>
      <c r="I142" s="258"/>
      <c r="J142" s="222">
        <v>0</v>
      </c>
      <c r="K142" s="222"/>
      <c r="L142" s="203"/>
      <c r="M142" s="203"/>
      <c r="N142" s="203"/>
      <c r="O142" s="203"/>
    </row>
    <row r="143" spans="1:15" ht="15" customHeight="1">
      <c r="A143" s="203"/>
      <c r="B143" s="220">
        <v>2018</v>
      </c>
      <c r="C143" s="221"/>
      <c r="D143" s="257">
        <f t="shared" si="6"/>
        <v>329</v>
      </c>
      <c r="E143" s="257"/>
      <c r="F143" s="258">
        <v>0</v>
      </c>
      <c r="G143" s="258"/>
      <c r="H143" s="258">
        <f t="shared" si="7"/>
        <v>329</v>
      </c>
      <c r="I143" s="258"/>
      <c r="J143" s="222">
        <v>0</v>
      </c>
      <c r="K143" s="222"/>
      <c r="L143" s="203"/>
      <c r="M143" s="203"/>
      <c r="N143" s="203"/>
      <c r="O143" s="203"/>
    </row>
    <row r="144" spans="1:15" ht="15" customHeight="1">
      <c r="A144" s="203"/>
      <c r="B144" s="220">
        <v>2019</v>
      </c>
      <c r="C144" s="221"/>
      <c r="D144" s="257">
        <f t="shared" si="6"/>
        <v>329</v>
      </c>
      <c r="E144" s="257"/>
      <c r="F144" s="258">
        <v>0</v>
      </c>
      <c r="G144" s="258"/>
      <c r="H144" s="258">
        <f t="shared" si="7"/>
        <v>329</v>
      </c>
      <c r="I144" s="258"/>
      <c r="J144" s="222">
        <v>0</v>
      </c>
      <c r="K144" s="222"/>
      <c r="L144" s="203"/>
      <c r="M144" s="203"/>
      <c r="N144" s="203"/>
      <c r="O144" s="203"/>
    </row>
    <row r="145" spans="1:15" ht="15" customHeight="1">
      <c r="A145" s="203"/>
      <c r="B145" s="268">
        <v>2020</v>
      </c>
      <c r="C145" s="269"/>
      <c r="D145" s="271">
        <f t="shared" si="6"/>
        <v>329</v>
      </c>
      <c r="E145" s="271"/>
      <c r="F145" s="272">
        <v>0</v>
      </c>
      <c r="G145" s="272"/>
      <c r="H145" s="272">
        <f t="shared" si="7"/>
        <v>329</v>
      </c>
      <c r="I145" s="272"/>
      <c r="J145" s="270">
        <v>0</v>
      </c>
      <c r="K145" s="270"/>
      <c r="L145" s="203"/>
      <c r="M145" s="203"/>
      <c r="N145" s="203"/>
      <c r="O145" s="203"/>
    </row>
    <row r="146" spans="1:15" ht="15" customHeight="1">
      <c r="A146" s="203"/>
      <c r="B146" s="220">
        <v>2021</v>
      </c>
      <c r="C146" s="221"/>
      <c r="D146" s="257">
        <f t="shared" si="6"/>
        <v>329</v>
      </c>
      <c r="E146" s="257"/>
      <c r="F146" s="258">
        <v>0</v>
      </c>
      <c r="G146" s="258"/>
      <c r="H146" s="258">
        <f t="shared" si="7"/>
        <v>329</v>
      </c>
      <c r="I146" s="258"/>
      <c r="J146" s="222">
        <v>0</v>
      </c>
      <c r="K146" s="222"/>
      <c r="L146" s="203"/>
      <c r="M146" s="203"/>
      <c r="N146" s="203"/>
      <c r="O146" s="203"/>
    </row>
    <row r="147" spans="1:15" ht="15" customHeight="1">
      <c r="A147" s="203"/>
      <c r="B147" s="220">
        <v>2022</v>
      </c>
      <c r="C147" s="221"/>
      <c r="D147" s="257">
        <f t="shared" si="6"/>
        <v>329</v>
      </c>
      <c r="E147" s="257"/>
      <c r="F147" s="258">
        <v>0</v>
      </c>
      <c r="G147" s="258"/>
      <c r="H147" s="258">
        <f t="shared" si="7"/>
        <v>329</v>
      </c>
      <c r="I147" s="258"/>
      <c r="J147" s="222">
        <v>0</v>
      </c>
      <c r="K147" s="222"/>
      <c r="L147" s="203"/>
      <c r="M147" s="203"/>
      <c r="N147" s="203"/>
      <c r="O147" s="203"/>
    </row>
    <row r="148" spans="1:15" ht="15" customHeight="1">
      <c r="A148" s="203"/>
      <c r="B148" s="220">
        <v>2023</v>
      </c>
      <c r="C148" s="221"/>
      <c r="D148" s="257">
        <f t="shared" si="6"/>
        <v>329</v>
      </c>
      <c r="E148" s="257"/>
      <c r="F148" s="258">
        <v>0</v>
      </c>
      <c r="G148" s="258"/>
      <c r="H148" s="258">
        <f t="shared" si="7"/>
        <v>329</v>
      </c>
      <c r="I148" s="258"/>
      <c r="J148" s="222">
        <v>0</v>
      </c>
      <c r="K148" s="222"/>
      <c r="L148" s="203"/>
      <c r="M148" s="203"/>
      <c r="N148" s="203"/>
      <c r="O148" s="203"/>
    </row>
    <row r="149" spans="1:15" ht="15" customHeight="1">
      <c r="A149" s="203"/>
      <c r="B149" s="220">
        <v>2024</v>
      </c>
      <c r="C149" s="221"/>
      <c r="D149" s="257">
        <f t="shared" si="6"/>
        <v>330</v>
      </c>
      <c r="E149" s="257"/>
      <c r="F149" s="258">
        <v>0</v>
      </c>
      <c r="G149" s="258"/>
      <c r="H149" s="258">
        <f t="shared" si="7"/>
        <v>330</v>
      </c>
      <c r="I149" s="258"/>
      <c r="J149" s="222">
        <v>0</v>
      </c>
      <c r="K149" s="222"/>
      <c r="L149" s="203"/>
      <c r="M149" s="203"/>
      <c r="N149" s="203"/>
      <c r="O149" s="203"/>
    </row>
    <row r="150" spans="1:15" ht="15" customHeight="1">
      <c r="A150" s="203"/>
      <c r="B150" s="268">
        <v>2025</v>
      </c>
      <c r="C150" s="269"/>
      <c r="D150" s="271">
        <f t="shared" si="6"/>
        <v>330</v>
      </c>
      <c r="E150" s="271"/>
      <c r="F150" s="272">
        <v>0</v>
      </c>
      <c r="G150" s="272"/>
      <c r="H150" s="272">
        <f t="shared" si="7"/>
        <v>330</v>
      </c>
      <c r="I150" s="272"/>
      <c r="J150" s="270">
        <v>0</v>
      </c>
      <c r="K150" s="270"/>
      <c r="L150" s="203"/>
      <c r="M150" s="203"/>
      <c r="N150" s="203"/>
      <c r="O150" s="203"/>
    </row>
    <row r="151" spans="1:15" ht="15" customHeight="1">
      <c r="A151" s="203"/>
      <c r="B151" s="220">
        <v>2026</v>
      </c>
      <c r="C151" s="221"/>
      <c r="D151" s="257">
        <f t="shared" si="6"/>
        <v>330</v>
      </c>
      <c r="E151" s="257"/>
      <c r="F151" s="258">
        <v>0</v>
      </c>
      <c r="G151" s="258"/>
      <c r="H151" s="258">
        <f t="shared" si="7"/>
        <v>330</v>
      </c>
      <c r="I151" s="258"/>
      <c r="J151" s="222">
        <v>0</v>
      </c>
      <c r="K151" s="222"/>
      <c r="L151" s="203"/>
      <c r="M151" s="203"/>
      <c r="N151" s="203"/>
      <c r="O151" s="203"/>
    </row>
    <row r="152" spans="1:15" ht="15" customHeight="1">
      <c r="A152" s="203"/>
      <c r="B152" s="220">
        <v>2027</v>
      </c>
      <c r="C152" s="221"/>
      <c r="D152" s="257">
        <f t="shared" si="6"/>
        <v>330</v>
      </c>
      <c r="E152" s="257"/>
      <c r="F152" s="258">
        <v>0</v>
      </c>
      <c r="G152" s="258"/>
      <c r="H152" s="258">
        <f t="shared" si="7"/>
        <v>330</v>
      </c>
      <c r="I152" s="258"/>
      <c r="J152" s="222">
        <v>0</v>
      </c>
      <c r="K152" s="222"/>
      <c r="L152" s="203"/>
      <c r="M152" s="203"/>
      <c r="N152" s="203"/>
      <c r="O152" s="203"/>
    </row>
    <row r="153" spans="1:15" ht="15" customHeight="1">
      <c r="A153" s="203"/>
      <c r="B153" s="220">
        <v>2028</v>
      </c>
      <c r="C153" s="221"/>
      <c r="D153" s="257">
        <f t="shared" si="6"/>
        <v>330</v>
      </c>
      <c r="E153" s="257"/>
      <c r="F153" s="258">
        <v>0</v>
      </c>
      <c r="G153" s="258"/>
      <c r="H153" s="258">
        <f t="shared" si="7"/>
        <v>330</v>
      </c>
      <c r="I153" s="258"/>
      <c r="J153" s="222">
        <v>0</v>
      </c>
      <c r="K153" s="222"/>
      <c r="L153" s="203"/>
      <c r="M153" s="203"/>
      <c r="N153" s="203"/>
      <c r="O153" s="203"/>
    </row>
    <row r="154" spans="1:15" ht="15" customHeight="1">
      <c r="A154" s="203"/>
      <c r="B154" s="220">
        <v>2029</v>
      </c>
      <c r="C154" s="221"/>
      <c r="D154" s="257">
        <f t="shared" si="6"/>
        <v>330</v>
      </c>
      <c r="E154" s="257"/>
      <c r="F154" s="258">
        <v>0</v>
      </c>
      <c r="G154" s="258"/>
      <c r="H154" s="258">
        <f t="shared" si="7"/>
        <v>330</v>
      </c>
      <c r="I154" s="258"/>
      <c r="J154" s="222">
        <v>0</v>
      </c>
      <c r="K154" s="222"/>
      <c r="L154" s="203"/>
      <c r="M154" s="203"/>
      <c r="N154" s="203"/>
      <c r="O154" s="203"/>
    </row>
    <row r="155" spans="1:15" ht="15" customHeight="1">
      <c r="A155" s="203"/>
      <c r="B155" s="268">
        <v>2030</v>
      </c>
      <c r="C155" s="269"/>
      <c r="D155" s="271">
        <f t="shared" si="6"/>
        <v>330</v>
      </c>
      <c r="E155" s="271"/>
      <c r="F155" s="272">
        <v>0</v>
      </c>
      <c r="G155" s="272"/>
      <c r="H155" s="272">
        <f t="shared" si="7"/>
        <v>330</v>
      </c>
      <c r="I155" s="272"/>
      <c r="J155" s="270">
        <v>0</v>
      </c>
      <c r="K155" s="270"/>
      <c r="L155" s="203"/>
      <c r="M155" s="203"/>
      <c r="N155" s="203"/>
      <c r="O155" s="203"/>
    </row>
    <row r="156" spans="1:15" ht="15" customHeight="1">
      <c r="A156" s="203"/>
      <c r="B156" s="220">
        <v>2031</v>
      </c>
      <c r="C156" s="221"/>
      <c r="D156" s="257">
        <f t="shared" si="6"/>
        <v>330</v>
      </c>
      <c r="E156" s="257"/>
      <c r="F156" s="258">
        <v>0</v>
      </c>
      <c r="G156" s="258"/>
      <c r="H156" s="258">
        <f t="shared" si="7"/>
        <v>330</v>
      </c>
      <c r="I156" s="258"/>
      <c r="J156" s="222">
        <v>0</v>
      </c>
      <c r="K156" s="222"/>
      <c r="L156" s="203"/>
      <c r="M156" s="203"/>
      <c r="N156" s="203"/>
      <c r="O156" s="203"/>
    </row>
    <row r="157" spans="1:15" ht="15" customHeight="1">
      <c r="A157" s="203"/>
      <c r="B157" s="220">
        <v>2032</v>
      </c>
      <c r="C157" s="221"/>
      <c r="D157" s="257">
        <f t="shared" si="6"/>
        <v>330</v>
      </c>
      <c r="E157" s="257"/>
      <c r="F157" s="258">
        <v>0</v>
      </c>
      <c r="G157" s="258"/>
      <c r="H157" s="258">
        <f t="shared" si="7"/>
        <v>330</v>
      </c>
      <c r="I157" s="258"/>
      <c r="J157" s="222">
        <v>0</v>
      </c>
      <c r="K157" s="222"/>
      <c r="L157" s="203"/>
      <c r="M157" s="203"/>
      <c r="N157" s="203"/>
      <c r="O157" s="203"/>
    </row>
    <row r="158" spans="1:15" ht="15" customHeight="1">
      <c r="A158" s="203"/>
      <c r="B158" s="220">
        <v>2033</v>
      </c>
      <c r="C158" s="221"/>
      <c r="D158" s="257">
        <f t="shared" si="6"/>
        <v>330</v>
      </c>
      <c r="E158" s="257"/>
      <c r="F158" s="258">
        <v>0</v>
      </c>
      <c r="G158" s="258"/>
      <c r="H158" s="258">
        <f t="shared" si="7"/>
        <v>330</v>
      </c>
      <c r="I158" s="258"/>
      <c r="J158" s="222">
        <v>0</v>
      </c>
      <c r="K158" s="222"/>
      <c r="L158" s="203"/>
      <c r="M158" s="203"/>
      <c r="N158" s="203"/>
      <c r="O158" s="203"/>
    </row>
    <row r="159" spans="1:15" ht="15" customHeight="1">
      <c r="A159" s="203"/>
      <c r="B159" s="220">
        <v>2034</v>
      </c>
      <c r="C159" s="221"/>
      <c r="D159" s="257">
        <f t="shared" si="6"/>
        <v>330</v>
      </c>
      <c r="E159" s="257"/>
      <c r="F159" s="258">
        <v>0</v>
      </c>
      <c r="G159" s="258"/>
      <c r="H159" s="258">
        <f t="shared" si="7"/>
        <v>330</v>
      </c>
      <c r="I159" s="258"/>
      <c r="J159" s="222">
        <v>0</v>
      </c>
      <c r="K159" s="222"/>
      <c r="L159" s="203"/>
      <c r="M159" s="203"/>
      <c r="N159" s="203"/>
      <c r="O159" s="203"/>
    </row>
    <row r="160" spans="1:15" ht="15" customHeight="1" thickBot="1">
      <c r="A160" s="203"/>
      <c r="B160" s="268">
        <v>2035</v>
      </c>
      <c r="C160" s="269"/>
      <c r="D160" s="271">
        <f t="shared" si="6"/>
        <v>330</v>
      </c>
      <c r="E160" s="271"/>
      <c r="F160" s="272">
        <v>0</v>
      </c>
      <c r="G160" s="272"/>
      <c r="H160" s="272">
        <f t="shared" si="7"/>
        <v>330</v>
      </c>
      <c r="I160" s="272"/>
      <c r="J160" s="270">
        <v>0</v>
      </c>
      <c r="K160" s="270"/>
      <c r="L160" s="203"/>
      <c r="M160" s="203"/>
      <c r="N160" s="203"/>
      <c r="O160" s="203"/>
    </row>
    <row r="161" spans="1:15" ht="15" customHeight="1">
      <c r="A161" s="203"/>
      <c r="B161" s="226"/>
      <c r="C161" s="226"/>
      <c r="D161" s="226"/>
      <c r="E161" s="226"/>
      <c r="F161" s="226"/>
      <c r="G161" s="226"/>
      <c r="H161" s="226"/>
      <c r="I161" s="226"/>
      <c r="J161" s="226"/>
      <c r="K161" s="226"/>
      <c r="L161" s="203"/>
      <c r="M161" s="203"/>
      <c r="N161" s="203"/>
      <c r="O161" s="203"/>
    </row>
    <row r="162" spans="1:15" ht="15" customHeight="1">
      <c r="A162" s="203"/>
      <c r="B162" s="239"/>
      <c r="C162" s="239"/>
      <c r="D162" s="239"/>
      <c r="E162" s="239"/>
      <c r="F162" s="239"/>
      <c r="G162" s="239"/>
      <c r="H162" s="239"/>
      <c r="I162" s="239"/>
      <c r="J162" s="239"/>
      <c r="K162" s="239"/>
      <c r="L162" s="203"/>
      <c r="M162" s="203"/>
      <c r="N162" s="203"/>
      <c r="O162" s="203"/>
    </row>
    <row r="163" spans="1:15" ht="15" customHeight="1">
      <c r="A163" s="203"/>
      <c r="B163" s="239"/>
      <c r="C163" s="239"/>
      <c r="D163" s="239"/>
      <c r="E163" s="239"/>
      <c r="F163" s="239"/>
      <c r="G163" s="239"/>
      <c r="H163" s="239"/>
      <c r="I163" s="239"/>
      <c r="J163" s="239"/>
      <c r="K163" s="239"/>
      <c r="L163" s="203"/>
      <c r="M163" s="203"/>
      <c r="N163" s="203"/>
      <c r="O163" s="203"/>
    </row>
    <row r="164" spans="1:15" ht="15" customHeight="1">
      <c r="A164" s="203"/>
      <c r="B164" s="239"/>
      <c r="C164" s="239"/>
      <c r="D164" s="239"/>
      <c r="E164" s="239"/>
      <c r="F164" s="239"/>
      <c r="G164" s="239"/>
      <c r="H164" s="239"/>
      <c r="I164" s="239"/>
      <c r="J164" s="239"/>
      <c r="K164" s="239"/>
      <c r="L164" s="203"/>
      <c r="M164" s="203"/>
      <c r="N164" s="203"/>
      <c r="O164" s="203"/>
    </row>
    <row r="165" spans="1:15" ht="15" customHeight="1">
      <c r="A165" s="203"/>
      <c r="B165" s="239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</row>
    <row r="166" spans="1:15" ht="15" customHeight="1">
      <c r="A166" s="203"/>
      <c r="B166" s="218" t="s">
        <v>229</v>
      </c>
      <c r="C166" s="219"/>
      <c r="D166" s="219"/>
      <c r="E166" s="219"/>
      <c r="F166" s="219"/>
      <c r="G166" s="219"/>
      <c r="H166" s="203"/>
      <c r="I166" s="203"/>
      <c r="J166" s="203"/>
      <c r="K166" s="203"/>
      <c r="L166" s="203"/>
      <c r="M166" s="203"/>
      <c r="N166" s="203"/>
      <c r="O166" s="203"/>
    </row>
    <row r="167" spans="1:15" ht="15" customHeight="1">
      <c r="A167" s="203"/>
      <c r="B167" s="203"/>
      <c r="C167" s="219" t="s">
        <v>148</v>
      </c>
      <c r="D167" s="219" t="s">
        <v>231</v>
      </c>
      <c r="E167" s="219"/>
      <c r="F167" s="219"/>
      <c r="G167" s="219"/>
      <c r="H167" s="203"/>
      <c r="I167" s="203"/>
      <c r="J167" s="203"/>
      <c r="K167" s="203"/>
      <c r="L167" s="203"/>
      <c r="M167" s="203"/>
      <c r="N167" s="203"/>
      <c r="O167" s="203"/>
    </row>
    <row r="168" spans="1:15" ht="15" customHeight="1">
      <c r="A168" s="203"/>
      <c r="B168" s="201"/>
      <c r="C168" s="228" t="s">
        <v>185</v>
      </c>
      <c r="D168" s="219" t="s">
        <v>207</v>
      </c>
      <c r="E168" s="219"/>
      <c r="F168" s="201"/>
      <c r="G168" s="203"/>
      <c r="H168" s="203"/>
      <c r="I168" s="203"/>
      <c r="J168" s="203"/>
      <c r="K168" s="203"/>
      <c r="L168" s="203"/>
      <c r="M168" s="203"/>
      <c r="N168" s="203"/>
      <c r="O168" s="203"/>
    </row>
    <row r="169" spans="1:15" ht="15" customHeight="1">
      <c r="A169" s="203"/>
      <c r="B169" s="201"/>
      <c r="C169" s="228"/>
      <c r="D169" s="219" t="s">
        <v>234</v>
      </c>
      <c r="E169" s="2250">
        <f>K7</f>
        <v>600</v>
      </c>
      <c r="F169" s="2250"/>
      <c r="G169" s="219" t="s">
        <v>235</v>
      </c>
      <c r="H169" s="219"/>
      <c r="I169" s="203"/>
      <c r="J169" s="203"/>
      <c r="K169" s="203"/>
      <c r="L169" s="203"/>
      <c r="M169" s="203"/>
      <c r="N169" s="203"/>
      <c r="O169" s="203"/>
    </row>
    <row r="170" spans="1:15" ht="15" customHeight="1" thickBot="1">
      <c r="A170" s="203"/>
      <c r="B170" s="203"/>
      <c r="C170" s="203"/>
      <c r="D170" s="203"/>
      <c r="E170" s="203"/>
      <c r="F170" s="208" t="s">
        <v>236</v>
      </c>
      <c r="G170" s="208"/>
      <c r="H170" s="203"/>
      <c r="I170" s="203"/>
      <c r="J170" s="203"/>
      <c r="K170" s="203"/>
      <c r="L170" s="203"/>
      <c r="M170" s="203"/>
      <c r="N170" s="203"/>
      <c r="O170" s="203"/>
    </row>
    <row r="171" spans="1:15" ht="15" customHeight="1">
      <c r="A171" s="203"/>
      <c r="B171" s="202" t="s">
        <v>141</v>
      </c>
      <c r="C171" s="202"/>
      <c r="D171" s="202" t="s">
        <v>191</v>
      </c>
      <c r="E171" s="202" t="s">
        <v>192</v>
      </c>
      <c r="F171" s="202" t="s">
        <v>193</v>
      </c>
      <c r="G171" s="202" t="s">
        <v>241</v>
      </c>
      <c r="H171" s="202" t="s">
        <v>242</v>
      </c>
      <c r="I171" s="202" t="s">
        <v>243</v>
      </c>
      <c r="J171" s="202" t="s">
        <v>216</v>
      </c>
      <c r="K171" s="202" t="s">
        <v>245</v>
      </c>
      <c r="L171" s="203"/>
      <c r="M171" s="203"/>
      <c r="N171" s="203"/>
      <c r="O171" s="203"/>
    </row>
    <row r="172" spans="1:15" ht="15" customHeight="1">
      <c r="A172" s="203"/>
      <c r="B172" s="840">
        <f>B130</f>
        <v>2012</v>
      </c>
      <c r="C172" s="840"/>
      <c r="D172" s="208">
        <f>VLOOKUP(B172,B$7:E$11,3,FALSE)</f>
        <v>318.93605974679502</v>
      </c>
      <c r="E172" s="244">
        <f>((COUNT(B$172:B$176)-1)/2)+(B172-$C$4)</f>
        <v>-2</v>
      </c>
      <c r="F172" s="206">
        <f>E172^2</f>
        <v>4</v>
      </c>
      <c r="G172" s="844">
        <f>E$169-D172</f>
        <v>281.06394025320498</v>
      </c>
      <c r="H172" s="259">
        <f>LOG(D172)</f>
        <v>2.5037036244913353</v>
      </c>
      <c r="I172" s="245">
        <f>LOG(G172)</f>
        <v>2.4488051303686924</v>
      </c>
      <c r="J172" s="246">
        <f>H172-I172</f>
        <v>5.4898494122642916E-2</v>
      </c>
      <c r="K172" s="246">
        <f>E172*J172</f>
        <v>-0.10979698824528583</v>
      </c>
      <c r="L172" s="203"/>
      <c r="M172" s="203"/>
      <c r="N172" s="203"/>
      <c r="O172" s="203"/>
    </row>
    <row r="173" spans="1:15" ht="15" customHeight="1">
      <c r="A173" s="203"/>
      <c r="B173" s="840">
        <f>B131</f>
        <v>2013</v>
      </c>
      <c r="C173" s="840"/>
      <c r="D173" s="208">
        <f>VLOOKUP(B173,B$7:E$11,3,FALSE)</f>
        <v>351.18236541341196</v>
      </c>
      <c r="E173" s="244">
        <f>((COUNT(B$172:B$176)-1)/2)+(B173-$C$4)</f>
        <v>-1</v>
      </c>
      <c r="F173" s="206">
        <f>E173^2</f>
        <v>1</v>
      </c>
      <c r="G173" s="844">
        <f>E$169-D173</f>
        <v>248.81763458658804</v>
      </c>
      <c r="H173" s="259">
        <f>LOG(D173)</f>
        <v>2.5455326997285677</v>
      </c>
      <c r="I173" s="245">
        <f>LOG(G173)</f>
        <v>2.3958811570969294</v>
      </c>
      <c r="J173" s="246">
        <f>H173-I173</f>
        <v>0.14965154263163827</v>
      </c>
      <c r="K173" s="246">
        <f>E173*J173</f>
        <v>-0.14965154263163827</v>
      </c>
      <c r="L173" s="203"/>
      <c r="M173" s="203"/>
      <c r="N173" s="203"/>
      <c r="O173" s="203"/>
    </row>
    <row r="174" spans="1:15" ht="15" customHeight="1">
      <c r="A174" s="203"/>
      <c r="B174" s="840">
        <f>B132</f>
        <v>2014</v>
      </c>
      <c r="C174" s="840"/>
      <c r="D174" s="208">
        <f>VLOOKUP(B174,B$7:E$11,3,FALSE)</f>
        <v>329.63578821047184</v>
      </c>
      <c r="E174" s="244">
        <f>((COUNT(B$172:B$176)-1)/2)+(B174-$C$4)</f>
        <v>0</v>
      </c>
      <c r="F174" s="206">
        <f>E174^2</f>
        <v>0</v>
      </c>
      <c r="G174" s="844">
        <f>E$169-D174</f>
        <v>270.36421178952816</v>
      </c>
      <c r="H174" s="259">
        <f>LOG(D174)</f>
        <v>2.518034356479482</v>
      </c>
      <c r="I174" s="245">
        <f>LOG(G174)</f>
        <v>2.4319492033532852</v>
      </c>
      <c r="J174" s="246">
        <f>H174-I174</f>
        <v>8.6085153126196801E-2</v>
      </c>
      <c r="K174" s="246">
        <f>E174*J174</f>
        <v>0</v>
      </c>
      <c r="L174" s="203"/>
      <c r="M174" s="203"/>
      <c r="N174" s="203"/>
      <c r="O174" s="203"/>
    </row>
    <row r="175" spans="1:15" ht="15" customHeight="1">
      <c r="A175" s="203"/>
      <c r="B175" s="840">
        <f>B133</f>
        <v>2015</v>
      </c>
      <c r="C175" s="840"/>
      <c r="D175" s="208">
        <f>VLOOKUP(B175,B$7:E$11,3,FALSE)</f>
        <v>286.312995274446</v>
      </c>
      <c r="E175" s="244">
        <f>((COUNT(B$172:B$176)-1)/2)+(B175-$C$4)</f>
        <v>1</v>
      </c>
      <c r="F175" s="206">
        <f>E175^2</f>
        <v>1</v>
      </c>
      <c r="G175" s="844">
        <f>E$169-D175</f>
        <v>313.687004725554</v>
      </c>
      <c r="H175" s="259">
        <f>LOG(D175)</f>
        <v>2.4568410603789159</v>
      </c>
      <c r="I175" s="245">
        <f>LOG(G175)</f>
        <v>2.4964965273273756</v>
      </c>
      <c r="J175" s="246">
        <f>H175-I175</f>
        <v>-3.9655466948459672E-2</v>
      </c>
      <c r="K175" s="246">
        <f>E175*J175</f>
        <v>-3.9655466948459672E-2</v>
      </c>
      <c r="L175" s="203"/>
      <c r="M175" s="203"/>
      <c r="N175" s="203"/>
      <c r="O175" s="203"/>
    </row>
    <row r="176" spans="1:15" ht="15" customHeight="1">
      <c r="A176" s="203"/>
      <c r="B176" s="840">
        <f>B134</f>
        <v>2016</v>
      </c>
      <c r="C176" s="840"/>
      <c r="D176" s="208">
        <f>VLOOKUP(B176,B$7:E$11,3,FALSE)</f>
        <v>289.92941317221988</v>
      </c>
      <c r="E176" s="244">
        <f>((COUNT(B$172:B$176)-1)/2)+(B176-$C$4)</f>
        <v>2</v>
      </c>
      <c r="F176" s="206">
        <f>E176^2</f>
        <v>4</v>
      </c>
      <c r="G176" s="844">
        <f>E$169-D176</f>
        <v>310.07058682778012</v>
      </c>
      <c r="H176" s="259">
        <f>LOG(D176)</f>
        <v>2.4622922765154391</v>
      </c>
      <c r="I176" s="245">
        <f>LOG(G176)</f>
        <v>2.4914605711897981</v>
      </c>
      <c r="J176" s="246">
        <f>H176-I176</f>
        <v>-2.9168294674358997E-2</v>
      </c>
      <c r="K176" s="246">
        <f>E176*J176</f>
        <v>-5.8336589348717993E-2</v>
      </c>
      <c r="L176" s="203"/>
      <c r="M176" s="203"/>
      <c r="N176" s="203"/>
      <c r="O176" s="203"/>
    </row>
    <row r="177" spans="1:15" ht="15" customHeight="1" thickBot="1">
      <c r="A177" s="203"/>
      <c r="B177" s="211" t="s">
        <v>146</v>
      </c>
      <c r="C177" s="212"/>
      <c r="D177" s="260">
        <f>SUM(D172:D176)</f>
        <v>1575.9966218173447</v>
      </c>
      <c r="E177" s="261">
        <f>SUM(E172:E176)</f>
        <v>0</v>
      </c>
      <c r="F177" s="262">
        <f>ROUND(SUM(F172:F176),0)</f>
        <v>10</v>
      </c>
      <c r="G177" s="249"/>
      <c r="H177" s="251"/>
      <c r="I177" s="252"/>
      <c r="J177" s="263">
        <f>SUM(J172:J176)</f>
        <v>0.22181142825765932</v>
      </c>
      <c r="K177" s="263">
        <f>SUM(K172:K176)</f>
        <v>-0.35744058717410176</v>
      </c>
      <c r="L177" s="203"/>
      <c r="M177" s="203"/>
      <c r="N177" s="203"/>
      <c r="O177" s="203"/>
    </row>
    <row r="178" spans="1:15" ht="15" customHeight="1">
      <c r="A178" s="203"/>
      <c r="B178" s="208" t="s">
        <v>246</v>
      </c>
      <c r="C178" s="208"/>
      <c r="D178" s="201" t="s">
        <v>247</v>
      </c>
      <c r="E178" s="236" t="s">
        <v>248</v>
      </c>
      <c r="F178" s="203"/>
      <c r="G178" s="219" t="str">
        <f>"X = x × LOG e = "&amp;E177&amp;" 이고,"</f>
        <v>X = x × LOG e = 0 이고,</v>
      </c>
      <c r="H178" s="219"/>
      <c r="I178" s="219" t="s">
        <v>249</v>
      </c>
      <c r="J178" s="219"/>
      <c r="K178" s="201"/>
      <c r="L178" s="203"/>
      <c r="M178" s="203"/>
      <c r="N178" s="203"/>
      <c r="O178" s="203"/>
    </row>
    <row r="179" spans="1:15" ht="15" customHeight="1">
      <c r="A179" s="203"/>
      <c r="B179" s="203"/>
      <c r="C179" s="203"/>
      <c r="D179" s="219" t="s">
        <v>250</v>
      </c>
      <c r="E179" s="219"/>
      <c r="F179" s="219"/>
      <c r="G179" s="219"/>
      <c r="H179" s="254">
        <f>ROUND(((E$177*K$177-F$177*J$177)/(COUNT(B$172:B$176)*F$177-E$177*E$177))/LOG(EXP(1)),5)</f>
        <v>-0.10215</v>
      </c>
      <c r="I179" s="219"/>
      <c r="J179" s="219"/>
      <c r="K179" s="203"/>
      <c r="L179" s="203"/>
      <c r="M179" s="203"/>
      <c r="N179" s="203"/>
      <c r="O179" s="203"/>
    </row>
    <row r="180" spans="1:15" ht="15" customHeight="1">
      <c r="A180" s="203"/>
      <c r="B180" s="203"/>
      <c r="C180" s="203"/>
      <c r="D180" s="219" t="s">
        <v>251</v>
      </c>
      <c r="E180" s="219"/>
      <c r="F180" s="219"/>
      <c r="G180" s="264" t="s">
        <v>252</v>
      </c>
      <c r="H180" s="219"/>
      <c r="I180" s="219"/>
      <c r="J180" s="219"/>
      <c r="K180" s="265">
        <f>ROUND((COUNT(B$172:B$176)*K177-E177*J177)/(LOG(EXP(1))*(COUNT(B$172:B$176)*F177-E177*E177)),6)</f>
        <v>-8.2304000000000002E-2</v>
      </c>
      <c r="L180" s="203"/>
      <c r="M180" s="203"/>
      <c r="N180" s="203"/>
      <c r="O180" s="203"/>
    </row>
    <row r="181" spans="1:15" ht="15" customHeight="1">
      <c r="A181" s="203"/>
      <c r="B181" s="203"/>
      <c r="C181" s="203"/>
      <c r="D181" s="219"/>
      <c r="E181" s="203"/>
      <c r="F181" s="201"/>
      <c r="G181" s="201"/>
      <c r="H181" s="219"/>
      <c r="I181" s="219"/>
      <c r="J181" s="256"/>
      <c r="K181" s="203"/>
      <c r="L181" s="203"/>
      <c r="M181" s="203"/>
      <c r="N181" s="203"/>
      <c r="O181" s="203"/>
    </row>
    <row r="182" spans="1:15" ht="15" customHeight="1" thickBot="1">
      <c r="A182" s="203"/>
      <c r="B182" s="203"/>
      <c r="C182" s="203"/>
      <c r="D182" s="203"/>
      <c r="E182" s="203"/>
      <c r="F182" s="208" t="s">
        <v>200</v>
      </c>
      <c r="G182" s="208"/>
      <c r="H182" s="203"/>
      <c r="I182" s="203"/>
      <c r="J182" s="203"/>
      <c r="K182" s="203"/>
      <c r="L182" s="203"/>
      <c r="M182" s="203"/>
      <c r="N182" s="203"/>
      <c r="O182" s="203"/>
    </row>
    <row r="183" spans="1:15" ht="15" customHeight="1">
      <c r="A183" s="203"/>
      <c r="B183" s="202" t="s">
        <v>141</v>
      </c>
      <c r="C183" s="202"/>
      <c r="D183" s="202" t="s">
        <v>156</v>
      </c>
      <c r="E183" s="202"/>
      <c r="F183" s="202" t="s">
        <v>157</v>
      </c>
      <c r="G183" s="202"/>
      <c r="H183" s="202" t="s">
        <v>158</v>
      </c>
      <c r="I183" s="202"/>
      <c r="J183" s="202" t="s">
        <v>144</v>
      </c>
      <c r="K183" s="202"/>
      <c r="L183" s="203"/>
      <c r="M183" s="203"/>
      <c r="N183" s="203"/>
      <c r="O183" s="203"/>
    </row>
    <row r="184" spans="1:15" ht="15" customHeight="1">
      <c r="A184" s="203"/>
      <c r="B184" s="220">
        <v>2016</v>
      </c>
      <c r="C184" s="221"/>
      <c r="D184" s="221">
        <f t="shared" ref="D184:D203" si="8">ROUNDUP(E$169/(1+EXP(1)^(H$179-K$180*(B184-B$172+0.5))),0)</f>
        <v>261</v>
      </c>
      <c r="E184" s="221"/>
      <c r="F184" s="221">
        <v>0</v>
      </c>
      <c r="G184" s="221"/>
      <c r="H184" s="221">
        <f t="shared" ref="H184:H203" si="9">ROUND(D184*(1+F184),0)</f>
        <v>261</v>
      </c>
      <c r="I184" s="221"/>
      <c r="J184" s="222">
        <v>0</v>
      </c>
      <c r="K184" s="222"/>
      <c r="L184" s="203"/>
      <c r="M184" s="203"/>
      <c r="N184" s="203"/>
      <c r="O184" s="203"/>
    </row>
    <row r="185" spans="1:15" ht="15" customHeight="1">
      <c r="A185" s="203"/>
      <c r="B185" s="220">
        <v>2017</v>
      </c>
      <c r="C185" s="221"/>
      <c r="D185" s="221">
        <f t="shared" si="8"/>
        <v>248</v>
      </c>
      <c r="E185" s="221"/>
      <c r="F185" s="221">
        <v>0</v>
      </c>
      <c r="G185" s="221"/>
      <c r="H185" s="221">
        <f t="shared" si="9"/>
        <v>248</v>
      </c>
      <c r="I185" s="221"/>
      <c r="J185" s="222">
        <v>0</v>
      </c>
      <c r="K185" s="222"/>
      <c r="L185" s="203"/>
      <c r="M185" s="203"/>
      <c r="N185" s="203"/>
      <c r="O185" s="203"/>
    </row>
    <row r="186" spans="1:15" ht="15" customHeight="1">
      <c r="A186" s="203"/>
      <c r="B186" s="220">
        <v>2018</v>
      </c>
      <c r="C186" s="221"/>
      <c r="D186" s="221">
        <f t="shared" si="8"/>
        <v>237</v>
      </c>
      <c r="E186" s="221"/>
      <c r="F186" s="221">
        <v>0</v>
      </c>
      <c r="G186" s="221"/>
      <c r="H186" s="221">
        <f t="shared" si="9"/>
        <v>237</v>
      </c>
      <c r="I186" s="221"/>
      <c r="J186" s="222">
        <v>0</v>
      </c>
      <c r="K186" s="222"/>
      <c r="L186" s="203"/>
      <c r="M186" s="203"/>
      <c r="N186" s="203"/>
      <c r="O186" s="203"/>
    </row>
    <row r="187" spans="1:15" ht="15" customHeight="1">
      <c r="A187" s="203"/>
      <c r="B187" s="220">
        <v>2019</v>
      </c>
      <c r="C187" s="221"/>
      <c r="D187" s="221">
        <f t="shared" si="8"/>
        <v>225</v>
      </c>
      <c r="E187" s="221"/>
      <c r="F187" s="221">
        <v>0</v>
      </c>
      <c r="G187" s="221"/>
      <c r="H187" s="221">
        <f t="shared" si="9"/>
        <v>225</v>
      </c>
      <c r="I187" s="221"/>
      <c r="J187" s="222">
        <v>0</v>
      </c>
      <c r="K187" s="222"/>
      <c r="L187" s="203"/>
      <c r="M187" s="203"/>
      <c r="N187" s="203"/>
      <c r="O187" s="203"/>
    </row>
    <row r="188" spans="1:15" ht="15" customHeight="1">
      <c r="A188" s="203"/>
      <c r="B188" s="268">
        <v>2020</v>
      </c>
      <c r="C188" s="269"/>
      <c r="D188" s="269">
        <f t="shared" si="8"/>
        <v>213</v>
      </c>
      <c r="E188" s="269"/>
      <c r="F188" s="269">
        <v>0</v>
      </c>
      <c r="G188" s="269"/>
      <c r="H188" s="269">
        <f t="shared" si="9"/>
        <v>213</v>
      </c>
      <c r="I188" s="269"/>
      <c r="J188" s="270">
        <v>0</v>
      </c>
      <c r="K188" s="270"/>
      <c r="L188" s="203"/>
      <c r="M188" s="203"/>
      <c r="N188" s="203"/>
      <c r="O188" s="203"/>
    </row>
    <row r="189" spans="1:15" ht="15" customHeight="1">
      <c r="A189" s="203"/>
      <c r="B189" s="220">
        <v>2021</v>
      </c>
      <c r="C189" s="221"/>
      <c r="D189" s="221">
        <f t="shared" si="8"/>
        <v>202</v>
      </c>
      <c r="E189" s="221"/>
      <c r="F189" s="221">
        <v>0</v>
      </c>
      <c r="G189" s="221"/>
      <c r="H189" s="221">
        <f t="shared" si="9"/>
        <v>202</v>
      </c>
      <c r="I189" s="221"/>
      <c r="J189" s="222">
        <v>0</v>
      </c>
      <c r="K189" s="222"/>
      <c r="L189" s="203"/>
      <c r="M189" s="203"/>
      <c r="N189" s="203"/>
      <c r="O189" s="203"/>
    </row>
    <row r="190" spans="1:15" ht="15" customHeight="1">
      <c r="A190" s="203"/>
      <c r="B190" s="220">
        <v>2022</v>
      </c>
      <c r="C190" s="221"/>
      <c r="D190" s="221">
        <f t="shared" si="8"/>
        <v>191</v>
      </c>
      <c r="E190" s="221"/>
      <c r="F190" s="221">
        <v>0</v>
      </c>
      <c r="G190" s="221"/>
      <c r="H190" s="221">
        <f t="shared" si="9"/>
        <v>191</v>
      </c>
      <c r="I190" s="221"/>
      <c r="J190" s="222">
        <v>0</v>
      </c>
      <c r="K190" s="222"/>
      <c r="L190" s="203"/>
      <c r="M190" s="203"/>
      <c r="N190" s="203"/>
      <c r="O190" s="203"/>
    </row>
    <row r="191" spans="1:15" ht="15" customHeight="1">
      <c r="A191" s="203"/>
      <c r="B191" s="220">
        <v>2023</v>
      </c>
      <c r="C191" s="221"/>
      <c r="D191" s="221">
        <f t="shared" si="8"/>
        <v>181</v>
      </c>
      <c r="E191" s="221"/>
      <c r="F191" s="221">
        <v>0</v>
      </c>
      <c r="G191" s="221"/>
      <c r="H191" s="221">
        <f t="shared" si="9"/>
        <v>181</v>
      </c>
      <c r="I191" s="221"/>
      <c r="J191" s="222">
        <v>0</v>
      </c>
      <c r="K191" s="222"/>
      <c r="L191" s="203"/>
      <c r="M191" s="203"/>
      <c r="N191" s="203"/>
      <c r="O191" s="203"/>
    </row>
    <row r="192" spans="1:15" ht="15" customHeight="1">
      <c r="A192" s="203"/>
      <c r="B192" s="220">
        <v>2024</v>
      </c>
      <c r="C192" s="221"/>
      <c r="D192" s="221">
        <f t="shared" si="8"/>
        <v>171</v>
      </c>
      <c r="E192" s="221"/>
      <c r="F192" s="221">
        <v>0</v>
      </c>
      <c r="G192" s="221"/>
      <c r="H192" s="221">
        <f t="shared" si="9"/>
        <v>171</v>
      </c>
      <c r="I192" s="221"/>
      <c r="J192" s="222">
        <v>0</v>
      </c>
      <c r="K192" s="222"/>
      <c r="L192" s="203"/>
      <c r="M192" s="203"/>
      <c r="N192" s="203"/>
      <c r="O192" s="203"/>
    </row>
    <row r="193" spans="1:15" ht="15" customHeight="1">
      <c r="A193" s="203"/>
      <c r="B193" s="268">
        <v>2025</v>
      </c>
      <c r="C193" s="269"/>
      <c r="D193" s="269">
        <f t="shared" si="8"/>
        <v>161</v>
      </c>
      <c r="E193" s="269"/>
      <c r="F193" s="269">
        <v>0</v>
      </c>
      <c r="G193" s="269"/>
      <c r="H193" s="269">
        <f t="shared" si="9"/>
        <v>161</v>
      </c>
      <c r="I193" s="269"/>
      <c r="J193" s="270">
        <v>0</v>
      </c>
      <c r="K193" s="270"/>
      <c r="L193" s="203"/>
      <c r="M193" s="203"/>
      <c r="N193" s="203"/>
      <c r="O193" s="203"/>
    </row>
    <row r="194" spans="1:15" ht="15" customHeight="1">
      <c r="A194" s="203"/>
      <c r="B194" s="220">
        <v>2026</v>
      </c>
      <c r="C194" s="221"/>
      <c r="D194" s="221">
        <f t="shared" si="8"/>
        <v>151</v>
      </c>
      <c r="E194" s="221"/>
      <c r="F194" s="221">
        <v>0</v>
      </c>
      <c r="G194" s="221"/>
      <c r="H194" s="221">
        <f t="shared" si="9"/>
        <v>151</v>
      </c>
      <c r="I194" s="221"/>
      <c r="J194" s="222">
        <v>0</v>
      </c>
      <c r="K194" s="222"/>
      <c r="L194" s="203"/>
      <c r="M194" s="203"/>
      <c r="N194" s="203"/>
      <c r="O194" s="203"/>
    </row>
    <row r="195" spans="1:15" ht="15" customHeight="1">
      <c r="A195" s="203"/>
      <c r="B195" s="220">
        <v>2027</v>
      </c>
      <c r="C195" s="221"/>
      <c r="D195" s="221">
        <f t="shared" si="8"/>
        <v>142</v>
      </c>
      <c r="E195" s="221"/>
      <c r="F195" s="221">
        <v>0</v>
      </c>
      <c r="G195" s="221"/>
      <c r="H195" s="221">
        <f t="shared" si="9"/>
        <v>142</v>
      </c>
      <c r="I195" s="221"/>
      <c r="J195" s="222">
        <v>0</v>
      </c>
      <c r="K195" s="222"/>
      <c r="L195" s="203"/>
      <c r="M195" s="203"/>
      <c r="N195" s="203"/>
      <c r="O195" s="203"/>
    </row>
    <row r="196" spans="1:15" ht="15" customHeight="1">
      <c r="A196" s="203"/>
      <c r="B196" s="220">
        <v>2028</v>
      </c>
      <c r="C196" s="221"/>
      <c r="D196" s="221">
        <f t="shared" si="8"/>
        <v>134</v>
      </c>
      <c r="E196" s="221"/>
      <c r="F196" s="221">
        <v>0</v>
      </c>
      <c r="G196" s="221"/>
      <c r="H196" s="221">
        <f t="shared" si="9"/>
        <v>134</v>
      </c>
      <c r="I196" s="221"/>
      <c r="J196" s="222">
        <v>0</v>
      </c>
      <c r="K196" s="222"/>
      <c r="L196" s="203"/>
      <c r="M196" s="203"/>
      <c r="N196" s="203"/>
      <c r="O196" s="203"/>
    </row>
    <row r="197" spans="1:15" ht="15" customHeight="1">
      <c r="A197" s="203"/>
      <c r="B197" s="220">
        <v>2029</v>
      </c>
      <c r="C197" s="221"/>
      <c r="D197" s="221">
        <f t="shared" si="8"/>
        <v>125</v>
      </c>
      <c r="E197" s="221"/>
      <c r="F197" s="221">
        <v>0</v>
      </c>
      <c r="G197" s="221"/>
      <c r="H197" s="221">
        <f t="shared" si="9"/>
        <v>125</v>
      </c>
      <c r="I197" s="221"/>
      <c r="J197" s="222">
        <v>0</v>
      </c>
      <c r="K197" s="222"/>
      <c r="L197" s="203"/>
      <c r="M197" s="203"/>
      <c r="N197" s="203"/>
      <c r="O197" s="203"/>
    </row>
    <row r="198" spans="1:15" ht="15" customHeight="1">
      <c r="A198" s="203"/>
      <c r="B198" s="268">
        <v>2030</v>
      </c>
      <c r="C198" s="269"/>
      <c r="D198" s="269">
        <f t="shared" si="8"/>
        <v>117</v>
      </c>
      <c r="E198" s="269"/>
      <c r="F198" s="269">
        <v>0</v>
      </c>
      <c r="G198" s="269"/>
      <c r="H198" s="269">
        <f t="shared" si="9"/>
        <v>117</v>
      </c>
      <c r="I198" s="269"/>
      <c r="J198" s="270">
        <v>0</v>
      </c>
      <c r="K198" s="270"/>
      <c r="L198" s="203"/>
      <c r="M198" s="203"/>
      <c r="N198" s="203"/>
      <c r="O198" s="203"/>
    </row>
    <row r="199" spans="1:15" ht="15" customHeight="1">
      <c r="A199" s="203"/>
      <c r="B199" s="220">
        <v>2031</v>
      </c>
      <c r="C199" s="221"/>
      <c r="D199" s="221">
        <f t="shared" si="8"/>
        <v>110</v>
      </c>
      <c r="E199" s="221"/>
      <c r="F199" s="221">
        <v>0</v>
      </c>
      <c r="G199" s="221"/>
      <c r="H199" s="221">
        <f t="shared" si="9"/>
        <v>110</v>
      </c>
      <c r="I199" s="221"/>
      <c r="J199" s="222">
        <v>0</v>
      </c>
      <c r="K199" s="222"/>
      <c r="L199" s="203"/>
      <c r="M199" s="203"/>
      <c r="N199" s="203"/>
      <c r="O199" s="203"/>
    </row>
    <row r="200" spans="1:15" ht="15" customHeight="1">
      <c r="A200" s="203"/>
      <c r="B200" s="220">
        <v>2032</v>
      </c>
      <c r="C200" s="221"/>
      <c r="D200" s="221">
        <f t="shared" si="8"/>
        <v>103</v>
      </c>
      <c r="E200" s="221"/>
      <c r="F200" s="221">
        <v>0</v>
      </c>
      <c r="G200" s="221"/>
      <c r="H200" s="221">
        <f t="shared" si="9"/>
        <v>103</v>
      </c>
      <c r="I200" s="221"/>
      <c r="J200" s="222">
        <v>0</v>
      </c>
      <c r="K200" s="222"/>
      <c r="L200" s="203"/>
      <c r="M200" s="203"/>
      <c r="N200" s="203"/>
      <c r="O200" s="203"/>
    </row>
    <row r="201" spans="1:15" ht="15" customHeight="1">
      <c r="A201" s="203"/>
      <c r="B201" s="220">
        <v>2033</v>
      </c>
      <c r="C201" s="221"/>
      <c r="D201" s="221">
        <f t="shared" si="8"/>
        <v>96</v>
      </c>
      <c r="E201" s="221"/>
      <c r="F201" s="221">
        <v>0</v>
      </c>
      <c r="G201" s="221"/>
      <c r="H201" s="221">
        <f t="shared" si="9"/>
        <v>96</v>
      </c>
      <c r="I201" s="221"/>
      <c r="J201" s="222">
        <v>0</v>
      </c>
      <c r="K201" s="222"/>
      <c r="L201" s="203"/>
      <c r="M201" s="203"/>
      <c r="N201" s="203"/>
      <c r="O201" s="203"/>
    </row>
    <row r="202" spans="1:15" ht="15" customHeight="1">
      <c r="A202" s="203"/>
      <c r="B202" s="220">
        <v>2034</v>
      </c>
      <c r="C202" s="221"/>
      <c r="D202" s="221">
        <f t="shared" si="8"/>
        <v>89</v>
      </c>
      <c r="E202" s="221"/>
      <c r="F202" s="221">
        <v>0</v>
      </c>
      <c r="G202" s="221"/>
      <c r="H202" s="221">
        <f t="shared" si="9"/>
        <v>89</v>
      </c>
      <c r="I202" s="221"/>
      <c r="J202" s="222">
        <v>0</v>
      </c>
      <c r="K202" s="222"/>
      <c r="L202" s="203"/>
      <c r="M202" s="203"/>
      <c r="N202" s="203"/>
      <c r="O202" s="203"/>
    </row>
    <row r="203" spans="1:15" ht="15" customHeight="1" thickBot="1">
      <c r="A203" s="203"/>
      <c r="B203" s="268">
        <v>2035</v>
      </c>
      <c r="C203" s="269"/>
      <c r="D203" s="269">
        <f t="shared" si="8"/>
        <v>83</v>
      </c>
      <c r="E203" s="269"/>
      <c r="F203" s="269">
        <v>0</v>
      </c>
      <c r="G203" s="269"/>
      <c r="H203" s="269">
        <f t="shared" si="9"/>
        <v>83</v>
      </c>
      <c r="I203" s="269"/>
      <c r="J203" s="270">
        <v>0</v>
      </c>
      <c r="K203" s="270"/>
      <c r="L203" s="203"/>
      <c r="M203" s="203"/>
      <c r="N203" s="203"/>
      <c r="O203" s="203"/>
    </row>
    <row r="204" spans="1:15" ht="15" customHeight="1">
      <c r="A204" s="203"/>
      <c r="B204" s="226"/>
      <c r="C204" s="226"/>
      <c r="D204" s="226"/>
      <c r="E204" s="226"/>
      <c r="F204" s="226"/>
      <c r="G204" s="226"/>
      <c r="H204" s="226"/>
      <c r="I204" s="226"/>
      <c r="J204" s="226"/>
      <c r="K204" s="226"/>
      <c r="L204" s="203"/>
      <c r="M204" s="203"/>
      <c r="N204" s="203"/>
      <c r="O204" s="203"/>
    </row>
    <row r="205" spans="1:15" ht="15" customHeight="1">
      <c r="A205" s="203"/>
      <c r="B205" s="239"/>
      <c r="C205" s="239"/>
      <c r="D205" s="239"/>
      <c r="E205" s="239"/>
      <c r="F205" s="239"/>
      <c r="G205" s="239"/>
      <c r="H205" s="239"/>
      <c r="I205" s="239"/>
      <c r="J205" s="239"/>
      <c r="K205" s="239"/>
      <c r="L205" s="203"/>
      <c r="M205" s="203"/>
      <c r="N205" s="203"/>
      <c r="O205" s="203"/>
    </row>
    <row r="206" spans="1:15" ht="15" customHeight="1">
      <c r="A206" s="203"/>
      <c r="B206" s="239"/>
      <c r="C206" s="239"/>
      <c r="D206" s="239"/>
      <c r="E206" s="239"/>
      <c r="F206" s="239"/>
      <c r="G206" s="239"/>
      <c r="H206" s="239"/>
      <c r="I206" s="239"/>
      <c r="J206" s="239"/>
      <c r="K206" s="239"/>
      <c r="L206" s="203"/>
      <c r="M206" s="203"/>
      <c r="N206" s="203"/>
      <c r="O206" s="203"/>
    </row>
    <row r="207" spans="1:15" ht="15" customHeight="1">
      <c r="A207" s="203"/>
      <c r="B207" s="239"/>
      <c r="C207" s="239"/>
      <c r="D207" s="239"/>
      <c r="E207" s="239"/>
      <c r="F207" s="239"/>
      <c r="G207" s="239"/>
      <c r="H207" s="239"/>
      <c r="I207" s="239"/>
      <c r="J207" s="239"/>
      <c r="K207" s="239"/>
      <c r="L207" s="203"/>
      <c r="M207" s="203"/>
      <c r="N207" s="203"/>
      <c r="O207" s="203"/>
    </row>
    <row r="208" spans="1:15" ht="15" customHeight="1">
      <c r="A208" s="203"/>
      <c r="B208" s="239"/>
      <c r="C208" s="239"/>
      <c r="D208" s="239"/>
      <c r="E208" s="239"/>
      <c r="F208" s="239"/>
      <c r="G208" s="239"/>
      <c r="H208" s="239"/>
      <c r="I208" s="239"/>
      <c r="J208" s="239"/>
      <c r="K208" s="239"/>
      <c r="L208" s="203"/>
      <c r="M208" s="203"/>
      <c r="N208" s="203"/>
      <c r="O208" s="203"/>
    </row>
    <row r="209" spans="1:15" ht="15" customHeight="1" thickBot="1">
      <c r="A209" s="203"/>
      <c r="B209" s="203"/>
      <c r="C209" s="203"/>
      <c r="D209" s="203"/>
      <c r="E209" s="203"/>
      <c r="F209" s="208" t="s">
        <v>259</v>
      </c>
      <c r="G209" s="208"/>
      <c r="H209" s="203"/>
      <c r="I209" s="203"/>
      <c r="J209" s="203"/>
      <c r="K209" s="228" t="s">
        <v>260</v>
      </c>
      <c r="L209" s="203"/>
      <c r="M209" s="203"/>
      <c r="N209" s="203"/>
      <c r="O209" s="203"/>
    </row>
    <row r="210" spans="1:15" ht="15" customHeight="1">
      <c r="A210" s="203"/>
      <c r="B210" s="202" t="s">
        <v>141</v>
      </c>
      <c r="C210" s="202"/>
      <c r="D210" s="202" t="s">
        <v>261</v>
      </c>
      <c r="E210" s="202" t="s">
        <v>262</v>
      </c>
      <c r="F210" s="202" t="s">
        <v>263</v>
      </c>
      <c r="G210" s="202" t="s">
        <v>279</v>
      </c>
      <c r="H210" s="202" t="s">
        <v>264</v>
      </c>
      <c r="I210" s="202" t="s">
        <v>54</v>
      </c>
      <c r="J210" s="202" t="s">
        <v>266</v>
      </c>
      <c r="K210" s="202"/>
      <c r="L210" s="203"/>
      <c r="M210" s="203"/>
      <c r="N210" s="203">
        <v>396</v>
      </c>
      <c r="O210" s="203">
        <v>386</v>
      </c>
    </row>
    <row r="211" spans="1:15" ht="15" customHeight="1">
      <c r="A211" s="203"/>
      <c r="B211" s="220">
        <v>2016</v>
      </c>
      <c r="C211" s="221"/>
      <c r="D211" s="257">
        <f t="array" ref="D211">IF(B21=B211,H21)</f>
        <v>290</v>
      </c>
      <c r="E211" s="257">
        <f t="array" ref="E211">IF(B53=B211,H53)</f>
        <v>290</v>
      </c>
      <c r="F211" s="257">
        <f t="array" ref="F211">IF(B101=B211,H101)</f>
        <v>291</v>
      </c>
      <c r="G211" s="257">
        <f t="array" ref="G211">IF(B141=B211,H141)</f>
        <v>329</v>
      </c>
      <c r="H211" s="257">
        <f t="array" ref="H211">IF(B184=B211,H184)</f>
        <v>261</v>
      </c>
      <c r="I211" s="257">
        <f t="shared" ref="I211:I230" si="10">IF(G211=0,AVERAGE(D211,E211,F211,H211),AVERAGE(D211:H211))</f>
        <v>292.2</v>
      </c>
      <c r="J211" s="266">
        <f t="shared" ref="J211:J230" si="11">ROUND(AVERAGE(D211,F211:G211),0)</f>
        <v>303</v>
      </c>
      <c r="K211" s="258"/>
      <c r="L211" s="203"/>
      <c r="M211" s="203"/>
      <c r="N211" s="203"/>
      <c r="O211" s="203"/>
    </row>
    <row r="212" spans="1:15" ht="15" customHeight="1">
      <c r="A212" s="203"/>
      <c r="B212" s="220">
        <v>2017</v>
      </c>
      <c r="C212" s="221"/>
      <c r="D212" s="257">
        <f t="array" ref="D212">IF(B22=B212,H22)</f>
        <v>283</v>
      </c>
      <c r="E212" s="257">
        <f t="array" ref="E212">IF(B54=B212,H54)</f>
        <v>283</v>
      </c>
      <c r="F212" s="257">
        <f t="array" ref="F212">IF(B102=B212,H102)</f>
        <v>279</v>
      </c>
      <c r="G212" s="257">
        <f t="array" ref="G212">IF(B142=B212,H142)</f>
        <v>329</v>
      </c>
      <c r="H212" s="257">
        <f t="array" ref="H212">IF(B185=B212,H185)</f>
        <v>248</v>
      </c>
      <c r="I212" s="257">
        <f t="shared" si="10"/>
        <v>284.39999999999998</v>
      </c>
      <c r="J212" s="266">
        <f t="shared" si="11"/>
        <v>297</v>
      </c>
      <c r="K212" s="258"/>
      <c r="L212" s="203"/>
      <c r="M212" s="203"/>
      <c r="N212" s="203"/>
      <c r="O212" s="203"/>
    </row>
    <row r="213" spans="1:15" ht="15" customHeight="1">
      <c r="A213" s="203"/>
      <c r="B213" s="220">
        <v>2018</v>
      </c>
      <c r="C213" s="221"/>
      <c r="D213" s="257">
        <f t="array" ref="D213">IF(B23=B213,H23)</f>
        <v>275</v>
      </c>
      <c r="E213" s="257">
        <f t="array" ref="E213">IF(B55=B213,H55)</f>
        <v>276</v>
      </c>
      <c r="F213" s="257">
        <f t="array" ref="F213">IF(B103=B213,H103)</f>
        <v>266</v>
      </c>
      <c r="G213" s="257">
        <f t="array" ref="G213">IF(B143=B213,H143)</f>
        <v>329</v>
      </c>
      <c r="H213" s="257">
        <f t="array" ref="H213">IF(B186=B213,H186)</f>
        <v>237</v>
      </c>
      <c r="I213" s="257">
        <f t="shared" si="10"/>
        <v>276.60000000000002</v>
      </c>
      <c r="J213" s="266">
        <f t="shared" si="11"/>
        <v>290</v>
      </c>
      <c r="K213" s="258"/>
      <c r="L213" s="203"/>
      <c r="M213" s="203"/>
      <c r="N213" s="203"/>
      <c r="O213" s="203"/>
    </row>
    <row r="214" spans="1:15" ht="15" customHeight="1">
      <c r="A214" s="203"/>
      <c r="B214" s="220">
        <v>2019</v>
      </c>
      <c r="C214" s="221"/>
      <c r="D214" s="257">
        <f t="array" ref="D214">IF(B24=B214,H24)</f>
        <v>268</v>
      </c>
      <c r="E214" s="257">
        <f t="array" ref="E214">IF(B56=B214,H56)</f>
        <v>270</v>
      </c>
      <c r="F214" s="257">
        <f t="array" ref="F214">IF(B104=B214,H104)</f>
        <v>254</v>
      </c>
      <c r="G214" s="257">
        <f t="array" ref="G214">IF(B144=B214,H144)</f>
        <v>329</v>
      </c>
      <c r="H214" s="257">
        <f t="array" ref="H214">IF(B187=B214,H187)</f>
        <v>225</v>
      </c>
      <c r="I214" s="257">
        <f t="shared" si="10"/>
        <v>269.2</v>
      </c>
      <c r="J214" s="266">
        <f t="shared" si="11"/>
        <v>284</v>
      </c>
      <c r="K214" s="258"/>
      <c r="L214" s="203"/>
      <c r="M214" s="203"/>
      <c r="N214" s="203"/>
      <c r="O214" s="203"/>
    </row>
    <row r="215" spans="1:15" ht="15" customHeight="1">
      <c r="A215" s="203"/>
      <c r="B215" s="268">
        <v>2020</v>
      </c>
      <c r="C215" s="269"/>
      <c r="D215" s="271">
        <f t="array" ref="D215">IF(B25=B215,H25)</f>
        <v>261</v>
      </c>
      <c r="E215" s="271">
        <f t="array" ref="E215">IF(B57=B215,H57)</f>
        <v>264</v>
      </c>
      <c r="F215" s="271">
        <f t="array" ref="F215">IF(B105=B215,H105)</f>
        <v>242</v>
      </c>
      <c r="G215" s="271">
        <f t="array" ref="G215">IF(B145=B215,H145)</f>
        <v>329</v>
      </c>
      <c r="H215" s="271">
        <f t="array" ref="H215">IF(B188=B215,H188)</f>
        <v>213</v>
      </c>
      <c r="I215" s="271">
        <f t="shared" si="10"/>
        <v>261.8</v>
      </c>
      <c r="J215" s="273">
        <f t="shared" si="11"/>
        <v>277</v>
      </c>
      <c r="K215" s="272"/>
      <c r="L215" s="203"/>
      <c r="M215" s="203"/>
      <c r="N215" s="203"/>
      <c r="O215" s="203"/>
    </row>
    <row r="216" spans="1:15" ht="15" customHeight="1">
      <c r="A216" s="203"/>
      <c r="B216" s="220">
        <v>2021</v>
      </c>
      <c r="C216" s="221"/>
      <c r="D216" s="257">
        <f t="array" ref="D216">IF(B26=B216,H26)</f>
        <v>253</v>
      </c>
      <c r="E216" s="257">
        <f t="array" ref="E216">IF(B58=B216,H58)</f>
        <v>257</v>
      </c>
      <c r="F216" s="257">
        <f t="array" ref="F216">IF(B106=B216,H106)</f>
        <v>229</v>
      </c>
      <c r="G216" s="257">
        <f t="array" ref="G216">IF(B146=B216,H146)</f>
        <v>329</v>
      </c>
      <c r="H216" s="257">
        <f t="array" ref="H216">IF(B189=B216,H189)</f>
        <v>202</v>
      </c>
      <c r="I216" s="257">
        <f t="shared" si="10"/>
        <v>254</v>
      </c>
      <c r="J216" s="266">
        <f t="shared" si="11"/>
        <v>270</v>
      </c>
      <c r="K216" s="258"/>
      <c r="L216" s="203"/>
      <c r="M216" s="203"/>
      <c r="N216" s="203"/>
      <c r="O216" s="203"/>
    </row>
    <row r="217" spans="1:15" ht="15" customHeight="1">
      <c r="A217" s="203"/>
      <c r="B217" s="220">
        <v>2022</v>
      </c>
      <c r="C217" s="221"/>
      <c r="D217" s="257">
        <f t="array" ref="D217">IF(B27=B217,H27)</f>
        <v>246</v>
      </c>
      <c r="E217" s="257">
        <f t="array" ref="E217">IF(B59=B217,H59)</f>
        <v>251</v>
      </c>
      <c r="F217" s="257">
        <f t="array" ref="F217">IF(B107=B217,H107)</f>
        <v>217</v>
      </c>
      <c r="G217" s="257">
        <f t="array" ref="G217">IF(B147=B217,H147)</f>
        <v>329</v>
      </c>
      <c r="H217" s="257">
        <f t="array" ref="H217">IF(B190=B217,H190)</f>
        <v>191</v>
      </c>
      <c r="I217" s="257">
        <f t="shared" si="10"/>
        <v>246.8</v>
      </c>
      <c r="J217" s="266">
        <f t="shared" si="11"/>
        <v>264</v>
      </c>
      <c r="K217" s="258"/>
      <c r="L217" s="203"/>
      <c r="M217" s="203"/>
      <c r="N217" s="203"/>
      <c r="O217" s="203"/>
    </row>
    <row r="218" spans="1:15" ht="15" customHeight="1">
      <c r="A218" s="203"/>
      <c r="B218" s="220">
        <v>2023</v>
      </c>
      <c r="C218" s="221"/>
      <c r="D218" s="257">
        <f t="array" ref="D218">IF(B28=B218,H28)</f>
        <v>239</v>
      </c>
      <c r="E218" s="257">
        <f t="array" ref="E218">IF(B60=B218,H60)</f>
        <v>245</v>
      </c>
      <c r="F218" s="257">
        <f t="array" ref="F218">IF(B108=B218,H108)</f>
        <v>205</v>
      </c>
      <c r="G218" s="257">
        <f t="array" ref="G218">IF(B148=B218,H148)</f>
        <v>329</v>
      </c>
      <c r="H218" s="257">
        <f t="array" ref="H218">IF(B191=B218,H191)</f>
        <v>181</v>
      </c>
      <c r="I218" s="257">
        <f t="shared" si="10"/>
        <v>239.8</v>
      </c>
      <c r="J218" s="266">
        <f t="shared" si="11"/>
        <v>258</v>
      </c>
      <c r="K218" s="258"/>
      <c r="L218" s="203"/>
      <c r="M218" s="203"/>
      <c r="N218" s="203"/>
      <c r="O218" s="203"/>
    </row>
    <row r="219" spans="1:15" ht="15" customHeight="1">
      <c r="A219" s="203"/>
      <c r="B219" s="220">
        <v>2024</v>
      </c>
      <c r="C219" s="221"/>
      <c r="D219" s="257">
        <f t="array" ref="D219">IF(B29=B219,H29)</f>
        <v>232</v>
      </c>
      <c r="E219" s="257">
        <f t="array" ref="E219">IF(B61=B219,H61)</f>
        <v>240</v>
      </c>
      <c r="F219" s="257">
        <f t="array" ref="F219">IF(B109=B219,H109)</f>
        <v>193</v>
      </c>
      <c r="G219" s="257">
        <f t="array" ref="G219">IF(B149=B219,H149)</f>
        <v>330</v>
      </c>
      <c r="H219" s="257">
        <f t="array" ref="H219">IF(B192=B219,H192)</f>
        <v>171</v>
      </c>
      <c r="I219" s="257">
        <f t="shared" si="10"/>
        <v>233.2</v>
      </c>
      <c r="J219" s="266">
        <f t="shared" si="11"/>
        <v>252</v>
      </c>
      <c r="K219" s="258"/>
      <c r="L219" s="203"/>
      <c r="M219" s="203"/>
      <c r="N219" s="203"/>
      <c r="O219" s="203"/>
    </row>
    <row r="220" spans="1:15" ht="15" customHeight="1">
      <c r="A220" s="203"/>
      <c r="B220" s="268">
        <v>2025</v>
      </c>
      <c r="C220" s="269"/>
      <c r="D220" s="271">
        <f t="array" ref="D220">IF(B30=B220,H30)</f>
        <v>224</v>
      </c>
      <c r="E220" s="271">
        <f t="array" ref="E220">IF(B62=B220,H62)</f>
        <v>234</v>
      </c>
      <c r="F220" s="271">
        <f t="array" ref="F220">IF(B110=B220,H110)</f>
        <v>180</v>
      </c>
      <c r="G220" s="271">
        <f t="array" ref="G220">IF(B150=B220,H150)</f>
        <v>330</v>
      </c>
      <c r="H220" s="271">
        <f t="array" ref="H220">IF(B193=B220,H193)</f>
        <v>161</v>
      </c>
      <c r="I220" s="271">
        <f t="shared" si="10"/>
        <v>225.8</v>
      </c>
      <c r="J220" s="273">
        <f t="shared" si="11"/>
        <v>245</v>
      </c>
      <c r="K220" s="272"/>
      <c r="L220" s="203"/>
      <c r="M220" s="203"/>
      <c r="N220" s="203"/>
      <c r="O220" s="203"/>
    </row>
    <row r="221" spans="1:15" ht="15" customHeight="1">
      <c r="A221" s="203"/>
      <c r="B221" s="220">
        <v>2026</v>
      </c>
      <c r="C221" s="221"/>
      <c r="D221" s="257">
        <f t="array" ref="D221">IF(B31=B221,H31)</f>
        <v>217</v>
      </c>
      <c r="E221" s="257">
        <f t="array" ref="E221">IF(B63=B221,H63)</f>
        <v>228</v>
      </c>
      <c r="F221" s="257">
        <f t="array" ref="F221">IF(B111=B221,H111)</f>
        <v>168</v>
      </c>
      <c r="G221" s="257">
        <f t="array" ref="G221">IF(B151=B221,H151)</f>
        <v>330</v>
      </c>
      <c r="H221" s="257">
        <f t="array" ref="H221">IF(B194=B221,H194)</f>
        <v>151</v>
      </c>
      <c r="I221" s="257">
        <f t="shared" si="10"/>
        <v>218.8</v>
      </c>
      <c r="J221" s="266">
        <f t="shared" si="11"/>
        <v>238</v>
      </c>
      <c r="K221" s="258"/>
      <c r="L221" s="203"/>
      <c r="M221" s="203"/>
      <c r="N221" s="203"/>
      <c r="O221" s="203"/>
    </row>
    <row r="222" spans="1:15" ht="15" customHeight="1">
      <c r="A222" s="203"/>
      <c r="B222" s="220">
        <v>2027</v>
      </c>
      <c r="C222" s="221"/>
      <c r="D222" s="257">
        <f t="array" ref="D222">IF(B32=B222,H32)</f>
        <v>210</v>
      </c>
      <c r="E222" s="257">
        <f t="array" ref="E222">IF(B64=B222,H64)</f>
        <v>223</v>
      </c>
      <c r="F222" s="257">
        <f t="array" ref="F222">IF(B112=B222,H112)</f>
        <v>156</v>
      </c>
      <c r="G222" s="257">
        <f t="array" ref="G222">IF(B152=B222,H152)</f>
        <v>330</v>
      </c>
      <c r="H222" s="257">
        <f t="array" ref="H222">IF(B195=B222,H195)</f>
        <v>142</v>
      </c>
      <c r="I222" s="257">
        <f t="shared" si="10"/>
        <v>212.2</v>
      </c>
      <c r="J222" s="266">
        <f t="shared" si="11"/>
        <v>232</v>
      </c>
      <c r="K222" s="258"/>
      <c r="L222" s="203"/>
      <c r="M222" s="203"/>
      <c r="N222" s="203"/>
      <c r="O222" s="203"/>
    </row>
    <row r="223" spans="1:15" ht="15" customHeight="1">
      <c r="A223" s="203"/>
      <c r="B223" s="220">
        <v>2028</v>
      </c>
      <c r="C223" s="221"/>
      <c r="D223" s="257">
        <f t="array" ref="D223">IF(B33=B223,H33)</f>
        <v>202</v>
      </c>
      <c r="E223" s="257">
        <f t="array" ref="E223">IF(B65=B223,H65)</f>
        <v>218</v>
      </c>
      <c r="F223" s="257">
        <f t="array" ref="F223">IF(B113=B223,H113)</f>
        <v>143</v>
      </c>
      <c r="G223" s="257">
        <f t="array" ref="G223">IF(B153=B223,H153)</f>
        <v>330</v>
      </c>
      <c r="H223" s="257">
        <f t="array" ref="H223">IF(B196=B223,H196)</f>
        <v>134</v>
      </c>
      <c r="I223" s="257">
        <f t="shared" si="10"/>
        <v>205.4</v>
      </c>
      <c r="J223" s="266">
        <f t="shared" si="11"/>
        <v>225</v>
      </c>
      <c r="K223" s="258"/>
      <c r="L223" s="203"/>
      <c r="M223" s="203"/>
      <c r="N223" s="203"/>
      <c r="O223" s="203"/>
    </row>
    <row r="224" spans="1:15" ht="15" customHeight="1">
      <c r="A224" s="203"/>
      <c r="B224" s="220">
        <v>2029</v>
      </c>
      <c r="C224" s="221"/>
      <c r="D224" s="257">
        <f t="array" ref="D224">IF(B34=B224,H34)</f>
        <v>195</v>
      </c>
      <c r="E224" s="257">
        <f t="array" ref="E224">IF(B66=B224,H66)</f>
        <v>213</v>
      </c>
      <c r="F224" s="257">
        <f t="array" ref="F224">IF(B114=B224,H114)</f>
        <v>131</v>
      </c>
      <c r="G224" s="257">
        <f t="array" ref="G224">IF(B154=B224,H154)</f>
        <v>330</v>
      </c>
      <c r="H224" s="257">
        <f t="array" ref="H224">IF(B197=B224,H197)</f>
        <v>125</v>
      </c>
      <c r="I224" s="257">
        <f t="shared" si="10"/>
        <v>198.8</v>
      </c>
      <c r="J224" s="266">
        <f t="shared" si="11"/>
        <v>219</v>
      </c>
      <c r="K224" s="258"/>
      <c r="L224" s="203"/>
      <c r="M224" s="203"/>
      <c r="N224" s="203"/>
      <c r="O224" s="203"/>
    </row>
    <row r="225" spans="1:15" ht="15" customHeight="1">
      <c r="A225" s="203"/>
      <c r="B225" s="268">
        <v>2030</v>
      </c>
      <c r="C225" s="269"/>
      <c r="D225" s="271">
        <f t="array" ref="D225">IF(B35=B225,H35)</f>
        <v>188</v>
      </c>
      <c r="E225" s="271">
        <f t="array" ref="E225">IF(B67=B225,H67)</f>
        <v>208</v>
      </c>
      <c r="F225" s="271">
        <f t="array" ref="F225">IF(B115=B225,H115)</f>
        <v>119</v>
      </c>
      <c r="G225" s="271">
        <f t="array" ref="G225">IF(B155=B225,H155)</f>
        <v>330</v>
      </c>
      <c r="H225" s="271">
        <f t="array" ref="H225">IF(B198=B225,H198)</f>
        <v>117</v>
      </c>
      <c r="I225" s="271">
        <f t="shared" si="10"/>
        <v>192.4</v>
      </c>
      <c r="J225" s="273">
        <f t="shared" si="11"/>
        <v>212</v>
      </c>
      <c r="K225" s="272"/>
      <c r="L225" s="203"/>
      <c r="M225" s="203"/>
      <c r="N225" s="203"/>
      <c r="O225" s="203"/>
    </row>
    <row r="226" spans="1:15" ht="15" customHeight="1">
      <c r="A226" s="203"/>
      <c r="B226" s="220">
        <v>2031</v>
      </c>
      <c r="C226" s="221"/>
      <c r="D226" s="257">
        <f t="array" ref="D226">IF(B36=B226,H36)</f>
        <v>180</v>
      </c>
      <c r="E226" s="257">
        <f t="array" ref="E226">IF(B68=B226,H68)</f>
        <v>203</v>
      </c>
      <c r="F226" s="257">
        <f t="array" ref="F226">IF(B116=B226,H116)</f>
        <v>107</v>
      </c>
      <c r="G226" s="257">
        <f t="array" ref="G226">IF(B156=B226,H156)</f>
        <v>330</v>
      </c>
      <c r="H226" s="257">
        <f t="array" ref="H226">IF(B199=B226,H199)</f>
        <v>110</v>
      </c>
      <c r="I226" s="257">
        <f t="shared" si="10"/>
        <v>186</v>
      </c>
      <c r="J226" s="266">
        <f t="shared" si="11"/>
        <v>206</v>
      </c>
      <c r="K226" s="258"/>
      <c r="L226" s="203"/>
      <c r="M226" s="203"/>
      <c r="N226" s="203"/>
      <c r="O226" s="203"/>
    </row>
    <row r="227" spans="1:15" ht="15" customHeight="1">
      <c r="A227" s="203"/>
      <c r="B227" s="220">
        <v>2032</v>
      </c>
      <c r="C227" s="221"/>
      <c r="D227" s="257">
        <f t="array" ref="D227">IF(B37=B227,H37)</f>
        <v>173</v>
      </c>
      <c r="E227" s="257">
        <f t="array" ref="E227">IF(B69=B227,H69)</f>
        <v>198</v>
      </c>
      <c r="F227" s="257">
        <f t="array" ref="F227">IF(B117=B227,H117)</f>
        <v>94</v>
      </c>
      <c r="G227" s="257">
        <f t="array" ref="G227">IF(B157=B227,H157)</f>
        <v>330</v>
      </c>
      <c r="H227" s="257">
        <f t="array" ref="H227">IF(B200=B227,H200)</f>
        <v>103</v>
      </c>
      <c r="I227" s="257">
        <f t="shared" si="10"/>
        <v>179.6</v>
      </c>
      <c r="J227" s="266">
        <f t="shared" si="11"/>
        <v>199</v>
      </c>
      <c r="K227" s="258"/>
      <c r="L227" s="203"/>
      <c r="M227" s="203"/>
      <c r="N227" s="203"/>
      <c r="O227" s="203"/>
    </row>
    <row r="228" spans="1:15" ht="15" customHeight="1">
      <c r="A228" s="203"/>
      <c r="B228" s="220">
        <v>2033</v>
      </c>
      <c r="C228" s="221"/>
      <c r="D228" s="257">
        <f t="array" ref="D228">IF(B38=B228,H38)</f>
        <v>166</v>
      </c>
      <c r="E228" s="257">
        <f t="array" ref="E228">IF(B70=B228,H70)</f>
        <v>193</v>
      </c>
      <c r="F228" s="257">
        <f t="array" ref="F228">IF(B118=B228,H118)</f>
        <v>82</v>
      </c>
      <c r="G228" s="257">
        <f t="array" ref="G228">IF(B158=B228,H158)</f>
        <v>330</v>
      </c>
      <c r="H228" s="257">
        <f t="array" ref="H228">IF(B201=B228,H201)</f>
        <v>96</v>
      </c>
      <c r="I228" s="257">
        <f t="shared" si="10"/>
        <v>173.4</v>
      </c>
      <c r="J228" s="266">
        <f t="shared" si="11"/>
        <v>193</v>
      </c>
      <c r="K228" s="258"/>
      <c r="L228" s="203"/>
      <c r="M228" s="203"/>
      <c r="N228" s="203"/>
      <c r="O228" s="203"/>
    </row>
    <row r="229" spans="1:15" ht="15" customHeight="1">
      <c r="A229" s="203"/>
      <c r="B229" s="220">
        <v>2034</v>
      </c>
      <c r="C229" s="221"/>
      <c r="D229" s="257">
        <f t="array" ref="D229">IF(B39=B229,H39)</f>
        <v>159</v>
      </c>
      <c r="E229" s="257">
        <f t="array" ref="E229">IF(B71=B229,H71)</f>
        <v>189</v>
      </c>
      <c r="F229" s="257">
        <f t="array" ref="F229">IF(B119=B229,H119)</f>
        <v>70</v>
      </c>
      <c r="G229" s="257">
        <f t="array" ref="G229">IF(B159=B229,H159)</f>
        <v>330</v>
      </c>
      <c r="H229" s="257">
        <f t="array" ref="H229">IF(B202=B229,H202)</f>
        <v>89</v>
      </c>
      <c r="I229" s="257">
        <f t="shared" si="10"/>
        <v>167.4</v>
      </c>
      <c r="J229" s="266">
        <f t="shared" si="11"/>
        <v>186</v>
      </c>
      <c r="K229" s="258"/>
      <c r="L229" s="203"/>
      <c r="M229" s="203"/>
      <c r="N229" s="203"/>
      <c r="O229" s="203"/>
    </row>
    <row r="230" spans="1:15" ht="15" customHeight="1" thickBot="1">
      <c r="A230" s="203"/>
      <c r="B230" s="268">
        <v>2035</v>
      </c>
      <c r="C230" s="269"/>
      <c r="D230" s="271">
        <f t="array" ref="D230">IF(B40=B230,H40)</f>
        <v>151</v>
      </c>
      <c r="E230" s="271">
        <f t="array" ref="E230">IF(B72=B230,H72)</f>
        <v>184</v>
      </c>
      <c r="F230" s="271">
        <f t="array" ref="F230">IF(B120=B230,H120)</f>
        <v>57</v>
      </c>
      <c r="G230" s="271">
        <f t="array" ref="G230">IF(B160=B230,H160)</f>
        <v>330</v>
      </c>
      <c r="H230" s="271">
        <f t="array" ref="H230">IF(B203=B230,H203)</f>
        <v>83</v>
      </c>
      <c r="I230" s="271">
        <f t="shared" si="10"/>
        <v>161</v>
      </c>
      <c r="J230" s="273">
        <f t="shared" si="11"/>
        <v>179</v>
      </c>
      <c r="K230" s="272"/>
      <c r="L230" s="203"/>
      <c r="M230" s="203"/>
      <c r="N230" s="203"/>
      <c r="O230" s="203"/>
    </row>
    <row r="231" spans="1:15">
      <c r="B231" s="226"/>
      <c r="C231" s="226"/>
      <c r="D231" s="226"/>
      <c r="E231" s="226"/>
      <c r="F231" s="226"/>
      <c r="G231" s="226"/>
      <c r="H231" s="226"/>
      <c r="I231" s="226"/>
      <c r="J231" s="226"/>
      <c r="K231" s="226"/>
    </row>
  </sheetData>
  <mergeCells count="1">
    <mergeCell ref="E169:F169"/>
  </mergeCells>
  <phoneticPr fontId="7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"/>
  <sheetViews>
    <sheetView workbookViewId="0"/>
  </sheetViews>
  <sheetFormatPr defaultRowHeight="16.5" outlineLevelCol="1"/>
  <cols>
    <col min="1" max="1" width="8.88671875" style="928"/>
    <col min="2" max="2" width="10.109375" style="928" bestFit="1" customWidth="1"/>
    <col min="3" max="3" width="12.109375" style="928" hidden="1" customWidth="1" outlineLevel="1"/>
    <col min="4" max="4" width="12.109375" style="928" bestFit="1" customWidth="1" collapsed="1"/>
    <col min="5" max="5" width="12.109375" style="928" bestFit="1" customWidth="1"/>
    <col min="6" max="14" width="10" style="928" customWidth="1"/>
    <col min="15" max="15" width="10" style="928" hidden="1" customWidth="1" outlineLevel="1"/>
    <col min="16" max="16" width="10" style="928" customWidth="1" collapsed="1"/>
    <col min="17" max="22" width="10" style="928" customWidth="1"/>
    <col min="23" max="262" width="8.88671875" style="928"/>
    <col min="263" max="279" width="10" style="928" customWidth="1"/>
    <col min="280" max="518" width="8.88671875" style="928"/>
    <col min="519" max="535" width="10" style="928" customWidth="1"/>
    <col min="536" max="774" width="8.88671875" style="928"/>
    <col min="775" max="791" width="10" style="928" customWidth="1"/>
    <col min="792" max="1030" width="8.88671875" style="928"/>
    <col min="1031" max="1047" width="10" style="928" customWidth="1"/>
    <col min="1048" max="1286" width="8.88671875" style="928"/>
    <col min="1287" max="1303" width="10" style="928" customWidth="1"/>
    <col min="1304" max="1542" width="8.88671875" style="928"/>
    <col min="1543" max="1559" width="10" style="928" customWidth="1"/>
    <col min="1560" max="1798" width="8.88671875" style="928"/>
    <col min="1799" max="1815" width="10" style="928" customWidth="1"/>
    <col min="1816" max="2054" width="8.88671875" style="928"/>
    <col min="2055" max="2071" width="10" style="928" customWidth="1"/>
    <col min="2072" max="2310" width="8.88671875" style="928"/>
    <col min="2311" max="2327" width="10" style="928" customWidth="1"/>
    <col min="2328" max="2566" width="8.88671875" style="928"/>
    <col min="2567" max="2583" width="10" style="928" customWidth="1"/>
    <col min="2584" max="2822" width="8.88671875" style="928"/>
    <col min="2823" max="2839" width="10" style="928" customWidth="1"/>
    <col min="2840" max="3078" width="8.88671875" style="928"/>
    <col min="3079" max="3095" width="10" style="928" customWidth="1"/>
    <col min="3096" max="3334" width="8.88671875" style="928"/>
    <col min="3335" max="3351" width="10" style="928" customWidth="1"/>
    <col min="3352" max="3590" width="8.88671875" style="928"/>
    <col min="3591" max="3607" width="10" style="928" customWidth="1"/>
    <col min="3608" max="3846" width="8.88671875" style="928"/>
    <col min="3847" max="3863" width="10" style="928" customWidth="1"/>
    <col min="3864" max="4102" width="8.88671875" style="928"/>
    <col min="4103" max="4119" width="10" style="928" customWidth="1"/>
    <col min="4120" max="4358" width="8.88671875" style="928"/>
    <col min="4359" max="4375" width="10" style="928" customWidth="1"/>
    <col min="4376" max="4614" width="8.88671875" style="928"/>
    <col min="4615" max="4631" width="10" style="928" customWidth="1"/>
    <col min="4632" max="4870" width="8.88671875" style="928"/>
    <col min="4871" max="4887" width="10" style="928" customWidth="1"/>
    <col min="4888" max="5126" width="8.88671875" style="928"/>
    <col min="5127" max="5143" width="10" style="928" customWidth="1"/>
    <col min="5144" max="5382" width="8.88671875" style="928"/>
    <col min="5383" max="5399" width="10" style="928" customWidth="1"/>
    <col min="5400" max="5638" width="8.88671875" style="928"/>
    <col min="5639" max="5655" width="10" style="928" customWidth="1"/>
    <col min="5656" max="5894" width="8.88671875" style="928"/>
    <col min="5895" max="5911" width="10" style="928" customWidth="1"/>
    <col min="5912" max="6150" width="8.88671875" style="928"/>
    <col min="6151" max="6167" width="10" style="928" customWidth="1"/>
    <col min="6168" max="6406" width="8.88671875" style="928"/>
    <col min="6407" max="6423" width="10" style="928" customWidth="1"/>
    <col min="6424" max="6662" width="8.88671875" style="928"/>
    <col min="6663" max="6679" width="10" style="928" customWidth="1"/>
    <col min="6680" max="6918" width="8.88671875" style="928"/>
    <col min="6919" max="6935" width="10" style="928" customWidth="1"/>
    <col min="6936" max="7174" width="8.88671875" style="928"/>
    <col min="7175" max="7191" width="10" style="928" customWidth="1"/>
    <col min="7192" max="7430" width="8.88671875" style="928"/>
    <col min="7431" max="7447" width="10" style="928" customWidth="1"/>
    <col min="7448" max="7686" width="8.88671875" style="928"/>
    <col min="7687" max="7703" width="10" style="928" customWidth="1"/>
    <col min="7704" max="7942" width="8.88671875" style="928"/>
    <col min="7943" max="7959" width="10" style="928" customWidth="1"/>
    <col min="7960" max="8198" width="8.88671875" style="928"/>
    <col min="8199" max="8215" width="10" style="928" customWidth="1"/>
    <col min="8216" max="8454" width="8.88671875" style="928"/>
    <col min="8455" max="8471" width="10" style="928" customWidth="1"/>
    <col min="8472" max="8710" width="8.88671875" style="928"/>
    <col min="8711" max="8727" width="10" style="928" customWidth="1"/>
    <col min="8728" max="8966" width="8.88671875" style="928"/>
    <col min="8967" max="8983" width="10" style="928" customWidth="1"/>
    <col min="8984" max="9222" width="8.88671875" style="928"/>
    <col min="9223" max="9239" width="10" style="928" customWidth="1"/>
    <col min="9240" max="9478" width="8.88671875" style="928"/>
    <col min="9479" max="9495" width="10" style="928" customWidth="1"/>
    <col min="9496" max="9734" width="8.88671875" style="928"/>
    <col min="9735" max="9751" width="10" style="928" customWidth="1"/>
    <col min="9752" max="9990" width="8.88671875" style="928"/>
    <col min="9991" max="10007" width="10" style="928" customWidth="1"/>
    <col min="10008" max="10246" width="8.88671875" style="928"/>
    <col min="10247" max="10263" width="10" style="928" customWidth="1"/>
    <col min="10264" max="10502" width="8.88671875" style="928"/>
    <col min="10503" max="10519" width="10" style="928" customWidth="1"/>
    <col min="10520" max="10758" width="8.88671875" style="928"/>
    <col min="10759" max="10775" width="10" style="928" customWidth="1"/>
    <col min="10776" max="11014" width="8.88671875" style="928"/>
    <col min="11015" max="11031" width="10" style="928" customWidth="1"/>
    <col min="11032" max="11270" width="8.88671875" style="928"/>
    <col min="11271" max="11287" width="10" style="928" customWidth="1"/>
    <col min="11288" max="11526" width="8.88671875" style="928"/>
    <col min="11527" max="11543" width="10" style="928" customWidth="1"/>
    <col min="11544" max="11782" width="8.88671875" style="928"/>
    <col min="11783" max="11799" width="10" style="928" customWidth="1"/>
    <col min="11800" max="12038" width="8.88671875" style="928"/>
    <col min="12039" max="12055" width="10" style="928" customWidth="1"/>
    <col min="12056" max="12294" width="8.88671875" style="928"/>
    <col min="12295" max="12311" width="10" style="928" customWidth="1"/>
    <col min="12312" max="12550" width="8.88671875" style="928"/>
    <col min="12551" max="12567" width="10" style="928" customWidth="1"/>
    <col min="12568" max="12806" width="8.88671875" style="928"/>
    <col min="12807" max="12823" width="10" style="928" customWidth="1"/>
    <col min="12824" max="13062" width="8.88671875" style="928"/>
    <col min="13063" max="13079" width="10" style="928" customWidth="1"/>
    <col min="13080" max="13318" width="8.88671875" style="928"/>
    <col min="13319" max="13335" width="10" style="928" customWidth="1"/>
    <col min="13336" max="13574" width="8.88671875" style="928"/>
    <col min="13575" max="13591" width="10" style="928" customWidth="1"/>
    <col min="13592" max="13830" width="8.88671875" style="928"/>
    <col min="13831" max="13847" width="10" style="928" customWidth="1"/>
    <col min="13848" max="14086" width="8.88671875" style="928"/>
    <col min="14087" max="14103" width="10" style="928" customWidth="1"/>
    <col min="14104" max="14342" width="8.88671875" style="928"/>
    <col min="14343" max="14359" width="10" style="928" customWidth="1"/>
    <col min="14360" max="14598" width="8.88671875" style="928"/>
    <col min="14599" max="14615" width="10" style="928" customWidth="1"/>
    <col min="14616" max="14854" width="8.88671875" style="928"/>
    <col min="14855" max="14871" width="10" style="928" customWidth="1"/>
    <col min="14872" max="15110" width="8.88671875" style="928"/>
    <col min="15111" max="15127" width="10" style="928" customWidth="1"/>
    <col min="15128" max="15366" width="8.88671875" style="928"/>
    <col min="15367" max="15383" width="10" style="928" customWidth="1"/>
    <col min="15384" max="15622" width="8.88671875" style="928"/>
    <col min="15623" max="15639" width="10" style="928" customWidth="1"/>
    <col min="15640" max="15878" width="8.88671875" style="928"/>
    <col min="15879" max="15895" width="10" style="928" customWidth="1"/>
    <col min="15896" max="16134" width="8.88671875" style="928"/>
    <col min="16135" max="16151" width="10" style="928" customWidth="1"/>
    <col min="16152" max="16384" width="8.88671875" style="928"/>
  </cols>
  <sheetData>
    <row r="1" spans="1:26" ht="20.25">
      <c r="A1" s="965" t="s">
        <v>1408</v>
      </c>
      <c r="B1" s="966"/>
      <c r="C1" s="966"/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  <c r="O1" s="966"/>
      <c r="P1" s="966"/>
      <c r="Q1" s="966"/>
      <c r="R1" s="966"/>
      <c r="S1" s="966"/>
      <c r="T1" s="966"/>
      <c r="U1" s="966"/>
      <c r="V1" s="966"/>
      <c r="W1" s="966"/>
      <c r="X1" s="966"/>
      <c r="Y1" s="966"/>
      <c r="Z1" s="966"/>
    </row>
    <row r="2" spans="1:26">
      <c r="A2" s="2253" t="s">
        <v>1409</v>
      </c>
      <c r="B2" s="2253"/>
      <c r="C2" s="2254" t="s">
        <v>1410</v>
      </c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6"/>
      <c r="O2" s="2254" t="s">
        <v>1411</v>
      </c>
      <c r="P2" s="2255"/>
      <c r="Q2" s="2255"/>
      <c r="R2" s="2255"/>
      <c r="S2" s="2255"/>
      <c r="T2" s="2255"/>
      <c r="U2" s="2255"/>
      <c r="V2" s="2255"/>
      <c r="W2" s="2255"/>
      <c r="X2" s="2255"/>
      <c r="Y2" s="2255"/>
      <c r="Z2" s="2256"/>
    </row>
    <row r="3" spans="1:26" ht="16.5" customHeight="1">
      <c r="A3" s="2253"/>
      <c r="B3" s="2253"/>
      <c r="C3" s="2257" t="s">
        <v>1412</v>
      </c>
      <c r="D3" s="2257" t="s">
        <v>1413</v>
      </c>
      <c r="E3" s="967" t="s">
        <v>1414</v>
      </c>
      <c r="F3" s="967" t="s">
        <v>1415</v>
      </c>
      <c r="G3" s="967" t="s">
        <v>1416</v>
      </c>
      <c r="H3" s="967" t="s">
        <v>1417</v>
      </c>
      <c r="I3" s="967" t="s">
        <v>1418</v>
      </c>
      <c r="J3" s="967" t="s">
        <v>1419</v>
      </c>
      <c r="K3" s="967" t="s">
        <v>1420</v>
      </c>
      <c r="L3" s="967" t="s">
        <v>1421</v>
      </c>
      <c r="M3" s="967" t="s">
        <v>1422</v>
      </c>
      <c r="N3" s="967" t="s">
        <v>1423</v>
      </c>
      <c r="O3" s="2257" t="s">
        <v>1412</v>
      </c>
      <c r="P3" s="2257" t="s">
        <v>1424</v>
      </c>
      <c r="Q3" s="967" t="s">
        <v>1414</v>
      </c>
      <c r="R3" s="967" t="s">
        <v>1415</v>
      </c>
      <c r="S3" s="967" t="s">
        <v>1416</v>
      </c>
      <c r="T3" s="967" t="s">
        <v>1417</v>
      </c>
      <c r="U3" s="967" t="s">
        <v>1418</v>
      </c>
      <c r="V3" s="967" t="s">
        <v>1419</v>
      </c>
      <c r="W3" s="967" t="s">
        <v>1420</v>
      </c>
      <c r="X3" s="967" t="s">
        <v>1421</v>
      </c>
      <c r="Y3" s="967" t="s">
        <v>1422</v>
      </c>
      <c r="Z3" s="967" t="s">
        <v>1423</v>
      </c>
    </row>
    <row r="4" spans="1:26">
      <c r="A4" s="2253"/>
      <c r="B4" s="2253"/>
      <c r="C4" s="2257"/>
      <c r="D4" s="2253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2257"/>
      <c r="P4" s="2253"/>
      <c r="Q4" s="967"/>
      <c r="R4" s="967"/>
      <c r="S4" s="967"/>
      <c r="T4" s="967"/>
      <c r="U4" s="967"/>
      <c r="V4" s="967"/>
      <c r="W4" s="967"/>
      <c r="X4" s="967"/>
      <c r="Y4" s="967"/>
      <c r="Z4" s="967"/>
    </row>
    <row r="5" spans="1:26">
      <c r="A5" s="2258" t="s">
        <v>1425</v>
      </c>
      <c r="B5" s="968" t="s">
        <v>552</v>
      </c>
      <c r="C5" s="969">
        <f t="shared" ref="C5:Z6" si="0">C29</f>
        <v>5676809.9999999991</v>
      </c>
      <c r="D5" s="969">
        <f t="shared" si="0"/>
        <v>15552.904109589039</v>
      </c>
      <c r="E5" s="970">
        <f t="shared" si="0"/>
        <v>15552.904109589039</v>
      </c>
      <c r="F5" s="970">
        <f t="shared" si="0"/>
        <v>3662.0328767123297</v>
      </c>
      <c r="G5" s="970">
        <f t="shared" si="0"/>
        <v>3847.8054794520549</v>
      </c>
      <c r="H5" s="970">
        <f t="shared" si="0"/>
        <v>404.28493150684932</v>
      </c>
      <c r="I5" s="970">
        <f t="shared" si="0"/>
        <v>389.13972602739727</v>
      </c>
      <c r="J5" s="970">
        <f t="shared" si="0"/>
        <v>354.98082191780821</v>
      </c>
      <c r="K5" s="970">
        <f t="shared" si="0"/>
        <v>2804.0821917808221</v>
      </c>
      <c r="L5" s="970">
        <f t="shared" si="0"/>
        <v>723.26575342465753</v>
      </c>
      <c r="M5" s="970">
        <f t="shared" si="0"/>
        <v>1184.3780821917808</v>
      </c>
      <c r="N5" s="970">
        <f t="shared" si="0"/>
        <v>2182.9342465753425</v>
      </c>
      <c r="O5" s="969">
        <f t="shared" si="0"/>
        <v>1011192</v>
      </c>
      <c r="P5" s="971">
        <f t="shared" si="0"/>
        <v>2770.3890410958902</v>
      </c>
      <c r="Q5" s="972">
        <f t="shared" si="0"/>
        <v>1385.1945205479451</v>
      </c>
      <c r="R5" s="972">
        <f t="shared" si="0"/>
        <v>420.33698630136985</v>
      </c>
      <c r="S5" s="972">
        <f t="shared" si="0"/>
        <v>588.15616438356165</v>
      </c>
      <c r="T5" s="972">
        <f t="shared" si="0"/>
        <v>0</v>
      </c>
      <c r="U5" s="972">
        <f t="shared" si="0"/>
        <v>0</v>
      </c>
      <c r="V5" s="972">
        <f t="shared" si="0"/>
        <v>0</v>
      </c>
      <c r="W5" s="972">
        <f t="shared" si="0"/>
        <v>90.717808219178082</v>
      </c>
      <c r="X5" s="972">
        <f t="shared" si="0"/>
        <v>104.81369863013698</v>
      </c>
      <c r="Y5" s="972">
        <f t="shared" si="0"/>
        <v>19.512328767123286</v>
      </c>
      <c r="Z5" s="972">
        <f t="shared" si="0"/>
        <v>161.65753424657532</v>
      </c>
    </row>
    <row r="6" spans="1:26">
      <c r="A6" s="2259"/>
      <c r="B6" s="973" t="s">
        <v>1426</v>
      </c>
      <c r="C6" s="974">
        <f t="shared" si="0"/>
        <v>4015251.9999999995</v>
      </c>
      <c r="D6" s="974">
        <f t="shared" si="0"/>
        <v>11000.690410958903</v>
      </c>
      <c r="E6" s="974">
        <f t="shared" si="0"/>
        <v>11000.690410958903</v>
      </c>
      <c r="F6" s="975">
        <f t="shared" si="0"/>
        <v>2592.4301369863015</v>
      </c>
      <c r="G6" s="975">
        <f t="shared" si="0"/>
        <v>2889.4383561643835</v>
      </c>
      <c r="H6" s="975">
        <f t="shared" si="0"/>
        <v>344.20547945205482</v>
      </c>
      <c r="I6" s="975">
        <f t="shared" si="0"/>
        <v>255.93424657534246</v>
      </c>
      <c r="J6" s="975">
        <f t="shared" si="0"/>
        <v>312.33424657534249</v>
      </c>
      <c r="K6" s="975">
        <f t="shared" si="0"/>
        <v>2119.9589041095892</v>
      </c>
      <c r="L6" s="975">
        <f t="shared" si="0"/>
        <v>395.75068493150684</v>
      </c>
      <c r="M6" s="975">
        <f t="shared" si="0"/>
        <v>496.00273972602741</v>
      </c>
      <c r="N6" s="975">
        <f t="shared" si="0"/>
        <v>1594.6356164383562</v>
      </c>
      <c r="O6" s="974">
        <f t="shared" si="0"/>
        <v>391868</v>
      </c>
      <c r="P6" s="974">
        <f t="shared" si="0"/>
        <v>1073.6109589041096</v>
      </c>
      <c r="Q6" s="974">
        <f t="shared" si="0"/>
        <v>536.80547945205478</v>
      </c>
      <c r="R6" s="975">
        <f t="shared" si="0"/>
        <v>103.07671232876713</v>
      </c>
      <c r="S6" s="975">
        <f t="shared" si="0"/>
        <v>244.09315068493152</v>
      </c>
      <c r="T6" s="975">
        <f t="shared" si="0"/>
        <v>0</v>
      </c>
      <c r="U6" s="975">
        <f t="shared" si="0"/>
        <v>0</v>
      </c>
      <c r="V6" s="975">
        <f t="shared" si="0"/>
        <v>0</v>
      </c>
      <c r="W6" s="975">
        <f t="shared" si="0"/>
        <v>25.202739726027396</v>
      </c>
      <c r="X6" s="975">
        <f t="shared" si="0"/>
        <v>92.939726027397256</v>
      </c>
      <c r="Y6" s="975">
        <f t="shared" si="0"/>
        <v>11.238356164383562</v>
      </c>
      <c r="Z6" s="975">
        <f t="shared" si="0"/>
        <v>60.254794520547946</v>
      </c>
    </row>
    <row r="7" spans="1:26">
      <c r="A7" s="2260"/>
      <c r="B7" s="973" t="s">
        <v>1427</v>
      </c>
      <c r="C7" s="974">
        <f>SUM(C31:C40)</f>
        <v>1661557.9999999998</v>
      </c>
      <c r="D7" s="974">
        <f>SUM(D31:D40)</f>
        <v>4552.2136986301366</v>
      </c>
      <c r="E7" s="974">
        <f>SUM(E31:E40)</f>
        <v>4552.2136986301366</v>
      </c>
      <c r="F7" s="975">
        <f t="shared" ref="F7:Z7" si="1">SUM(F31:F40)</f>
        <v>1069.6027397260275</v>
      </c>
      <c r="G7" s="975">
        <f t="shared" si="1"/>
        <v>958.36712328767112</v>
      </c>
      <c r="H7" s="975">
        <f t="shared" si="1"/>
        <v>60.079452054794515</v>
      </c>
      <c r="I7" s="975">
        <f t="shared" si="1"/>
        <v>133.20547945205479</v>
      </c>
      <c r="J7" s="975">
        <f t="shared" si="1"/>
        <v>42.646575342465752</v>
      </c>
      <c r="K7" s="975">
        <f t="shared" si="1"/>
        <v>684.12328767123279</v>
      </c>
      <c r="L7" s="975">
        <f t="shared" si="1"/>
        <v>327.51506849315069</v>
      </c>
      <c r="M7" s="975">
        <f t="shared" si="1"/>
        <v>688.37534246575331</v>
      </c>
      <c r="N7" s="975">
        <f t="shared" si="1"/>
        <v>588.29863013698628</v>
      </c>
      <c r="O7" s="974">
        <f t="shared" si="1"/>
        <v>619324</v>
      </c>
      <c r="P7" s="974">
        <f t="shared" si="1"/>
        <v>1696.7780821917806</v>
      </c>
      <c r="Q7" s="974">
        <f t="shared" si="1"/>
        <v>848.38904109589043</v>
      </c>
      <c r="R7" s="975">
        <f t="shared" si="1"/>
        <v>317.26027397260276</v>
      </c>
      <c r="S7" s="975">
        <f t="shared" si="1"/>
        <v>344.06301369863013</v>
      </c>
      <c r="T7" s="975">
        <f t="shared" si="1"/>
        <v>0</v>
      </c>
      <c r="U7" s="975">
        <f t="shared" si="1"/>
        <v>0</v>
      </c>
      <c r="V7" s="975">
        <f t="shared" si="1"/>
        <v>0</v>
      </c>
      <c r="W7" s="975">
        <f t="shared" si="1"/>
        <v>65.515068493150679</v>
      </c>
      <c r="X7" s="975">
        <f t="shared" si="1"/>
        <v>11.873972602739727</v>
      </c>
      <c r="Y7" s="975">
        <f t="shared" si="1"/>
        <v>8.2739726027397253</v>
      </c>
      <c r="Z7" s="975">
        <f t="shared" si="1"/>
        <v>101.40273972602739</v>
      </c>
    </row>
    <row r="8" spans="1:26">
      <c r="A8" s="2258" t="s">
        <v>1428</v>
      </c>
      <c r="B8" s="968" t="s">
        <v>1429</v>
      </c>
      <c r="C8" s="969">
        <f>C41</f>
        <v>6172872.0000000009</v>
      </c>
      <c r="D8" s="969">
        <f t="shared" ref="D8:Z9" si="2">D41</f>
        <v>16911.978082191781</v>
      </c>
      <c r="E8" s="970">
        <f t="shared" si="2"/>
        <v>16911.978082191781</v>
      </c>
      <c r="F8" s="970">
        <f t="shared" si="2"/>
        <v>3782.2794520547945</v>
      </c>
      <c r="G8" s="970">
        <f t="shared" si="2"/>
        <v>4053.6465753424659</v>
      </c>
      <c r="H8" s="970">
        <f t="shared" si="2"/>
        <v>398.84657534246571</v>
      </c>
      <c r="I8" s="970">
        <f t="shared" si="2"/>
        <v>404.74246575342465</v>
      </c>
      <c r="J8" s="970">
        <f t="shared" si="2"/>
        <v>406.44383561643838</v>
      </c>
      <c r="K8" s="970">
        <f t="shared" si="2"/>
        <v>2993.345205479452</v>
      </c>
      <c r="L8" s="970">
        <f t="shared" si="2"/>
        <v>1322.5835616438355</v>
      </c>
      <c r="M8" s="970">
        <f t="shared" si="2"/>
        <v>1362.1890410958904</v>
      </c>
      <c r="N8" s="970">
        <f t="shared" si="2"/>
        <v>2187.9013698630138</v>
      </c>
      <c r="O8" s="969">
        <f t="shared" si="2"/>
        <v>981714</v>
      </c>
      <c r="P8" s="971">
        <f t="shared" si="2"/>
        <v>2689.6273972602739</v>
      </c>
      <c r="Q8" s="972">
        <f t="shared" si="2"/>
        <v>1344.813698630137</v>
      </c>
      <c r="R8" s="972">
        <f t="shared" si="2"/>
        <v>445.12876712328773</v>
      </c>
      <c r="S8" s="972">
        <f t="shared" si="2"/>
        <v>589.95616438356171</v>
      </c>
      <c r="T8" s="972">
        <f t="shared" si="2"/>
        <v>0</v>
      </c>
      <c r="U8" s="972">
        <f t="shared" si="2"/>
        <v>0</v>
      </c>
      <c r="V8" s="972">
        <f t="shared" si="2"/>
        <v>0</v>
      </c>
      <c r="W8" s="972">
        <f t="shared" si="2"/>
        <v>135.08767123287672</v>
      </c>
      <c r="X8" s="972">
        <f t="shared" si="2"/>
        <v>9.580821917808219</v>
      </c>
      <c r="Y8" s="972">
        <f t="shared" si="2"/>
        <v>17.145205479452052</v>
      </c>
      <c r="Z8" s="972">
        <f t="shared" si="2"/>
        <v>147.91506849315067</v>
      </c>
    </row>
    <row r="9" spans="1:26">
      <c r="A9" s="2259"/>
      <c r="B9" s="973" t="s">
        <v>1426</v>
      </c>
      <c r="C9" s="974">
        <f>C42</f>
        <v>4570768.0000000009</v>
      </c>
      <c r="D9" s="974">
        <f t="shared" si="2"/>
        <v>12522.652054794522</v>
      </c>
      <c r="E9" s="974">
        <f t="shared" si="2"/>
        <v>12522.652054794522</v>
      </c>
      <c r="F9" s="975">
        <f t="shared" si="2"/>
        <v>2745.9205479452053</v>
      </c>
      <c r="G9" s="975">
        <f t="shared" si="2"/>
        <v>3095.4</v>
      </c>
      <c r="H9" s="975">
        <f t="shared" si="2"/>
        <v>352.10684931506847</v>
      </c>
      <c r="I9" s="975">
        <f t="shared" si="2"/>
        <v>286.26575342465753</v>
      </c>
      <c r="J9" s="975">
        <f t="shared" si="2"/>
        <v>360.76438356164385</v>
      </c>
      <c r="K9" s="975">
        <f t="shared" si="2"/>
        <v>2371.8986301369864</v>
      </c>
      <c r="L9" s="975">
        <f t="shared" si="2"/>
        <v>1112</v>
      </c>
      <c r="M9" s="975">
        <f t="shared" si="2"/>
        <v>575.06849315068496</v>
      </c>
      <c r="N9" s="975">
        <f t="shared" si="2"/>
        <v>1623.2273972602741</v>
      </c>
      <c r="O9" s="974">
        <f t="shared" si="2"/>
        <v>329126</v>
      </c>
      <c r="P9" s="974">
        <f t="shared" si="2"/>
        <v>901.71506849315074</v>
      </c>
      <c r="Q9" s="974">
        <f t="shared" si="2"/>
        <v>450.85753424657526</v>
      </c>
      <c r="R9" s="975">
        <f t="shared" si="2"/>
        <v>104.17534246575343</v>
      </c>
      <c r="S9" s="975">
        <f t="shared" si="2"/>
        <v>212.38082191780822</v>
      </c>
      <c r="T9" s="975">
        <f t="shared" si="2"/>
        <v>0</v>
      </c>
      <c r="U9" s="975">
        <f t="shared" si="2"/>
        <v>0</v>
      </c>
      <c r="V9" s="975">
        <f t="shared" si="2"/>
        <v>0</v>
      </c>
      <c r="W9" s="975">
        <f t="shared" si="2"/>
        <v>67.30684931506849</v>
      </c>
      <c r="X9" s="975">
        <f t="shared" si="2"/>
        <v>6.1972602739726028</v>
      </c>
      <c r="Y9" s="975">
        <f t="shared" si="2"/>
        <v>11.082191780821917</v>
      </c>
      <c r="Z9" s="975">
        <f t="shared" si="2"/>
        <v>49.715068493150682</v>
      </c>
    </row>
    <row r="10" spans="1:26">
      <c r="A10" s="2260"/>
      <c r="B10" s="973" t="s">
        <v>1430</v>
      </c>
      <c r="C10" s="974">
        <f>SUM(C43:C52)</f>
        <v>1602104.0000000002</v>
      </c>
      <c r="D10" s="974">
        <f t="shared" ref="D10:Z10" si="3">SUM(D43:D52)</f>
        <v>4389.326027397261</v>
      </c>
      <c r="E10" s="974">
        <f t="shared" si="3"/>
        <v>4389.326027397261</v>
      </c>
      <c r="F10" s="975">
        <f t="shared" si="3"/>
        <v>1036.358904109589</v>
      </c>
      <c r="G10" s="975">
        <f t="shared" si="3"/>
        <v>958.24657534246569</v>
      </c>
      <c r="H10" s="975">
        <f t="shared" si="3"/>
        <v>46.739726027397261</v>
      </c>
      <c r="I10" s="975">
        <f t="shared" si="3"/>
        <v>118.47671232876712</v>
      </c>
      <c r="J10" s="975">
        <f t="shared" si="3"/>
        <v>45.679452054794524</v>
      </c>
      <c r="K10" s="975">
        <f t="shared" si="3"/>
        <v>621.44657534246574</v>
      </c>
      <c r="L10" s="975">
        <f t="shared" si="3"/>
        <v>210.58356164383562</v>
      </c>
      <c r="M10" s="975">
        <f t="shared" si="3"/>
        <v>787.12054794520554</v>
      </c>
      <c r="N10" s="975">
        <f t="shared" si="3"/>
        <v>564.67397260273981</v>
      </c>
      <c r="O10" s="974">
        <f t="shared" si="3"/>
        <v>652588</v>
      </c>
      <c r="P10" s="974">
        <f t="shared" si="3"/>
        <v>1787.9123287671232</v>
      </c>
      <c r="Q10" s="974">
        <f t="shared" si="3"/>
        <v>893.9561643835616</v>
      </c>
      <c r="R10" s="975">
        <f t="shared" si="3"/>
        <v>340.95342465753424</v>
      </c>
      <c r="S10" s="975">
        <f t="shared" si="3"/>
        <v>377.57534246575347</v>
      </c>
      <c r="T10" s="975">
        <f t="shared" si="3"/>
        <v>0</v>
      </c>
      <c r="U10" s="975">
        <f t="shared" si="3"/>
        <v>0</v>
      </c>
      <c r="V10" s="975">
        <f t="shared" si="3"/>
        <v>0</v>
      </c>
      <c r="W10" s="975">
        <f t="shared" si="3"/>
        <v>67.780821917808211</v>
      </c>
      <c r="X10" s="975">
        <f t="shared" si="3"/>
        <v>3.3835616438356166</v>
      </c>
      <c r="Y10" s="975">
        <f t="shared" si="3"/>
        <v>6.0630136986301366</v>
      </c>
      <c r="Z10" s="975">
        <f t="shared" si="3"/>
        <v>98.199999999999989</v>
      </c>
    </row>
    <row r="11" spans="1:26">
      <c r="A11" s="2258" t="s">
        <v>1431</v>
      </c>
      <c r="B11" s="968" t="s">
        <v>1432</v>
      </c>
      <c r="C11" s="969">
        <f>C53</f>
        <v>6540136.9999999991</v>
      </c>
      <c r="D11" s="969">
        <f t="shared" ref="D11:Z12" si="4">D53</f>
        <v>17918.183561643833</v>
      </c>
      <c r="E11" s="970">
        <f t="shared" si="4"/>
        <v>17918.183561643833</v>
      </c>
      <c r="F11" s="970">
        <f t="shared" si="4"/>
        <v>3966.7726027397262</v>
      </c>
      <c r="G11" s="970">
        <f t="shared" si="4"/>
        <v>4348.8438356164388</v>
      </c>
      <c r="H11" s="970">
        <f t="shared" si="4"/>
        <v>408.61917808219175</v>
      </c>
      <c r="I11" s="970">
        <f t="shared" si="4"/>
        <v>454.14794520547946</v>
      </c>
      <c r="J11" s="970">
        <f t="shared" si="4"/>
        <v>468.17260273972602</v>
      </c>
      <c r="K11" s="970">
        <f t="shared" si="4"/>
        <v>3289.6575342465753</v>
      </c>
      <c r="L11" s="970">
        <f t="shared" si="4"/>
        <v>1416.3972602739723</v>
      </c>
      <c r="M11" s="970">
        <f t="shared" si="4"/>
        <v>1310.2794520547945</v>
      </c>
      <c r="N11" s="970">
        <f t="shared" si="4"/>
        <v>2255.2931506849318</v>
      </c>
      <c r="O11" s="969">
        <f t="shared" si="4"/>
        <v>1031660</v>
      </c>
      <c r="P11" s="971">
        <f t="shared" si="4"/>
        <v>2826.4657534246576</v>
      </c>
      <c r="Q11" s="972">
        <f t="shared" si="4"/>
        <v>1413.232876712329</v>
      </c>
      <c r="R11" s="972">
        <f t="shared" si="4"/>
        <v>469.17534246575349</v>
      </c>
      <c r="S11" s="972">
        <f t="shared" si="4"/>
        <v>519.94520547945206</v>
      </c>
      <c r="T11" s="972">
        <f t="shared" si="4"/>
        <v>0</v>
      </c>
      <c r="U11" s="972">
        <f t="shared" si="4"/>
        <v>0</v>
      </c>
      <c r="V11" s="972">
        <f t="shared" si="4"/>
        <v>0</v>
      </c>
      <c r="W11" s="972">
        <f t="shared" si="4"/>
        <v>245.63561643835615</v>
      </c>
      <c r="X11" s="972">
        <f t="shared" si="4"/>
        <v>12.202739726027398</v>
      </c>
      <c r="Y11" s="972">
        <f t="shared" si="4"/>
        <v>19.372602739726027</v>
      </c>
      <c r="Z11" s="972">
        <f t="shared" si="4"/>
        <v>146.90136986301368</v>
      </c>
    </row>
    <row r="12" spans="1:26">
      <c r="A12" s="2259"/>
      <c r="B12" s="973" t="s">
        <v>1426</v>
      </c>
      <c r="C12" s="974">
        <f>C54</f>
        <v>4915328.9999999991</v>
      </c>
      <c r="D12" s="974">
        <f t="shared" si="4"/>
        <v>13466.654794520546</v>
      </c>
      <c r="E12" s="974">
        <f t="shared" si="4"/>
        <v>13466.654794520546</v>
      </c>
      <c r="F12" s="975">
        <f t="shared" si="4"/>
        <v>2990.2082191780823</v>
      </c>
      <c r="G12" s="975">
        <f t="shared" si="4"/>
        <v>3283.0054794520547</v>
      </c>
      <c r="H12" s="975">
        <f t="shared" si="4"/>
        <v>350.16164383561642</v>
      </c>
      <c r="I12" s="975">
        <f t="shared" si="4"/>
        <v>312.37260273972601</v>
      </c>
      <c r="J12" s="975">
        <f t="shared" si="4"/>
        <v>411.32054794520548</v>
      </c>
      <c r="K12" s="975">
        <f t="shared" si="4"/>
        <v>2625.5424657534245</v>
      </c>
      <c r="L12" s="975">
        <f t="shared" si="4"/>
        <v>1148.4219178082192</v>
      </c>
      <c r="M12" s="975">
        <f t="shared" si="4"/>
        <v>669.1808219178082</v>
      </c>
      <c r="N12" s="975">
        <f t="shared" si="4"/>
        <v>1676.4410958904109</v>
      </c>
      <c r="O12" s="974">
        <f t="shared" si="4"/>
        <v>377894</v>
      </c>
      <c r="P12" s="974">
        <f t="shared" si="4"/>
        <v>1035.3260273972603</v>
      </c>
      <c r="Q12" s="974">
        <f t="shared" si="4"/>
        <v>517.66301369863015</v>
      </c>
      <c r="R12" s="975">
        <f t="shared" si="4"/>
        <v>127.99178082191781</v>
      </c>
      <c r="S12" s="975">
        <f t="shared" si="4"/>
        <v>177.0849315068493</v>
      </c>
      <c r="T12" s="975">
        <f t="shared" si="4"/>
        <v>0</v>
      </c>
      <c r="U12" s="975">
        <f t="shared" si="4"/>
        <v>0</v>
      </c>
      <c r="V12" s="975">
        <f t="shared" si="4"/>
        <v>0</v>
      </c>
      <c r="W12" s="975">
        <f t="shared" si="4"/>
        <v>148.94794520547944</v>
      </c>
      <c r="X12" s="975">
        <f t="shared" si="4"/>
        <v>3.2821917808219179</v>
      </c>
      <c r="Y12" s="975">
        <f t="shared" si="4"/>
        <v>12.331506849315069</v>
      </c>
      <c r="Z12" s="975">
        <f t="shared" si="4"/>
        <v>48.024657534246572</v>
      </c>
    </row>
    <row r="13" spans="1:26">
      <c r="A13" s="2260"/>
      <c r="B13" s="973" t="s">
        <v>1433</v>
      </c>
      <c r="C13" s="974">
        <f>SUM(C55:C64)</f>
        <v>1624808</v>
      </c>
      <c r="D13" s="974">
        <f t="shared" ref="D13:Z13" si="5">SUM(D55:D64)</f>
        <v>4451.5287671232873</v>
      </c>
      <c r="E13" s="974">
        <f t="shared" si="5"/>
        <v>4451.5287671232873</v>
      </c>
      <c r="F13" s="975">
        <f t="shared" si="5"/>
        <v>976.56438356164369</v>
      </c>
      <c r="G13" s="975">
        <f t="shared" si="5"/>
        <v>1065.8383561643836</v>
      </c>
      <c r="H13" s="975">
        <f t="shared" si="5"/>
        <v>58.457534246575335</v>
      </c>
      <c r="I13" s="975">
        <f t="shared" si="5"/>
        <v>141.77534246575343</v>
      </c>
      <c r="J13" s="975">
        <f t="shared" si="5"/>
        <v>56.852054794520555</v>
      </c>
      <c r="K13" s="975">
        <f t="shared" si="5"/>
        <v>664.11506849315072</v>
      </c>
      <c r="L13" s="975">
        <f t="shared" si="5"/>
        <v>267.97534246575344</v>
      </c>
      <c r="M13" s="975">
        <f t="shared" si="5"/>
        <v>641.09863013698634</v>
      </c>
      <c r="N13" s="975">
        <f t="shared" si="5"/>
        <v>578.85205479452054</v>
      </c>
      <c r="O13" s="974">
        <f t="shared" si="5"/>
        <v>653766</v>
      </c>
      <c r="P13" s="974">
        <f t="shared" si="5"/>
        <v>1791.1397260273975</v>
      </c>
      <c r="Q13" s="974">
        <f t="shared" si="5"/>
        <v>895.56986301369875</v>
      </c>
      <c r="R13" s="975">
        <f t="shared" si="5"/>
        <v>341.18356164383556</v>
      </c>
      <c r="S13" s="975">
        <f t="shared" si="5"/>
        <v>342.86027397260273</v>
      </c>
      <c r="T13" s="975">
        <f t="shared" si="5"/>
        <v>0</v>
      </c>
      <c r="U13" s="975">
        <f t="shared" si="5"/>
        <v>0</v>
      </c>
      <c r="V13" s="975">
        <f t="shared" si="5"/>
        <v>0</v>
      </c>
      <c r="W13" s="975">
        <f t="shared" si="5"/>
        <v>96.68767123287671</v>
      </c>
      <c r="X13" s="975">
        <f t="shared" si="5"/>
        <v>8.9205479452054792</v>
      </c>
      <c r="Y13" s="975">
        <f t="shared" si="5"/>
        <v>7.0410958904109586</v>
      </c>
      <c r="Z13" s="975">
        <f t="shared" si="5"/>
        <v>98.876712328767127</v>
      </c>
    </row>
    <row r="14" spans="1:26">
      <c r="A14" s="2258" t="s">
        <v>1434</v>
      </c>
      <c r="B14" s="968" t="s">
        <v>1435</v>
      </c>
      <c r="C14" s="969">
        <f>C65</f>
        <v>6860965.9999999991</v>
      </c>
      <c r="D14" s="969">
        <f t="shared" ref="D14:Z15" si="6">D65</f>
        <v>18797.167123287669</v>
      </c>
      <c r="E14" s="970">
        <f t="shared" si="6"/>
        <v>18797.167123287669</v>
      </c>
      <c r="F14" s="970">
        <f t="shared" si="6"/>
        <v>3912.3287671232874</v>
      </c>
      <c r="G14" s="970">
        <f t="shared" si="6"/>
        <v>4529.3589041095893</v>
      </c>
      <c r="H14" s="970">
        <f t="shared" si="6"/>
        <v>407.0904109589041</v>
      </c>
      <c r="I14" s="970">
        <f t="shared" si="6"/>
        <v>447.58082191780824</v>
      </c>
      <c r="J14" s="970">
        <f t="shared" si="6"/>
        <v>851.75616438356167</v>
      </c>
      <c r="K14" s="970">
        <f t="shared" si="6"/>
        <v>3503.6739726027399</v>
      </c>
      <c r="L14" s="970">
        <f t="shared" si="6"/>
        <v>1465.0136986301368</v>
      </c>
      <c r="M14" s="970">
        <f t="shared" si="6"/>
        <v>1309.5671232876712</v>
      </c>
      <c r="N14" s="970">
        <f t="shared" si="6"/>
        <v>2370.7972602739728</v>
      </c>
      <c r="O14" s="969">
        <f t="shared" si="6"/>
        <v>939510.00000000012</v>
      </c>
      <c r="P14" s="971">
        <f t="shared" si="6"/>
        <v>2574</v>
      </c>
      <c r="Q14" s="972">
        <f t="shared" si="6"/>
        <v>1287</v>
      </c>
      <c r="R14" s="972">
        <f t="shared" si="6"/>
        <v>403.14246575342463</v>
      </c>
      <c r="S14" s="972">
        <f t="shared" si="6"/>
        <v>509.24931506849316</v>
      </c>
      <c r="T14" s="972">
        <f t="shared" si="6"/>
        <v>0</v>
      </c>
      <c r="U14" s="972">
        <f t="shared" si="6"/>
        <v>0</v>
      </c>
      <c r="V14" s="972">
        <f t="shared" si="6"/>
        <v>0</v>
      </c>
      <c r="W14" s="972">
        <f t="shared" si="6"/>
        <v>186.08493150684933</v>
      </c>
      <c r="X14" s="972">
        <f t="shared" si="6"/>
        <v>11.753424657534246</v>
      </c>
      <c r="Y14" s="972">
        <f t="shared" si="6"/>
        <v>19.600000000000001</v>
      </c>
      <c r="Z14" s="972">
        <f t="shared" si="6"/>
        <v>157.16986301369863</v>
      </c>
    </row>
    <row r="15" spans="1:26">
      <c r="A15" s="2259"/>
      <c r="B15" s="973" t="s">
        <v>1426</v>
      </c>
      <c r="C15" s="974">
        <f>C66</f>
        <v>5145928.9999999991</v>
      </c>
      <c r="D15" s="974">
        <f t="shared" si="6"/>
        <v>14098.435616438353</v>
      </c>
      <c r="E15" s="974">
        <f t="shared" si="6"/>
        <v>14098.435616438353</v>
      </c>
      <c r="F15" s="975">
        <f t="shared" si="6"/>
        <v>3009.7068493150687</v>
      </c>
      <c r="G15" s="975">
        <f t="shared" si="6"/>
        <v>3340.608219178082</v>
      </c>
      <c r="H15" s="975">
        <f t="shared" si="6"/>
        <v>353.00273972602741</v>
      </c>
      <c r="I15" s="975">
        <f t="shared" si="6"/>
        <v>307.62739726027399</v>
      </c>
      <c r="J15" s="975">
        <f t="shared" si="6"/>
        <v>646.96712328767126</v>
      </c>
      <c r="K15" s="975">
        <f t="shared" si="6"/>
        <v>2813.4410958904109</v>
      </c>
      <c r="L15" s="975">
        <f t="shared" si="6"/>
        <v>1181.5698630136985</v>
      </c>
      <c r="M15" s="975">
        <f t="shared" si="6"/>
        <v>671.05205479452059</v>
      </c>
      <c r="N15" s="975">
        <f t="shared" si="6"/>
        <v>1774.4602739726026</v>
      </c>
      <c r="O15" s="974">
        <f t="shared" si="6"/>
        <v>329672.00000000006</v>
      </c>
      <c r="P15" s="974">
        <f t="shared" si="6"/>
        <v>903.2109589041097</v>
      </c>
      <c r="Q15" s="974">
        <f t="shared" si="6"/>
        <v>451.60547945205479</v>
      </c>
      <c r="R15" s="975">
        <f t="shared" si="6"/>
        <v>121.61095890410959</v>
      </c>
      <c r="S15" s="975">
        <f t="shared" si="6"/>
        <v>171.52054794520549</v>
      </c>
      <c r="T15" s="975">
        <f t="shared" si="6"/>
        <v>0</v>
      </c>
      <c r="U15" s="975">
        <f t="shared" si="6"/>
        <v>0</v>
      </c>
      <c r="V15" s="975">
        <f t="shared" si="6"/>
        <v>0</v>
      </c>
      <c r="W15" s="975">
        <f t="shared" si="6"/>
        <v>96.241095890410961</v>
      </c>
      <c r="X15" s="975">
        <f t="shared" si="6"/>
        <v>4.4301369863013695</v>
      </c>
      <c r="Y15" s="975">
        <f t="shared" si="6"/>
        <v>11.024657534246575</v>
      </c>
      <c r="Z15" s="975">
        <f t="shared" si="6"/>
        <v>46.778082191780825</v>
      </c>
    </row>
    <row r="16" spans="1:26">
      <c r="A16" s="2260"/>
      <c r="B16" s="973" t="s">
        <v>1427</v>
      </c>
      <c r="C16" s="974">
        <f>SUM(C67:C76)</f>
        <v>1715037</v>
      </c>
      <c r="D16" s="974">
        <f t="shared" ref="D16:Z16" si="7">SUM(D67:D76)</f>
        <v>4698.7315068493153</v>
      </c>
      <c r="E16" s="974">
        <f t="shared" si="7"/>
        <v>4698.7315068493153</v>
      </c>
      <c r="F16" s="975">
        <f t="shared" si="7"/>
        <v>902.62191780821922</v>
      </c>
      <c r="G16" s="975">
        <f t="shared" si="7"/>
        <v>1188.7506849315068</v>
      </c>
      <c r="H16" s="975">
        <f t="shared" si="7"/>
        <v>54.087671232876716</v>
      </c>
      <c r="I16" s="975">
        <f t="shared" si="7"/>
        <v>139.95342465753424</v>
      </c>
      <c r="J16" s="975">
        <f t="shared" si="7"/>
        <v>204.78904109589038</v>
      </c>
      <c r="K16" s="975">
        <f t="shared" si="7"/>
        <v>690.23287671232879</v>
      </c>
      <c r="L16" s="975">
        <f t="shared" si="7"/>
        <v>283.44383561643832</v>
      </c>
      <c r="M16" s="975">
        <f t="shared" si="7"/>
        <v>638.51506849315069</v>
      </c>
      <c r="N16" s="975">
        <f t="shared" si="7"/>
        <v>596.33698630136985</v>
      </c>
      <c r="O16" s="974">
        <f t="shared" si="7"/>
        <v>609838</v>
      </c>
      <c r="P16" s="974">
        <f t="shared" si="7"/>
        <v>1670.7890410958905</v>
      </c>
      <c r="Q16" s="974">
        <f t="shared" si="7"/>
        <v>835.39452054794515</v>
      </c>
      <c r="R16" s="975">
        <f t="shared" si="7"/>
        <v>281.53150684931506</v>
      </c>
      <c r="S16" s="975">
        <f t="shared" si="7"/>
        <v>337.72876712328764</v>
      </c>
      <c r="T16" s="975">
        <f t="shared" si="7"/>
        <v>0</v>
      </c>
      <c r="U16" s="975">
        <f t="shared" si="7"/>
        <v>0</v>
      </c>
      <c r="V16" s="975">
        <f t="shared" si="7"/>
        <v>0</v>
      </c>
      <c r="W16" s="975">
        <f t="shared" si="7"/>
        <v>89.843835616438355</v>
      </c>
      <c r="X16" s="975">
        <f t="shared" si="7"/>
        <v>7.3232876712328769</v>
      </c>
      <c r="Y16" s="975">
        <f t="shared" si="7"/>
        <v>8.5753424657534243</v>
      </c>
      <c r="Z16" s="975">
        <f t="shared" si="7"/>
        <v>110.39178082191782</v>
      </c>
    </row>
    <row r="17" spans="1:26">
      <c r="A17" s="2258" t="s">
        <v>940</v>
      </c>
      <c r="B17" s="968" t="s">
        <v>552</v>
      </c>
      <c r="C17" s="969">
        <f>C77</f>
        <v>7500261.9999999991</v>
      </c>
      <c r="D17" s="969">
        <f t="shared" ref="D17:Z18" si="8">D77</f>
        <v>20548.663013698631</v>
      </c>
      <c r="E17" s="970">
        <f t="shared" si="8"/>
        <v>20548.663013698631</v>
      </c>
      <c r="F17" s="970">
        <f t="shared" si="8"/>
        <v>4132.169863013698</v>
      </c>
      <c r="G17" s="970">
        <f t="shared" si="8"/>
        <v>4845.4958904109599</v>
      </c>
      <c r="H17" s="970">
        <f t="shared" si="8"/>
        <v>410.74794520547948</v>
      </c>
      <c r="I17" s="970">
        <f t="shared" si="8"/>
        <v>510.66027397260274</v>
      </c>
      <c r="J17" s="970">
        <f t="shared" si="8"/>
        <v>1701.0246575342464</v>
      </c>
      <c r="K17" s="970">
        <f t="shared" si="8"/>
        <v>3702.1506849315069</v>
      </c>
      <c r="L17" s="970">
        <f t="shared" si="8"/>
        <v>1603.8630136986303</v>
      </c>
      <c r="M17" s="970">
        <f t="shared" si="8"/>
        <v>1275.4630136986302</v>
      </c>
      <c r="N17" s="970">
        <f t="shared" si="8"/>
        <v>2367.0876712328763</v>
      </c>
      <c r="O17" s="969">
        <f t="shared" si="8"/>
        <v>893492</v>
      </c>
      <c r="P17" s="971">
        <f t="shared" si="8"/>
        <v>2447.9232876712331</v>
      </c>
      <c r="Q17" s="972">
        <f t="shared" si="8"/>
        <v>1223.9616438356165</v>
      </c>
      <c r="R17" s="972">
        <f t="shared" si="8"/>
        <v>370.41095890410963</v>
      </c>
      <c r="S17" s="972">
        <f t="shared" si="8"/>
        <v>512.26027397260282</v>
      </c>
      <c r="T17" s="972">
        <f t="shared" si="8"/>
        <v>0</v>
      </c>
      <c r="U17" s="972">
        <f t="shared" si="8"/>
        <v>0</v>
      </c>
      <c r="V17" s="972">
        <f t="shared" si="8"/>
        <v>0</v>
      </c>
      <c r="W17" s="972">
        <f t="shared" si="8"/>
        <v>128.13424657534247</v>
      </c>
      <c r="X17" s="972">
        <f t="shared" si="8"/>
        <v>10.517808219178082</v>
      </c>
      <c r="Y17" s="972">
        <f t="shared" si="8"/>
        <v>22.545205479452054</v>
      </c>
      <c r="Z17" s="972">
        <f t="shared" si="8"/>
        <v>180.09315068493152</v>
      </c>
    </row>
    <row r="18" spans="1:26">
      <c r="A18" s="2259"/>
      <c r="B18" s="973" t="s">
        <v>1436</v>
      </c>
      <c r="C18" s="974">
        <f>C78</f>
        <v>5581631.9999999991</v>
      </c>
      <c r="D18" s="974">
        <f t="shared" si="8"/>
        <v>15292.142465753423</v>
      </c>
      <c r="E18" s="974">
        <f t="shared" si="8"/>
        <v>15292.142465753423</v>
      </c>
      <c r="F18" s="975">
        <f t="shared" si="8"/>
        <v>3151.1917808219177</v>
      </c>
      <c r="G18" s="975">
        <f t="shared" si="8"/>
        <v>3572.2246575342465</v>
      </c>
      <c r="H18" s="975">
        <f t="shared" si="8"/>
        <v>353.0219178082192</v>
      </c>
      <c r="I18" s="975">
        <f t="shared" si="8"/>
        <v>357.42465753424659</v>
      </c>
      <c r="J18" s="975">
        <f t="shared" si="8"/>
        <v>1308.9205479452055</v>
      </c>
      <c r="K18" s="975">
        <f t="shared" si="8"/>
        <v>2915.3068493150686</v>
      </c>
      <c r="L18" s="975">
        <f t="shared" si="8"/>
        <v>1206.8657534246574</v>
      </c>
      <c r="M18" s="975">
        <f t="shared" si="8"/>
        <v>689.66849315068498</v>
      </c>
      <c r="N18" s="975">
        <f t="shared" si="8"/>
        <v>1737.5178082191781</v>
      </c>
      <c r="O18" s="974">
        <f t="shared" si="8"/>
        <v>262828</v>
      </c>
      <c r="P18" s="974">
        <f t="shared" si="8"/>
        <v>720.07671232876714</v>
      </c>
      <c r="Q18" s="974">
        <f t="shared" si="8"/>
        <v>360.03835616438357</v>
      </c>
      <c r="R18" s="975">
        <f t="shared" si="8"/>
        <v>112.61643835616438</v>
      </c>
      <c r="S18" s="975">
        <f t="shared" si="8"/>
        <v>161.56986301369864</v>
      </c>
      <c r="T18" s="975">
        <f t="shared" si="8"/>
        <v>0</v>
      </c>
      <c r="U18" s="975">
        <f t="shared" si="8"/>
        <v>0</v>
      </c>
      <c r="V18" s="975">
        <f t="shared" si="8"/>
        <v>0</v>
      </c>
      <c r="W18" s="975">
        <f t="shared" si="8"/>
        <v>26.32054794520548</v>
      </c>
      <c r="X18" s="975">
        <f t="shared" si="8"/>
        <v>4.1753424657534248</v>
      </c>
      <c r="Y18" s="975">
        <f t="shared" si="8"/>
        <v>11.358904109589041</v>
      </c>
      <c r="Z18" s="975">
        <f t="shared" si="8"/>
        <v>43.9972602739726</v>
      </c>
    </row>
    <row r="19" spans="1:26">
      <c r="A19" s="2260"/>
      <c r="B19" s="973" t="s">
        <v>1427</v>
      </c>
      <c r="C19" s="974">
        <f>SUM(C79:C88)</f>
        <v>1918630.0000000002</v>
      </c>
      <c r="D19" s="974">
        <f t="shared" ref="D19:Z19" si="9">SUM(D79:D88)</f>
        <v>5256.5205479452061</v>
      </c>
      <c r="E19" s="974">
        <f t="shared" si="9"/>
        <v>5256.5205479452061</v>
      </c>
      <c r="F19" s="975">
        <f t="shared" si="9"/>
        <v>980.97808219178091</v>
      </c>
      <c r="G19" s="975">
        <f t="shared" si="9"/>
        <v>1273.2712328767125</v>
      </c>
      <c r="H19" s="975">
        <f t="shared" si="9"/>
        <v>57.726027397260275</v>
      </c>
      <c r="I19" s="975">
        <f t="shared" si="9"/>
        <v>153.23561643835615</v>
      </c>
      <c r="J19" s="975">
        <f t="shared" si="9"/>
        <v>392.10410958904106</v>
      </c>
      <c r="K19" s="975">
        <f t="shared" si="9"/>
        <v>786.84383561643835</v>
      </c>
      <c r="L19" s="975">
        <f t="shared" si="9"/>
        <v>396.99726027397259</v>
      </c>
      <c r="M19" s="975">
        <f t="shared" si="9"/>
        <v>585.79452054794524</v>
      </c>
      <c r="N19" s="975">
        <f t="shared" si="9"/>
        <v>629.56986301369864</v>
      </c>
      <c r="O19" s="974">
        <f t="shared" si="9"/>
        <v>630664</v>
      </c>
      <c r="P19" s="974">
        <f t="shared" si="9"/>
        <v>1727.8465753424657</v>
      </c>
      <c r="Q19" s="974">
        <f t="shared" si="9"/>
        <v>863.92328767123286</v>
      </c>
      <c r="R19" s="975">
        <f t="shared" si="9"/>
        <v>257.79452054794518</v>
      </c>
      <c r="S19" s="975">
        <f t="shared" si="9"/>
        <v>350.69041095890412</v>
      </c>
      <c r="T19" s="975">
        <f t="shared" si="9"/>
        <v>0</v>
      </c>
      <c r="U19" s="975">
        <f t="shared" si="9"/>
        <v>0</v>
      </c>
      <c r="V19" s="975">
        <f t="shared" si="9"/>
        <v>0</v>
      </c>
      <c r="W19" s="975">
        <f t="shared" si="9"/>
        <v>101.813698630137</v>
      </c>
      <c r="X19" s="975">
        <f t="shared" si="9"/>
        <v>6.3424657534246576</v>
      </c>
      <c r="Y19" s="975">
        <f t="shared" si="9"/>
        <v>11.186301369863013</v>
      </c>
      <c r="Z19" s="975">
        <f t="shared" si="9"/>
        <v>136.0958904109589</v>
      </c>
    </row>
    <row r="20" spans="1:26">
      <c r="A20" s="2258" t="s">
        <v>1437</v>
      </c>
      <c r="B20" s="968" t="s">
        <v>552</v>
      </c>
      <c r="C20" s="969">
        <f>C89</f>
        <v>8285621</v>
      </c>
      <c r="D20" s="969">
        <f t="shared" ref="D20:Z21" si="10">D89</f>
        <v>22700.331506849318</v>
      </c>
      <c r="E20" s="970">
        <f t="shared" si="10"/>
        <v>22700.331506849318</v>
      </c>
      <c r="F20" s="970">
        <f t="shared" si="10"/>
        <v>4272.0410958904104</v>
      </c>
      <c r="G20" s="970">
        <f t="shared" si="10"/>
        <v>5182.0191780821924</v>
      </c>
      <c r="H20" s="970">
        <f t="shared" si="10"/>
        <v>508.58904109589037</v>
      </c>
      <c r="I20" s="970">
        <f t="shared" si="10"/>
        <v>639.70684931506855</v>
      </c>
      <c r="J20" s="970">
        <f t="shared" si="10"/>
        <v>2562.2356164383564</v>
      </c>
      <c r="K20" s="970">
        <f t="shared" si="10"/>
        <v>3982.2109589041092</v>
      </c>
      <c r="L20" s="970">
        <f t="shared" si="10"/>
        <v>1700.7589041095889</v>
      </c>
      <c r="M20" s="970">
        <f t="shared" si="10"/>
        <v>1345.4547945205479</v>
      </c>
      <c r="N20" s="970">
        <f t="shared" si="10"/>
        <v>2507.3150684931506</v>
      </c>
      <c r="O20" s="969">
        <f t="shared" si="10"/>
        <v>821732</v>
      </c>
      <c r="P20" s="971">
        <f t="shared" si="10"/>
        <v>2251.3205479452058</v>
      </c>
      <c r="Q20" s="972">
        <f t="shared" si="10"/>
        <v>1125.6602739726027</v>
      </c>
      <c r="R20" s="972">
        <f t="shared" si="10"/>
        <v>378.18904109589045</v>
      </c>
      <c r="S20" s="972">
        <f t="shared" si="10"/>
        <v>461.55068493150679</v>
      </c>
      <c r="T20" s="972">
        <f t="shared" si="10"/>
        <v>0</v>
      </c>
      <c r="U20" s="972">
        <f t="shared" si="10"/>
        <v>0</v>
      </c>
      <c r="V20" s="972">
        <f t="shared" si="10"/>
        <v>0</v>
      </c>
      <c r="W20" s="972">
        <f t="shared" si="10"/>
        <v>119.43561643835615</v>
      </c>
      <c r="X20" s="972">
        <f t="shared" si="10"/>
        <v>12.739726027397261</v>
      </c>
      <c r="Y20" s="972">
        <f t="shared" si="10"/>
        <v>21.654794520547945</v>
      </c>
      <c r="Z20" s="972">
        <f t="shared" si="10"/>
        <v>132.0904109589041</v>
      </c>
    </row>
    <row r="21" spans="1:26">
      <c r="A21" s="2259"/>
      <c r="B21" s="973" t="s">
        <v>1426</v>
      </c>
      <c r="C21" s="974">
        <f>C90</f>
        <v>5997313</v>
      </c>
      <c r="D21" s="974">
        <f t="shared" si="10"/>
        <v>16430.994520547945</v>
      </c>
      <c r="E21" s="974">
        <f t="shared" si="10"/>
        <v>16430.994520547945</v>
      </c>
      <c r="F21" s="975">
        <f t="shared" si="10"/>
        <v>3243.5452054794519</v>
      </c>
      <c r="G21" s="975">
        <f t="shared" si="10"/>
        <v>3712.9452054794519</v>
      </c>
      <c r="H21" s="975">
        <f t="shared" si="10"/>
        <v>386.98630136986299</v>
      </c>
      <c r="I21" s="975">
        <f t="shared" si="10"/>
        <v>408.2246575342466</v>
      </c>
      <c r="J21" s="975">
        <f t="shared" si="10"/>
        <v>1843.868493150685</v>
      </c>
      <c r="K21" s="975">
        <f t="shared" si="10"/>
        <v>3068.9616438356165</v>
      </c>
      <c r="L21" s="975">
        <f t="shared" si="10"/>
        <v>1259.7863013698629</v>
      </c>
      <c r="M21" s="975">
        <f t="shared" si="10"/>
        <v>724.42191780821918</v>
      </c>
      <c r="N21" s="975">
        <f t="shared" si="10"/>
        <v>1782.2547945205479</v>
      </c>
      <c r="O21" s="974">
        <f t="shared" si="10"/>
        <v>259108.00000000003</v>
      </c>
      <c r="P21" s="974">
        <f t="shared" si="10"/>
        <v>709.8849315068494</v>
      </c>
      <c r="Q21" s="974">
        <f t="shared" si="10"/>
        <v>354.94246575342464</v>
      </c>
      <c r="R21" s="975">
        <f t="shared" si="10"/>
        <v>107.84109589041095</v>
      </c>
      <c r="S21" s="975">
        <f t="shared" si="10"/>
        <v>162.36712328767123</v>
      </c>
      <c r="T21" s="975">
        <f t="shared" si="10"/>
        <v>0</v>
      </c>
      <c r="U21" s="975">
        <f t="shared" si="10"/>
        <v>0</v>
      </c>
      <c r="V21" s="975">
        <f t="shared" si="10"/>
        <v>0</v>
      </c>
      <c r="W21" s="975">
        <f t="shared" si="10"/>
        <v>28.715068493150685</v>
      </c>
      <c r="X21" s="975">
        <f t="shared" si="10"/>
        <v>2.2547945205479452</v>
      </c>
      <c r="Y21" s="975">
        <f t="shared" si="10"/>
        <v>11.56986301369863</v>
      </c>
      <c r="Z21" s="975">
        <f t="shared" si="10"/>
        <v>42.194520547945203</v>
      </c>
    </row>
    <row r="22" spans="1:26">
      <c r="A22" s="2260"/>
      <c r="B22" s="973" t="s">
        <v>1427</v>
      </c>
      <c r="C22" s="974">
        <f>SUM(C91:C100)</f>
        <v>2288308</v>
      </c>
      <c r="D22" s="974">
        <f t="shared" ref="D22:Z22" si="11">SUM(D91:D100)</f>
        <v>6269.3369863013704</v>
      </c>
      <c r="E22" s="974">
        <f t="shared" si="11"/>
        <v>6269.3369863013704</v>
      </c>
      <c r="F22" s="975">
        <f t="shared" si="11"/>
        <v>1028.495890410959</v>
      </c>
      <c r="G22" s="975">
        <f t="shared" si="11"/>
        <v>1469.0739726027398</v>
      </c>
      <c r="H22" s="975">
        <f t="shared" si="11"/>
        <v>121.60273972602739</v>
      </c>
      <c r="I22" s="975">
        <f t="shared" si="11"/>
        <v>231.48219178082195</v>
      </c>
      <c r="J22" s="975">
        <f t="shared" si="11"/>
        <v>718.36712328767112</v>
      </c>
      <c r="K22" s="975">
        <f t="shared" si="11"/>
        <v>913.24931506849316</v>
      </c>
      <c r="L22" s="975">
        <f t="shared" si="11"/>
        <v>440.97260273972603</v>
      </c>
      <c r="M22" s="975">
        <f t="shared" si="11"/>
        <v>621.03287671232874</v>
      </c>
      <c r="N22" s="975">
        <f t="shared" si="11"/>
        <v>725.06027397260277</v>
      </c>
      <c r="O22" s="974">
        <f t="shared" si="11"/>
        <v>562624</v>
      </c>
      <c r="P22" s="974">
        <f t="shared" si="11"/>
        <v>1541.4356164383562</v>
      </c>
      <c r="Q22" s="974">
        <f t="shared" si="11"/>
        <v>770.7178082191781</v>
      </c>
      <c r="R22" s="975">
        <f t="shared" si="11"/>
        <v>270.34794520547945</v>
      </c>
      <c r="S22" s="975">
        <f t="shared" si="11"/>
        <v>299.18356164383562</v>
      </c>
      <c r="T22" s="975">
        <f t="shared" si="11"/>
        <v>0</v>
      </c>
      <c r="U22" s="975">
        <f t="shared" si="11"/>
        <v>0</v>
      </c>
      <c r="V22" s="975">
        <f t="shared" si="11"/>
        <v>0</v>
      </c>
      <c r="W22" s="975">
        <f t="shared" si="11"/>
        <v>90.720547945205467</v>
      </c>
      <c r="X22" s="975">
        <f t="shared" si="11"/>
        <v>10.484931506849314</v>
      </c>
      <c r="Y22" s="975">
        <f t="shared" si="11"/>
        <v>10.084931506849315</v>
      </c>
      <c r="Z22" s="975">
        <f t="shared" si="11"/>
        <v>89.895890410958913</v>
      </c>
    </row>
    <row r="25" spans="1:26" ht="20.25">
      <c r="A25" s="965" t="s">
        <v>1408</v>
      </c>
      <c r="B25" s="966"/>
      <c r="C25" s="966"/>
      <c r="D25" s="966"/>
      <c r="E25" s="966"/>
      <c r="F25" s="966"/>
      <c r="G25" s="966"/>
      <c r="H25" s="966"/>
      <c r="I25" s="966"/>
      <c r="J25" s="966"/>
      <c r="K25" s="966"/>
      <c r="L25" s="966"/>
      <c r="M25" s="966"/>
      <c r="N25" s="966"/>
      <c r="O25" s="966"/>
      <c r="P25" s="966"/>
      <c r="Q25" s="966"/>
      <c r="R25" s="966"/>
      <c r="S25" s="966"/>
      <c r="T25" s="966"/>
      <c r="U25" s="966"/>
      <c r="V25" s="966"/>
      <c r="W25" s="966"/>
      <c r="X25" s="966"/>
      <c r="Y25" s="966"/>
      <c r="Z25" s="966"/>
    </row>
    <row r="26" spans="1:26">
      <c r="A26" s="2253" t="s">
        <v>1409</v>
      </c>
      <c r="B26" s="2253"/>
      <c r="C26" s="2254" t="s">
        <v>1410</v>
      </c>
      <c r="D26" s="2255"/>
      <c r="E26" s="2255"/>
      <c r="F26" s="2255"/>
      <c r="G26" s="2255"/>
      <c r="H26" s="2255"/>
      <c r="I26" s="2255"/>
      <c r="J26" s="2255"/>
      <c r="K26" s="2255"/>
      <c r="L26" s="2255"/>
      <c r="M26" s="2255"/>
      <c r="N26" s="2256"/>
      <c r="O26" s="2254" t="s">
        <v>1411</v>
      </c>
      <c r="P26" s="2255"/>
      <c r="Q26" s="2255"/>
      <c r="R26" s="2255"/>
      <c r="S26" s="2255"/>
      <c r="T26" s="2255"/>
      <c r="U26" s="2255"/>
      <c r="V26" s="2255"/>
      <c r="W26" s="2255"/>
      <c r="X26" s="2255"/>
      <c r="Y26" s="2255"/>
      <c r="Z26" s="2256"/>
    </row>
    <row r="27" spans="1:26" ht="16.5" customHeight="1">
      <c r="A27" s="2253"/>
      <c r="B27" s="2253"/>
      <c r="C27" s="2257" t="s">
        <v>1412</v>
      </c>
      <c r="D27" s="2257" t="s">
        <v>1413</v>
      </c>
      <c r="E27" s="967" t="s">
        <v>1414</v>
      </c>
      <c r="F27" s="967" t="s">
        <v>1415</v>
      </c>
      <c r="G27" s="967" t="s">
        <v>1416</v>
      </c>
      <c r="H27" s="967" t="s">
        <v>1417</v>
      </c>
      <c r="I27" s="967" t="s">
        <v>1418</v>
      </c>
      <c r="J27" s="967" t="s">
        <v>1419</v>
      </c>
      <c r="K27" s="967" t="s">
        <v>1420</v>
      </c>
      <c r="L27" s="967" t="s">
        <v>1421</v>
      </c>
      <c r="M27" s="967" t="s">
        <v>1422</v>
      </c>
      <c r="N27" s="967" t="s">
        <v>1423</v>
      </c>
      <c r="O27" s="2257" t="s">
        <v>1412</v>
      </c>
      <c r="P27" s="2257" t="s">
        <v>1424</v>
      </c>
      <c r="Q27" s="967" t="s">
        <v>1414</v>
      </c>
      <c r="R27" s="967" t="s">
        <v>1415</v>
      </c>
      <c r="S27" s="967" t="s">
        <v>1416</v>
      </c>
      <c r="T27" s="967" t="s">
        <v>1417</v>
      </c>
      <c r="U27" s="967" t="s">
        <v>1418</v>
      </c>
      <c r="V27" s="967" t="s">
        <v>1419</v>
      </c>
      <c r="W27" s="967" t="s">
        <v>1420</v>
      </c>
      <c r="X27" s="967" t="s">
        <v>1421</v>
      </c>
      <c r="Y27" s="967" t="s">
        <v>1422</v>
      </c>
      <c r="Z27" s="967" t="s">
        <v>1423</v>
      </c>
    </row>
    <row r="28" spans="1:26">
      <c r="A28" s="2253"/>
      <c r="B28" s="2253"/>
      <c r="C28" s="2257"/>
      <c r="D28" s="2253"/>
      <c r="E28" s="967"/>
      <c r="F28" s="967"/>
      <c r="G28" s="967"/>
      <c r="H28" s="967"/>
      <c r="I28" s="967"/>
      <c r="J28" s="967"/>
      <c r="K28" s="967"/>
      <c r="L28" s="967"/>
      <c r="M28" s="967"/>
      <c r="N28" s="967"/>
      <c r="O28" s="2257"/>
      <c r="P28" s="2253"/>
      <c r="Q28" s="967"/>
      <c r="R28" s="967"/>
      <c r="S28" s="967"/>
      <c r="T28" s="967"/>
      <c r="U28" s="967"/>
      <c r="V28" s="967"/>
      <c r="W28" s="967"/>
      <c r="X28" s="967"/>
      <c r="Y28" s="967"/>
      <c r="Z28" s="967"/>
    </row>
    <row r="29" spans="1:26">
      <c r="A29" s="2252" t="s">
        <v>1425</v>
      </c>
      <c r="B29" s="968" t="s">
        <v>552</v>
      </c>
      <c r="C29" s="969">
        <f t="shared" ref="C29:Z29" si="12">SUM(C30:C40)</f>
        <v>5676809.9999999991</v>
      </c>
      <c r="D29" s="969">
        <f t="shared" si="12"/>
        <v>15552.904109589039</v>
      </c>
      <c r="E29" s="970">
        <f t="shared" si="12"/>
        <v>15552.904109589039</v>
      </c>
      <c r="F29" s="970">
        <f t="shared" si="12"/>
        <v>3662.0328767123297</v>
      </c>
      <c r="G29" s="970">
        <f t="shared" si="12"/>
        <v>3847.8054794520549</v>
      </c>
      <c r="H29" s="970">
        <f t="shared" si="12"/>
        <v>404.28493150684932</v>
      </c>
      <c r="I29" s="970">
        <f t="shared" si="12"/>
        <v>389.13972602739727</v>
      </c>
      <c r="J29" s="970">
        <f t="shared" si="12"/>
        <v>354.98082191780821</v>
      </c>
      <c r="K29" s="970">
        <f t="shared" si="12"/>
        <v>2804.0821917808221</v>
      </c>
      <c r="L29" s="970">
        <f t="shared" si="12"/>
        <v>723.26575342465753</v>
      </c>
      <c r="M29" s="970">
        <f t="shared" si="12"/>
        <v>1184.3780821917808</v>
      </c>
      <c r="N29" s="970">
        <f t="shared" si="12"/>
        <v>2182.9342465753425</v>
      </c>
      <c r="O29" s="969">
        <f t="shared" si="12"/>
        <v>1011192</v>
      </c>
      <c r="P29" s="971">
        <f t="shared" si="12"/>
        <v>2770.3890410958902</v>
      </c>
      <c r="Q29" s="972">
        <f t="shared" si="12"/>
        <v>1385.1945205479451</v>
      </c>
      <c r="R29" s="972">
        <f t="shared" si="12"/>
        <v>420.33698630136985</v>
      </c>
      <c r="S29" s="972">
        <f t="shared" si="12"/>
        <v>588.15616438356165</v>
      </c>
      <c r="T29" s="972">
        <f t="shared" si="12"/>
        <v>0</v>
      </c>
      <c r="U29" s="972">
        <f t="shared" si="12"/>
        <v>0</v>
      </c>
      <c r="V29" s="972">
        <f t="shared" si="12"/>
        <v>0</v>
      </c>
      <c r="W29" s="972">
        <f t="shared" si="12"/>
        <v>90.717808219178082</v>
      </c>
      <c r="X29" s="972">
        <f t="shared" si="12"/>
        <v>104.81369863013698</v>
      </c>
      <c r="Y29" s="972">
        <f t="shared" si="12"/>
        <v>19.512328767123286</v>
      </c>
      <c r="Z29" s="972">
        <f t="shared" si="12"/>
        <v>161.65753424657532</v>
      </c>
    </row>
    <row r="30" spans="1:26">
      <c r="A30" s="2252"/>
      <c r="B30" s="973" t="s">
        <v>1426</v>
      </c>
      <c r="C30" s="974">
        <f t="shared" ref="C30:C40" si="13">+D30*365</f>
        <v>4015251.9999999995</v>
      </c>
      <c r="D30" s="974">
        <f>+E30</f>
        <v>11000.690410958903</v>
      </c>
      <c r="E30" s="974">
        <f>SUM(F30:N30)</f>
        <v>11000.690410958903</v>
      </c>
      <c r="F30" s="975">
        <f>집계표!F6/365</f>
        <v>2592.4301369863015</v>
      </c>
      <c r="G30" s="975">
        <f>집계표!G6/365</f>
        <v>2889.4383561643835</v>
      </c>
      <c r="H30" s="975">
        <f>집계표!H6/365</f>
        <v>344.20547945205482</v>
      </c>
      <c r="I30" s="975">
        <f>집계표!I6/365</f>
        <v>255.93424657534246</v>
      </c>
      <c r="J30" s="975">
        <f>집계표!J6/365</f>
        <v>312.33424657534249</v>
      </c>
      <c r="K30" s="975">
        <f>집계표!K6/365</f>
        <v>2119.9589041095892</v>
      </c>
      <c r="L30" s="975">
        <f>집계표!L6/365</f>
        <v>395.75068493150684</v>
      </c>
      <c r="M30" s="975">
        <f>집계표!M6/365</f>
        <v>496.00273972602741</v>
      </c>
      <c r="N30" s="975">
        <f>집계표!N6/365</f>
        <v>1594.6356164383562</v>
      </c>
      <c r="O30" s="974">
        <f t="shared" ref="O30:O40" si="14">+P30*365</f>
        <v>391868</v>
      </c>
      <c r="P30" s="974">
        <f>SUM(Q30:Z30)</f>
        <v>1073.6109589041096</v>
      </c>
      <c r="Q30" s="974">
        <f>SUM(R30:Z30)</f>
        <v>536.80547945205478</v>
      </c>
      <c r="R30" s="975">
        <f>집계표!R6/365</f>
        <v>103.07671232876713</v>
      </c>
      <c r="S30" s="975">
        <f>집계표!S6/365</f>
        <v>244.09315068493152</v>
      </c>
      <c r="T30" s="975">
        <f>집계표!T6/365</f>
        <v>0</v>
      </c>
      <c r="U30" s="975">
        <f>집계표!U6/365</f>
        <v>0</v>
      </c>
      <c r="V30" s="975">
        <f>집계표!V6/365</f>
        <v>0</v>
      </c>
      <c r="W30" s="975">
        <f>집계표!W6/365</f>
        <v>25.202739726027396</v>
      </c>
      <c r="X30" s="975">
        <f>집계표!X6/365</f>
        <v>92.939726027397256</v>
      </c>
      <c r="Y30" s="975">
        <f>집계표!Y6/365</f>
        <v>11.238356164383562</v>
      </c>
      <c r="Z30" s="975">
        <f>집계표!Z6/365</f>
        <v>60.254794520547946</v>
      </c>
    </row>
    <row r="31" spans="1:26">
      <c r="A31" s="2252"/>
      <c r="B31" s="973" t="s">
        <v>1438</v>
      </c>
      <c r="C31" s="974">
        <f t="shared" si="13"/>
        <v>338</v>
      </c>
      <c r="D31" s="974">
        <f t="shared" ref="D31:D40" si="15">+E31</f>
        <v>0.92602739726027394</v>
      </c>
      <c r="E31" s="974">
        <f>SUM(F31:N31)</f>
        <v>0.92602739726027394</v>
      </c>
      <c r="F31" s="975">
        <f>집계표!F7/365</f>
        <v>0</v>
      </c>
      <c r="G31" s="975">
        <f>집계표!G7/365</f>
        <v>0</v>
      </c>
      <c r="H31" s="975">
        <f>집계표!H7/365</f>
        <v>0</v>
      </c>
      <c r="I31" s="975">
        <f>집계표!I7/365</f>
        <v>0</v>
      </c>
      <c r="J31" s="975">
        <f>집계표!J7/365</f>
        <v>0</v>
      </c>
      <c r="K31" s="975">
        <f>집계표!K7/365</f>
        <v>0.92602739726027394</v>
      </c>
      <c r="L31" s="975">
        <f>집계표!L7/365</f>
        <v>0</v>
      </c>
      <c r="M31" s="975">
        <f>집계표!M7/365</f>
        <v>0</v>
      </c>
      <c r="N31" s="975">
        <f>집계표!N7/365</f>
        <v>0</v>
      </c>
      <c r="O31" s="974">
        <f t="shared" si="14"/>
        <v>0</v>
      </c>
      <c r="P31" s="974">
        <f t="shared" ref="P31:P40" si="16">SUM(Q31:Z31)</f>
        <v>0</v>
      </c>
      <c r="Q31" s="974">
        <f t="shared" ref="Q31:Q40" si="17">SUM(R31:Z31)</f>
        <v>0</v>
      </c>
      <c r="R31" s="975">
        <f>집계표!R7/365</f>
        <v>0</v>
      </c>
      <c r="S31" s="975">
        <f>집계표!S7/365</f>
        <v>0</v>
      </c>
      <c r="T31" s="975">
        <f>집계표!T7/365</f>
        <v>0</v>
      </c>
      <c r="U31" s="975">
        <f>집계표!U7/365</f>
        <v>0</v>
      </c>
      <c r="V31" s="975">
        <f>집계표!V7/365</f>
        <v>0</v>
      </c>
      <c r="W31" s="975">
        <f>집계표!W7/365</f>
        <v>0</v>
      </c>
      <c r="X31" s="975">
        <f>집계표!X7/365</f>
        <v>0</v>
      </c>
      <c r="Y31" s="975">
        <f>집계표!Y7/365</f>
        <v>0</v>
      </c>
      <c r="Z31" s="975">
        <f>집계표!Z7/365</f>
        <v>0</v>
      </c>
    </row>
    <row r="32" spans="1:26" s="976" customFormat="1">
      <c r="A32" s="2252"/>
      <c r="B32" s="973" t="s">
        <v>1439</v>
      </c>
      <c r="C32" s="974">
        <f t="shared" si="13"/>
        <v>38313</v>
      </c>
      <c r="D32" s="974">
        <f t="shared" si="15"/>
        <v>104.96712328767123</v>
      </c>
      <c r="E32" s="974">
        <f>SUM(F32:N32)</f>
        <v>104.96712328767123</v>
      </c>
      <c r="F32" s="975">
        <f>집계표!F8/365</f>
        <v>102.45479452054795</v>
      </c>
      <c r="G32" s="975">
        <f>집계표!G8/365</f>
        <v>1.010958904109589</v>
      </c>
      <c r="H32" s="975">
        <f>집계표!H8/365</f>
        <v>0</v>
      </c>
      <c r="I32" s="975">
        <f>집계표!I8/365</f>
        <v>0</v>
      </c>
      <c r="J32" s="975">
        <f>집계표!J8/365</f>
        <v>0</v>
      </c>
      <c r="K32" s="975">
        <f>집계표!K8/365</f>
        <v>1.5013698630136987</v>
      </c>
      <c r="L32" s="975">
        <f>집계표!L8/365</f>
        <v>0</v>
      </c>
      <c r="M32" s="975">
        <f>집계표!M8/365</f>
        <v>0</v>
      </c>
      <c r="N32" s="975">
        <f>집계표!N8/365</f>
        <v>0</v>
      </c>
      <c r="O32" s="974">
        <f t="shared" si="14"/>
        <v>0</v>
      </c>
      <c r="P32" s="974">
        <f t="shared" si="16"/>
        <v>0</v>
      </c>
      <c r="Q32" s="974">
        <f t="shared" si="17"/>
        <v>0</v>
      </c>
      <c r="R32" s="975">
        <f>집계표!R8/365</f>
        <v>0</v>
      </c>
      <c r="S32" s="975">
        <f>집계표!S8/365</f>
        <v>0</v>
      </c>
      <c r="T32" s="975">
        <f>집계표!T8/365</f>
        <v>0</v>
      </c>
      <c r="U32" s="975">
        <f>집계표!U8/365</f>
        <v>0</v>
      </c>
      <c r="V32" s="975">
        <f>집계표!V8/365</f>
        <v>0</v>
      </c>
      <c r="W32" s="975">
        <f>집계표!W8/365</f>
        <v>0</v>
      </c>
      <c r="X32" s="975">
        <f>집계표!X8/365</f>
        <v>0</v>
      </c>
      <c r="Y32" s="975">
        <f>집계표!Y8/365</f>
        <v>0</v>
      </c>
      <c r="Z32" s="975">
        <f>집계표!Z8/365</f>
        <v>0</v>
      </c>
    </row>
    <row r="33" spans="1:26">
      <c r="A33" s="2252"/>
      <c r="B33" s="973" t="s">
        <v>1440</v>
      </c>
      <c r="C33" s="974">
        <f t="shared" si="13"/>
        <v>25210.999999999996</v>
      </c>
      <c r="D33" s="974">
        <f t="shared" si="15"/>
        <v>69.071232876712315</v>
      </c>
      <c r="E33" s="974">
        <f t="shared" ref="E33:E40" si="18">SUM(F33:N33)</f>
        <v>69.071232876712315</v>
      </c>
      <c r="F33" s="975">
        <f>집계표!F9/365</f>
        <v>19.306849315068494</v>
      </c>
      <c r="G33" s="975">
        <f>집계표!G9/365</f>
        <v>16.989041095890411</v>
      </c>
      <c r="H33" s="975">
        <f>집계표!H9/365</f>
        <v>0</v>
      </c>
      <c r="I33" s="975">
        <f>집계표!I9/365</f>
        <v>1.715068493150685</v>
      </c>
      <c r="J33" s="975">
        <f>집계표!J9/365</f>
        <v>0</v>
      </c>
      <c r="K33" s="975">
        <f>집계표!K9/365</f>
        <v>13.238356164383562</v>
      </c>
      <c r="L33" s="975">
        <f>집계표!L9/365</f>
        <v>3.6164383561643834</v>
      </c>
      <c r="M33" s="975">
        <f>집계표!M9/365</f>
        <v>5.4767123287671229</v>
      </c>
      <c r="N33" s="975">
        <f>집계표!N9/365</f>
        <v>8.7287671232876711</v>
      </c>
      <c r="O33" s="974">
        <f t="shared" si="14"/>
        <v>0</v>
      </c>
      <c r="P33" s="974">
        <f t="shared" si="16"/>
        <v>0</v>
      </c>
      <c r="Q33" s="974">
        <f t="shared" si="17"/>
        <v>0</v>
      </c>
      <c r="R33" s="975">
        <f>집계표!R9/365</f>
        <v>0</v>
      </c>
      <c r="S33" s="975">
        <f>집계표!S9/365</f>
        <v>0</v>
      </c>
      <c r="T33" s="975">
        <f>집계표!T9/365</f>
        <v>0</v>
      </c>
      <c r="U33" s="975">
        <f>집계표!U9/365</f>
        <v>0</v>
      </c>
      <c r="V33" s="975">
        <f>집계표!V9/365</f>
        <v>0</v>
      </c>
      <c r="W33" s="975">
        <f>집계표!W9/365</f>
        <v>0</v>
      </c>
      <c r="X33" s="975">
        <f>집계표!X9/365</f>
        <v>0</v>
      </c>
      <c r="Y33" s="975">
        <f>집계표!Y9/365</f>
        <v>0</v>
      </c>
      <c r="Z33" s="975">
        <f>집계표!Z9/365</f>
        <v>0</v>
      </c>
    </row>
    <row r="34" spans="1:26">
      <c r="A34" s="2252"/>
      <c r="B34" s="973" t="s">
        <v>1441</v>
      </c>
      <c r="C34" s="974">
        <f t="shared" si="13"/>
        <v>65</v>
      </c>
      <c r="D34" s="974">
        <f t="shared" si="15"/>
        <v>0.17808219178082194</v>
      </c>
      <c r="E34" s="974">
        <f t="shared" si="18"/>
        <v>0.17808219178082194</v>
      </c>
      <c r="F34" s="975">
        <f>집계표!F10/365</f>
        <v>0</v>
      </c>
      <c r="G34" s="975">
        <f>집계표!G10/365</f>
        <v>5.4794520547945206E-3</v>
      </c>
      <c r="H34" s="975">
        <f>집계표!H10/365</f>
        <v>0</v>
      </c>
      <c r="I34" s="975">
        <f>집계표!I10/365</f>
        <v>0</v>
      </c>
      <c r="J34" s="975">
        <f>집계표!J10/365</f>
        <v>0</v>
      </c>
      <c r="K34" s="975">
        <f>집계표!K10/365</f>
        <v>0</v>
      </c>
      <c r="L34" s="975">
        <f>집계표!L10/365</f>
        <v>0</v>
      </c>
      <c r="M34" s="975">
        <f>집계표!M10/365</f>
        <v>0</v>
      </c>
      <c r="N34" s="975">
        <f>집계표!N10/365</f>
        <v>0.17260273972602741</v>
      </c>
      <c r="O34" s="974">
        <f t="shared" si="14"/>
        <v>317439.99999999994</v>
      </c>
      <c r="P34" s="974">
        <f t="shared" si="16"/>
        <v>869.69863013698614</v>
      </c>
      <c r="Q34" s="974">
        <f t="shared" si="17"/>
        <v>434.84931506849313</v>
      </c>
      <c r="R34" s="975">
        <f>집계표!R10/365</f>
        <v>203.53150684931506</v>
      </c>
      <c r="S34" s="975">
        <f>집계표!S10/365</f>
        <v>125.17534246575343</v>
      </c>
      <c r="T34" s="975">
        <f>집계표!T10/365</f>
        <v>0</v>
      </c>
      <c r="U34" s="975">
        <f>집계표!U10/365</f>
        <v>0</v>
      </c>
      <c r="V34" s="975">
        <f>집계표!V10/365</f>
        <v>0</v>
      </c>
      <c r="W34" s="975">
        <f>집계표!W10/365</f>
        <v>49.279452054794518</v>
      </c>
      <c r="X34" s="975">
        <f>집계표!X10/365</f>
        <v>0</v>
      </c>
      <c r="Y34" s="975">
        <f>집계표!Y10/365</f>
        <v>0</v>
      </c>
      <c r="Z34" s="975">
        <f>집계표!Z10/365</f>
        <v>56.863013698630134</v>
      </c>
    </row>
    <row r="35" spans="1:26">
      <c r="A35" s="2252"/>
      <c r="B35" s="973" t="s">
        <v>1442</v>
      </c>
      <c r="C35" s="974">
        <f t="shared" si="13"/>
        <v>4412</v>
      </c>
      <c r="D35" s="974">
        <f t="shared" si="15"/>
        <v>12.087671232876712</v>
      </c>
      <c r="E35" s="974">
        <f t="shared" si="18"/>
        <v>12.087671232876712</v>
      </c>
      <c r="F35" s="975">
        <f>집계표!F11/365</f>
        <v>12.087671232876712</v>
      </c>
      <c r="G35" s="975">
        <f>집계표!G11/365</f>
        <v>0</v>
      </c>
      <c r="H35" s="975">
        <f>집계표!H11/365</f>
        <v>0</v>
      </c>
      <c r="I35" s="975">
        <f>집계표!I11/365</f>
        <v>0</v>
      </c>
      <c r="J35" s="975">
        <f>집계표!J11/365</f>
        <v>0</v>
      </c>
      <c r="K35" s="975">
        <f>집계표!K11/365</f>
        <v>0</v>
      </c>
      <c r="L35" s="975">
        <f>집계표!L11/365</f>
        <v>0</v>
      </c>
      <c r="M35" s="975">
        <f>집계표!M11/365</f>
        <v>0</v>
      </c>
      <c r="N35" s="975">
        <f>집계표!N11/365</f>
        <v>0</v>
      </c>
      <c r="O35" s="974">
        <f t="shared" si="14"/>
        <v>0</v>
      </c>
      <c r="P35" s="974">
        <f t="shared" si="16"/>
        <v>0</v>
      </c>
      <c r="Q35" s="974">
        <f t="shared" si="17"/>
        <v>0</v>
      </c>
      <c r="R35" s="975">
        <f>집계표!R11/365</f>
        <v>0</v>
      </c>
      <c r="S35" s="975">
        <f>집계표!S11/365</f>
        <v>0</v>
      </c>
      <c r="T35" s="975">
        <f>집계표!T11/365</f>
        <v>0</v>
      </c>
      <c r="U35" s="975">
        <f>집계표!U11/365</f>
        <v>0</v>
      </c>
      <c r="V35" s="975">
        <f>집계표!V11/365</f>
        <v>0</v>
      </c>
      <c r="W35" s="975">
        <f>집계표!W11/365</f>
        <v>0</v>
      </c>
      <c r="X35" s="975">
        <f>집계표!X11/365</f>
        <v>0</v>
      </c>
      <c r="Y35" s="975">
        <f>집계표!Y11/365</f>
        <v>0</v>
      </c>
      <c r="Z35" s="975">
        <f>집계표!Z11/365</f>
        <v>0</v>
      </c>
    </row>
    <row r="36" spans="1:26">
      <c r="A36" s="2252"/>
      <c r="B36" s="973" t="s">
        <v>1443</v>
      </c>
      <c r="C36" s="974">
        <f t="shared" si="13"/>
        <v>0</v>
      </c>
      <c r="D36" s="974">
        <f t="shared" si="15"/>
        <v>0</v>
      </c>
      <c r="E36" s="974">
        <f t="shared" si="18"/>
        <v>0</v>
      </c>
      <c r="F36" s="975">
        <f>집계표!F12/365</f>
        <v>0</v>
      </c>
      <c r="G36" s="975">
        <f>집계표!G12/365</f>
        <v>0</v>
      </c>
      <c r="H36" s="975">
        <f>집계표!H12/365</f>
        <v>0</v>
      </c>
      <c r="I36" s="975">
        <f>집계표!I12/365</f>
        <v>0</v>
      </c>
      <c r="J36" s="975">
        <f>집계표!J12/365</f>
        <v>0</v>
      </c>
      <c r="K36" s="975">
        <f>집계표!K12/365</f>
        <v>0</v>
      </c>
      <c r="L36" s="975">
        <f>집계표!L12/365</f>
        <v>0</v>
      </c>
      <c r="M36" s="975">
        <f>집계표!M12/365</f>
        <v>0</v>
      </c>
      <c r="N36" s="975">
        <f>집계표!N12/365</f>
        <v>0</v>
      </c>
      <c r="O36" s="974">
        <f t="shared" si="14"/>
        <v>0</v>
      </c>
      <c r="P36" s="974">
        <f t="shared" si="16"/>
        <v>0</v>
      </c>
      <c r="Q36" s="974">
        <f t="shared" si="17"/>
        <v>0</v>
      </c>
      <c r="R36" s="975">
        <f>집계표!R12/365</f>
        <v>0</v>
      </c>
      <c r="S36" s="975">
        <f>집계표!S12/365</f>
        <v>0</v>
      </c>
      <c r="T36" s="975">
        <f>집계표!T12/365</f>
        <v>0</v>
      </c>
      <c r="U36" s="975">
        <f>집계표!U12/365</f>
        <v>0</v>
      </c>
      <c r="V36" s="975">
        <f>집계표!V12/365</f>
        <v>0</v>
      </c>
      <c r="W36" s="975">
        <f>집계표!W12/365</f>
        <v>0</v>
      </c>
      <c r="X36" s="975">
        <f>집계표!X12/365</f>
        <v>0</v>
      </c>
      <c r="Y36" s="975">
        <f>집계표!Y12/365</f>
        <v>0</v>
      </c>
      <c r="Z36" s="975">
        <f>집계표!Z12/365</f>
        <v>0</v>
      </c>
    </row>
    <row r="37" spans="1:26">
      <c r="A37" s="2252"/>
      <c r="B37" s="973" t="s">
        <v>1444</v>
      </c>
      <c r="C37" s="974">
        <f t="shared" si="13"/>
        <v>439956.99999999988</v>
      </c>
      <c r="D37" s="974">
        <f t="shared" si="15"/>
        <v>1205.3616438356162</v>
      </c>
      <c r="E37" s="974">
        <f t="shared" si="18"/>
        <v>1205.3616438356162</v>
      </c>
      <c r="F37" s="975">
        <f>집계표!F13/365</f>
        <v>149.31232876712329</v>
      </c>
      <c r="G37" s="975">
        <f>집계표!G13/365</f>
        <v>95.432876712328763</v>
      </c>
      <c r="H37" s="975">
        <f>집계표!H13/365</f>
        <v>8.882191780821918</v>
      </c>
      <c r="I37" s="975">
        <f>집계표!I13/365</f>
        <v>67.0027397260274</v>
      </c>
      <c r="J37" s="975">
        <f>집계표!J13/365</f>
        <v>10.547945205479452</v>
      </c>
      <c r="K37" s="975">
        <f>집계표!K13/365</f>
        <v>149.18904109589042</v>
      </c>
      <c r="L37" s="975">
        <f>집계표!L13/365</f>
        <v>195.66575342465754</v>
      </c>
      <c r="M37" s="975">
        <f>집계표!M13/365</f>
        <v>347.9780821917808</v>
      </c>
      <c r="N37" s="975">
        <f>집계표!N13/365</f>
        <v>181.35068493150686</v>
      </c>
      <c r="O37" s="974">
        <f t="shared" si="14"/>
        <v>32067.999999999993</v>
      </c>
      <c r="P37" s="974">
        <f t="shared" si="16"/>
        <v>87.857534246575327</v>
      </c>
      <c r="Q37" s="974">
        <f t="shared" si="17"/>
        <v>43.92876712328767</v>
      </c>
      <c r="R37" s="975">
        <f>집계표!R13/365</f>
        <v>29.208219178082192</v>
      </c>
      <c r="S37" s="975">
        <f>집계표!S13/365</f>
        <v>13.178082191780822</v>
      </c>
      <c r="T37" s="975">
        <f>집계표!T13/365</f>
        <v>0</v>
      </c>
      <c r="U37" s="975">
        <f>집계표!U13/365</f>
        <v>0</v>
      </c>
      <c r="V37" s="975">
        <f>집계표!V13/365</f>
        <v>0</v>
      </c>
      <c r="W37" s="975">
        <f>집계표!W13/365</f>
        <v>0</v>
      </c>
      <c r="X37" s="975">
        <f>집계표!X13/365</f>
        <v>0</v>
      </c>
      <c r="Y37" s="975">
        <f>집계표!Y13/365</f>
        <v>0</v>
      </c>
      <c r="Z37" s="975">
        <f>집계표!Z13/365</f>
        <v>1.5424657534246575</v>
      </c>
    </row>
    <row r="38" spans="1:26">
      <c r="A38" s="2252"/>
      <c r="B38" s="973" t="s">
        <v>1445</v>
      </c>
      <c r="C38" s="974">
        <f t="shared" si="13"/>
        <v>985710.99999999988</v>
      </c>
      <c r="D38" s="974">
        <f t="shared" si="15"/>
        <v>2700.5780821917806</v>
      </c>
      <c r="E38" s="974">
        <f t="shared" si="18"/>
        <v>2700.5780821917806</v>
      </c>
      <c r="F38" s="975">
        <f>집계표!F14/365</f>
        <v>638.61095890410957</v>
      </c>
      <c r="G38" s="975">
        <f>집계표!G14/365</f>
        <v>743.55068493150679</v>
      </c>
      <c r="H38" s="975">
        <f>집계표!H14/365</f>
        <v>35.320547945205476</v>
      </c>
      <c r="I38" s="975">
        <f>집계표!I14/365</f>
        <v>24.575342465753426</v>
      </c>
      <c r="J38" s="975">
        <f>집계표!J14/365</f>
        <v>26.882191780821916</v>
      </c>
      <c r="K38" s="975">
        <f>집계표!K14/365</f>
        <v>464.44657534246574</v>
      </c>
      <c r="L38" s="975">
        <f>집계표!L14/365</f>
        <v>116.77808219178083</v>
      </c>
      <c r="M38" s="975">
        <f>집계표!M14/365</f>
        <v>310.59726027397261</v>
      </c>
      <c r="N38" s="975">
        <f>집계표!N14/365</f>
        <v>339.81643835616438</v>
      </c>
      <c r="O38" s="974">
        <f t="shared" si="14"/>
        <v>269816</v>
      </c>
      <c r="P38" s="974">
        <f t="shared" si="16"/>
        <v>739.22191780821913</v>
      </c>
      <c r="Q38" s="974">
        <f t="shared" si="17"/>
        <v>369.61095890410957</v>
      </c>
      <c r="R38" s="975">
        <f>집계표!R14/365</f>
        <v>84.520547945205479</v>
      </c>
      <c r="S38" s="975">
        <f>집계표!S14/365</f>
        <v>205.70958904109588</v>
      </c>
      <c r="T38" s="975">
        <f>집계표!T14/365</f>
        <v>0</v>
      </c>
      <c r="U38" s="975">
        <f>집계표!U14/365</f>
        <v>0</v>
      </c>
      <c r="V38" s="975">
        <f>집계표!V14/365</f>
        <v>0</v>
      </c>
      <c r="W38" s="975">
        <f>집계표!W14/365</f>
        <v>16.235616438356164</v>
      </c>
      <c r="X38" s="975">
        <f>집계표!X14/365</f>
        <v>11.873972602739727</v>
      </c>
      <c r="Y38" s="975">
        <f>집계표!Y14/365</f>
        <v>8.2739726027397253</v>
      </c>
      <c r="Z38" s="975">
        <f>집계표!Z14/365</f>
        <v>42.9972602739726</v>
      </c>
    </row>
    <row r="39" spans="1:26">
      <c r="A39" s="2252"/>
      <c r="B39" s="973" t="s">
        <v>1446</v>
      </c>
      <c r="C39" s="974">
        <f t="shared" si="13"/>
        <v>167550.99999999994</v>
      </c>
      <c r="D39" s="974">
        <f t="shared" si="15"/>
        <v>459.04383561643823</v>
      </c>
      <c r="E39" s="974">
        <f t="shared" si="18"/>
        <v>459.04383561643823</v>
      </c>
      <c r="F39" s="975">
        <f>집계표!F15/365</f>
        <v>147.83013698630137</v>
      </c>
      <c r="G39" s="975">
        <f>집계표!G15/365</f>
        <v>101.37808219178082</v>
      </c>
      <c r="H39" s="975">
        <f>집계표!H15/365</f>
        <v>15.876712328767123</v>
      </c>
      <c r="I39" s="975">
        <f>집계표!I15/365</f>
        <v>39.912328767123284</v>
      </c>
      <c r="J39" s="975">
        <f>집계표!J15/365</f>
        <v>5.2164383561643834</v>
      </c>
      <c r="K39" s="975">
        <f>집계표!K15/365</f>
        <v>54.821917808219176</v>
      </c>
      <c r="L39" s="975">
        <f>집계표!L15/365</f>
        <v>11.454794520547946</v>
      </c>
      <c r="M39" s="975">
        <f>집계표!M15/365</f>
        <v>24.323287671232876</v>
      </c>
      <c r="N39" s="975">
        <f>집계표!N15/365</f>
        <v>58.230136986301368</v>
      </c>
      <c r="O39" s="974">
        <f t="shared" si="14"/>
        <v>0</v>
      </c>
      <c r="P39" s="974">
        <f t="shared" si="16"/>
        <v>0</v>
      </c>
      <c r="Q39" s="974">
        <f t="shared" si="17"/>
        <v>0</v>
      </c>
      <c r="R39" s="975">
        <f>집계표!R15/365</f>
        <v>0</v>
      </c>
      <c r="S39" s="975">
        <f>집계표!S15/365</f>
        <v>0</v>
      </c>
      <c r="T39" s="975">
        <f>집계표!T15/365</f>
        <v>0</v>
      </c>
      <c r="U39" s="975">
        <f>집계표!U15/365</f>
        <v>0</v>
      </c>
      <c r="V39" s="975">
        <f>집계표!V15/365</f>
        <v>0</v>
      </c>
      <c r="W39" s="975">
        <f>집계표!W15/365</f>
        <v>0</v>
      </c>
      <c r="X39" s="975">
        <f>집계표!X15/365</f>
        <v>0</v>
      </c>
      <c r="Y39" s="975">
        <f>집계표!Y15/365</f>
        <v>0</v>
      </c>
      <c r="Z39" s="975">
        <f>집계표!Z15/365</f>
        <v>0</v>
      </c>
    </row>
    <row r="40" spans="1:26">
      <c r="A40" s="2252"/>
      <c r="B40" s="973" t="s">
        <v>1447</v>
      </c>
      <c r="C40" s="974">
        <f t="shared" si="13"/>
        <v>0</v>
      </c>
      <c r="D40" s="974">
        <f t="shared" si="15"/>
        <v>0</v>
      </c>
      <c r="E40" s="974">
        <f t="shared" si="18"/>
        <v>0</v>
      </c>
      <c r="F40" s="975">
        <f>집계표!F16/365</f>
        <v>0</v>
      </c>
      <c r="G40" s="975">
        <f>집계표!G16/365</f>
        <v>0</v>
      </c>
      <c r="H40" s="975">
        <f>집계표!H16/365</f>
        <v>0</v>
      </c>
      <c r="I40" s="975">
        <f>집계표!I16/365</f>
        <v>0</v>
      </c>
      <c r="J40" s="975">
        <f>집계표!J16/365</f>
        <v>0</v>
      </c>
      <c r="K40" s="975">
        <f>집계표!K16/365</f>
        <v>0</v>
      </c>
      <c r="L40" s="975">
        <f>집계표!L16/365</f>
        <v>0</v>
      </c>
      <c r="M40" s="975">
        <f>집계표!M16/365</f>
        <v>0</v>
      </c>
      <c r="N40" s="975">
        <f>집계표!N16/365</f>
        <v>0</v>
      </c>
      <c r="O40" s="974">
        <f t="shared" si="14"/>
        <v>0</v>
      </c>
      <c r="P40" s="974">
        <f t="shared" si="16"/>
        <v>0</v>
      </c>
      <c r="Q40" s="974">
        <f t="shared" si="17"/>
        <v>0</v>
      </c>
      <c r="R40" s="975">
        <f>집계표!R16/365</f>
        <v>0</v>
      </c>
      <c r="S40" s="975">
        <f>집계표!S16/365</f>
        <v>0</v>
      </c>
      <c r="T40" s="975">
        <f>집계표!T16/365</f>
        <v>0</v>
      </c>
      <c r="U40" s="975">
        <f>집계표!U16/365</f>
        <v>0</v>
      </c>
      <c r="V40" s="975">
        <f>집계표!V16/365</f>
        <v>0</v>
      </c>
      <c r="W40" s="975">
        <f>집계표!W16/365</f>
        <v>0</v>
      </c>
      <c r="X40" s="975">
        <f>집계표!X16/365</f>
        <v>0</v>
      </c>
      <c r="Y40" s="975">
        <f>집계표!Y16/365</f>
        <v>0</v>
      </c>
      <c r="Z40" s="975">
        <f>집계표!Z16/365</f>
        <v>0</v>
      </c>
    </row>
    <row r="41" spans="1:26">
      <c r="A41" s="2252" t="s">
        <v>1448</v>
      </c>
      <c r="B41" s="968" t="s">
        <v>552</v>
      </c>
      <c r="C41" s="969">
        <f t="shared" ref="C41:Z41" si="19">SUM(C42:C52)</f>
        <v>6172872.0000000009</v>
      </c>
      <c r="D41" s="969">
        <f t="shared" si="19"/>
        <v>16911.978082191781</v>
      </c>
      <c r="E41" s="970">
        <f t="shared" si="19"/>
        <v>16911.978082191781</v>
      </c>
      <c r="F41" s="970">
        <f t="shared" si="19"/>
        <v>3782.2794520547945</v>
      </c>
      <c r="G41" s="970">
        <f t="shared" si="19"/>
        <v>4053.6465753424659</v>
      </c>
      <c r="H41" s="970">
        <f t="shared" si="19"/>
        <v>398.84657534246571</v>
      </c>
      <c r="I41" s="970">
        <f t="shared" si="19"/>
        <v>404.74246575342465</v>
      </c>
      <c r="J41" s="970">
        <f t="shared" si="19"/>
        <v>406.44383561643838</v>
      </c>
      <c r="K41" s="970">
        <f t="shared" si="19"/>
        <v>2993.345205479452</v>
      </c>
      <c r="L41" s="970">
        <f t="shared" si="19"/>
        <v>1322.5835616438355</v>
      </c>
      <c r="M41" s="970">
        <f t="shared" si="19"/>
        <v>1362.1890410958904</v>
      </c>
      <c r="N41" s="970">
        <f t="shared" si="19"/>
        <v>2187.9013698630138</v>
      </c>
      <c r="O41" s="969">
        <f t="shared" si="19"/>
        <v>981714</v>
      </c>
      <c r="P41" s="971">
        <f t="shared" si="19"/>
        <v>2689.6273972602739</v>
      </c>
      <c r="Q41" s="972">
        <f t="shared" si="19"/>
        <v>1344.813698630137</v>
      </c>
      <c r="R41" s="972">
        <f t="shared" si="19"/>
        <v>445.12876712328773</v>
      </c>
      <c r="S41" s="972">
        <f t="shared" si="19"/>
        <v>589.95616438356171</v>
      </c>
      <c r="T41" s="972">
        <f t="shared" si="19"/>
        <v>0</v>
      </c>
      <c r="U41" s="972">
        <f t="shared" si="19"/>
        <v>0</v>
      </c>
      <c r="V41" s="972">
        <f t="shared" si="19"/>
        <v>0</v>
      </c>
      <c r="W41" s="972">
        <f t="shared" si="19"/>
        <v>135.08767123287672</v>
      </c>
      <c r="X41" s="972">
        <f t="shared" si="19"/>
        <v>9.580821917808219</v>
      </c>
      <c r="Y41" s="972">
        <f t="shared" si="19"/>
        <v>17.145205479452052</v>
      </c>
      <c r="Z41" s="972">
        <f t="shared" si="19"/>
        <v>147.91506849315067</v>
      </c>
    </row>
    <row r="42" spans="1:26">
      <c r="A42" s="2252"/>
      <c r="B42" s="973" t="s">
        <v>1426</v>
      </c>
      <c r="C42" s="974">
        <f t="shared" ref="C42:C52" si="20">+D42*365</f>
        <v>4570768.0000000009</v>
      </c>
      <c r="D42" s="974">
        <f>+E42</f>
        <v>12522.652054794522</v>
      </c>
      <c r="E42" s="974">
        <f>SUM(F42:N42)</f>
        <v>12522.652054794522</v>
      </c>
      <c r="F42" s="975">
        <f>집계표!F18/365</f>
        <v>2745.9205479452053</v>
      </c>
      <c r="G42" s="975">
        <f>집계표!G18/365</f>
        <v>3095.4</v>
      </c>
      <c r="H42" s="975">
        <f>집계표!H18/365</f>
        <v>352.10684931506847</v>
      </c>
      <c r="I42" s="975">
        <f>집계표!I18/365</f>
        <v>286.26575342465753</v>
      </c>
      <c r="J42" s="975">
        <f>집계표!J18/365</f>
        <v>360.76438356164385</v>
      </c>
      <c r="K42" s="975">
        <f>집계표!K18/365</f>
        <v>2371.8986301369864</v>
      </c>
      <c r="L42" s="975">
        <f>집계표!L18/365</f>
        <v>1112</v>
      </c>
      <c r="M42" s="975">
        <f>집계표!M18/365</f>
        <v>575.06849315068496</v>
      </c>
      <c r="N42" s="975">
        <f>집계표!N18/365</f>
        <v>1623.2273972602741</v>
      </c>
      <c r="O42" s="974">
        <f t="shared" ref="O42:O52" si="21">+P42*365</f>
        <v>329126</v>
      </c>
      <c r="P42" s="974">
        <f>SUM(Q42:Z42)</f>
        <v>901.71506849315074</v>
      </c>
      <c r="Q42" s="974">
        <f>SUM(R42:Z42)</f>
        <v>450.85753424657526</v>
      </c>
      <c r="R42" s="975">
        <f>집계표!R18/365</f>
        <v>104.17534246575343</v>
      </c>
      <c r="S42" s="975">
        <f>집계표!S18/365</f>
        <v>212.38082191780822</v>
      </c>
      <c r="T42" s="975">
        <f>집계표!T18/365</f>
        <v>0</v>
      </c>
      <c r="U42" s="975">
        <f>집계표!U18/365</f>
        <v>0</v>
      </c>
      <c r="V42" s="975">
        <f>집계표!V18/365</f>
        <v>0</v>
      </c>
      <c r="W42" s="975">
        <f>집계표!W18/365</f>
        <v>67.30684931506849</v>
      </c>
      <c r="X42" s="975">
        <f>집계표!X18/365</f>
        <v>6.1972602739726028</v>
      </c>
      <c r="Y42" s="975">
        <f>집계표!Y18/365</f>
        <v>11.082191780821917</v>
      </c>
      <c r="Z42" s="975">
        <f>집계표!Z18/365</f>
        <v>49.715068493150682</v>
      </c>
    </row>
    <row r="43" spans="1:26">
      <c r="A43" s="2252"/>
      <c r="B43" s="973" t="s">
        <v>1449</v>
      </c>
      <c r="C43" s="974">
        <f t="shared" si="20"/>
        <v>0</v>
      </c>
      <c r="D43" s="974">
        <f t="shared" ref="D43:D52" si="22">+E43</f>
        <v>0</v>
      </c>
      <c r="E43" s="974">
        <f>SUM(F43:N43)</f>
        <v>0</v>
      </c>
      <c r="F43" s="975">
        <f>집계표!F19/365</f>
        <v>0</v>
      </c>
      <c r="G43" s="975">
        <f>집계표!G19/365</f>
        <v>0</v>
      </c>
      <c r="H43" s="975">
        <f>집계표!H19/365</f>
        <v>0</v>
      </c>
      <c r="I43" s="975">
        <f>집계표!I19/365</f>
        <v>0</v>
      </c>
      <c r="J43" s="975">
        <f>집계표!J19/365</f>
        <v>0</v>
      </c>
      <c r="K43" s="975">
        <f>집계표!K19/365</f>
        <v>0</v>
      </c>
      <c r="L43" s="975">
        <f>집계표!L19/365</f>
        <v>0</v>
      </c>
      <c r="M43" s="975">
        <f>집계표!M19/365</f>
        <v>0</v>
      </c>
      <c r="N43" s="975">
        <f>집계표!N19/365</f>
        <v>0</v>
      </c>
      <c r="O43" s="974">
        <f t="shared" si="21"/>
        <v>0</v>
      </c>
      <c r="P43" s="974">
        <f t="shared" ref="P43:P52" si="23">SUM(Q43:Z43)</f>
        <v>0</v>
      </c>
      <c r="Q43" s="974">
        <f t="shared" ref="Q43:Q52" si="24">SUM(R43:Z43)</f>
        <v>0</v>
      </c>
      <c r="R43" s="975">
        <f>집계표!R19/365</f>
        <v>0</v>
      </c>
      <c r="S43" s="975">
        <f>집계표!S19/365</f>
        <v>0</v>
      </c>
      <c r="T43" s="975">
        <f>집계표!T19/365</f>
        <v>0</v>
      </c>
      <c r="U43" s="975">
        <f>집계표!U19/365</f>
        <v>0</v>
      </c>
      <c r="V43" s="975">
        <f>집계표!V19/365</f>
        <v>0</v>
      </c>
      <c r="W43" s="975">
        <f>집계표!W19/365</f>
        <v>0</v>
      </c>
      <c r="X43" s="975">
        <f>집계표!X19/365</f>
        <v>0</v>
      </c>
      <c r="Y43" s="975">
        <f>집계표!Y19/365</f>
        <v>0</v>
      </c>
      <c r="Z43" s="975">
        <f>집계표!Z19/365</f>
        <v>0</v>
      </c>
    </row>
    <row r="44" spans="1:26" s="976" customFormat="1">
      <c r="A44" s="2252"/>
      <c r="B44" s="973" t="s">
        <v>1439</v>
      </c>
      <c r="C44" s="974">
        <f t="shared" si="20"/>
        <v>46057</v>
      </c>
      <c r="D44" s="974">
        <f t="shared" si="22"/>
        <v>126.18356164383562</v>
      </c>
      <c r="E44" s="974">
        <f>SUM(F44:N44)</f>
        <v>126.18356164383562</v>
      </c>
      <c r="F44" s="975">
        <f>집계표!F20/365</f>
        <v>118.38082191780822</v>
      </c>
      <c r="G44" s="975">
        <f>집계표!G20/365</f>
        <v>3.2657534246575342</v>
      </c>
      <c r="H44" s="975">
        <f>집계표!H20/365</f>
        <v>0</v>
      </c>
      <c r="I44" s="975">
        <f>집계표!I20/365</f>
        <v>0</v>
      </c>
      <c r="J44" s="975">
        <f>집계표!J20/365</f>
        <v>0</v>
      </c>
      <c r="K44" s="975">
        <f>집계표!K20/365</f>
        <v>4.536986301369863</v>
      </c>
      <c r="L44" s="975">
        <f>집계표!L20/365</f>
        <v>0</v>
      </c>
      <c r="M44" s="975">
        <f>집계표!M20/365</f>
        <v>0</v>
      </c>
      <c r="N44" s="975">
        <f>집계표!N20/365</f>
        <v>0</v>
      </c>
      <c r="O44" s="974">
        <f t="shared" si="21"/>
        <v>5766</v>
      </c>
      <c r="P44" s="974">
        <f t="shared" si="23"/>
        <v>15.797260273972602</v>
      </c>
      <c r="Q44" s="974">
        <f t="shared" si="24"/>
        <v>7.8986301369863012</v>
      </c>
      <c r="R44" s="975">
        <f>집계표!R20/365</f>
        <v>0</v>
      </c>
      <c r="S44" s="975">
        <f>집계표!S20/365</f>
        <v>0</v>
      </c>
      <c r="T44" s="975">
        <f>집계표!T20/365</f>
        <v>0</v>
      </c>
      <c r="U44" s="975">
        <f>집계표!U20/365</f>
        <v>0</v>
      </c>
      <c r="V44" s="975">
        <f>집계표!V20/365</f>
        <v>0</v>
      </c>
      <c r="W44" s="975">
        <f>집계표!W20/365</f>
        <v>7.8986301369863012</v>
      </c>
      <c r="X44" s="975">
        <f>집계표!X20/365</f>
        <v>0</v>
      </c>
      <c r="Y44" s="975">
        <f>집계표!Y20/365</f>
        <v>0</v>
      </c>
      <c r="Z44" s="975">
        <f>집계표!Z20/365</f>
        <v>0</v>
      </c>
    </row>
    <row r="45" spans="1:26">
      <c r="A45" s="2252"/>
      <c r="B45" s="973" t="s">
        <v>1440</v>
      </c>
      <c r="C45" s="974">
        <f t="shared" si="20"/>
        <v>26904.999999999996</v>
      </c>
      <c r="D45" s="974">
        <f t="shared" si="22"/>
        <v>73.712328767123282</v>
      </c>
      <c r="E45" s="974">
        <f t="shared" ref="E45:E52" si="25">SUM(F45:N45)</f>
        <v>73.712328767123282</v>
      </c>
      <c r="F45" s="975">
        <f>집계표!F21/365</f>
        <v>20.342465753424658</v>
      </c>
      <c r="G45" s="975">
        <f>집계표!G21/365</f>
        <v>18.86849315068493</v>
      </c>
      <c r="H45" s="975">
        <f>집계표!H21/365</f>
        <v>0</v>
      </c>
      <c r="I45" s="975">
        <f>집계표!I21/365</f>
        <v>2.0246575342465754</v>
      </c>
      <c r="J45" s="975">
        <f>집계표!J21/365</f>
        <v>0</v>
      </c>
      <c r="K45" s="975">
        <f>집계표!K21/365</f>
        <v>14.536986301369863</v>
      </c>
      <c r="L45" s="975">
        <f>집계표!L21/365</f>
        <v>3.2</v>
      </c>
      <c r="M45" s="975">
        <f>집계표!M21/365</f>
        <v>5.4356164383561643</v>
      </c>
      <c r="N45" s="975">
        <f>집계표!N21/365</f>
        <v>9.3041095890410954</v>
      </c>
      <c r="O45" s="974">
        <f t="shared" si="21"/>
        <v>0</v>
      </c>
      <c r="P45" s="974">
        <f t="shared" si="23"/>
        <v>0</v>
      </c>
      <c r="Q45" s="974">
        <f t="shared" si="24"/>
        <v>0</v>
      </c>
      <c r="R45" s="975">
        <f>집계표!R21/365</f>
        <v>0</v>
      </c>
      <c r="S45" s="975">
        <f>집계표!S21/365</f>
        <v>0</v>
      </c>
      <c r="T45" s="975">
        <f>집계표!T21/365</f>
        <v>0</v>
      </c>
      <c r="U45" s="975">
        <f>집계표!U21/365</f>
        <v>0</v>
      </c>
      <c r="V45" s="975">
        <f>집계표!V21/365</f>
        <v>0</v>
      </c>
      <c r="W45" s="975">
        <f>집계표!W21/365</f>
        <v>0</v>
      </c>
      <c r="X45" s="975">
        <f>집계표!X21/365</f>
        <v>0</v>
      </c>
      <c r="Y45" s="975">
        <f>집계표!Y21/365</f>
        <v>0</v>
      </c>
      <c r="Z45" s="975">
        <f>집계표!Z21/365</f>
        <v>0</v>
      </c>
    </row>
    <row r="46" spans="1:26">
      <c r="A46" s="2252"/>
      <c r="B46" s="973" t="s">
        <v>1441</v>
      </c>
      <c r="C46" s="974">
        <f t="shared" si="20"/>
        <v>362.99999999999994</v>
      </c>
      <c r="D46" s="974">
        <f t="shared" si="22"/>
        <v>0.99452054794520539</v>
      </c>
      <c r="E46" s="974">
        <f t="shared" si="25"/>
        <v>0.99452054794520539</v>
      </c>
      <c r="F46" s="975">
        <f>집계표!F22/365</f>
        <v>0</v>
      </c>
      <c r="G46" s="975">
        <f>집계표!G22/365</f>
        <v>8.21917808219178E-3</v>
      </c>
      <c r="H46" s="975">
        <f>집계표!H22/365</f>
        <v>0</v>
      </c>
      <c r="I46" s="975">
        <f>집계표!I22/365</f>
        <v>0</v>
      </c>
      <c r="J46" s="975">
        <f>집계표!J22/365</f>
        <v>0</v>
      </c>
      <c r="K46" s="975">
        <f>집계표!K22/365</f>
        <v>0</v>
      </c>
      <c r="L46" s="975">
        <f>집계표!L22/365</f>
        <v>0</v>
      </c>
      <c r="M46" s="975">
        <f>집계표!M22/365</f>
        <v>0</v>
      </c>
      <c r="N46" s="975">
        <f>집계표!N22/365</f>
        <v>0.98630136986301364</v>
      </c>
      <c r="O46" s="974">
        <f t="shared" si="21"/>
        <v>325144</v>
      </c>
      <c r="P46" s="974">
        <f t="shared" si="23"/>
        <v>890.80547945205478</v>
      </c>
      <c r="Q46" s="974">
        <f t="shared" si="24"/>
        <v>445.40273972602739</v>
      </c>
      <c r="R46" s="975">
        <f>집계표!R22/365</f>
        <v>178.57260273972602</v>
      </c>
      <c r="S46" s="975">
        <f>집계표!S22/365</f>
        <v>165.03835616438357</v>
      </c>
      <c r="T46" s="975">
        <f>집계표!T22/365</f>
        <v>0</v>
      </c>
      <c r="U46" s="975">
        <f>집계표!U22/365</f>
        <v>0</v>
      </c>
      <c r="V46" s="975">
        <f>집계표!V22/365</f>
        <v>0</v>
      </c>
      <c r="W46" s="975">
        <f>집계표!W22/365</f>
        <v>43.202739726027396</v>
      </c>
      <c r="X46" s="975">
        <f>집계표!X22/365</f>
        <v>0</v>
      </c>
      <c r="Y46" s="975">
        <f>집계표!Y22/365</f>
        <v>0</v>
      </c>
      <c r="Z46" s="975">
        <f>집계표!Z22/365</f>
        <v>58.589041095890408</v>
      </c>
    </row>
    <row r="47" spans="1:26">
      <c r="A47" s="2252"/>
      <c r="B47" s="973" t="s">
        <v>1442</v>
      </c>
      <c r="C47" s="974">
        <f t="shared" si="20"/>
        <v>524</v>
      </c>
      <c r="D47" s="974">
        <f t="shared" si="22"/>
        <v>1.4356164383561645</v>
      </c>
      <c r="E47" s="974">
        <f t="shared" si="25"/>
        <v>1.4356164383561645</v>
      </c>
      <c r="F47" s="975">
        <f>집계표!F23/365</f>
        <v>1.4356164383561645</v>
      </c>
      <c r="G47" s="975">
        <f>집계표!G23/365</f>
        <v>0</v>
      </c>
      <c r="H47" s="975">
        <f>집계표!H23/365</f>
        <v>0</v>
      </c>
      <c r="I47" s="975">
        <f>집계표!I23/365</f>
        <v>0</v>
      </c>
      <c r="J47" s="975">
        <f>집계표!J23/365</f>
        <v>0</v>
      </c>
      <c r="K47" s="975">
        <f>집계표!K23/365</f>
        <v>0</v>
      </c>
      <c r="L47" s="975">
        <f>집계표!L23/365</f>
        <v>0</v>
      </c>
      <c r="M47" s="975">
        <f>집계표!M23/365</f>
        <v>0</v>
      </c>
      <c r="N47" s="975">
        <f>집계표!N23/365</f>
        <v>0</v>
      </c>
      <c r="O47" s="974">
        <f t="shared" si="21"/>
        <v>0</v>
      </c>
      <c r="P47" s="974">
        <f t="shared" si="23"/>
        <v>0</v>
      </c>
      <c r="Q47" s="974">
        <f t="shared" si="24"/>
        <v>0</v>
      </c>
      <c r="R47" s="975">
        <f>집계표!R23/365</f>
        <v>0</v>
      </c>
      <c r="S47" s="975">
        <f>집계표!S23/365</f>
        <v>0</v>
      </c>
      <c r="T47" s="975">
        <f>집계표!T23/365</f>
        <v>0</v>
      </c>
      <c r="U47" s="975">
        <f>집계표!U23/365</f>
        <v>0</v>
      </c>
      <c r="V47" s="975">
        <f>집계표!V23/365</f>
        <v>0</v>
      </c>
      <c r="W47" s="975">
        <f>집계표!W23/365</f>
        <v>0</v>
      </c>
      <c r="X47" s="975">
        <f>집계표!X23/365</f>
        <v>0</v>
      </c>
      <c r="Y47" s="975">
        <f>집계표!Y23/365</f>
        <v>0</v>
      </c>
      <c r="Z47" s="975">
        <f>집계표!Z23/365</f>
        <v>0</v>
      </c>
    </row>
    <row r="48" spans="1:26">
      <c r="A48" s="2252"/>
      <c r="B48" s="973" t="s">
        <v>1443</v>
      </c>
      <c r="C48" s="974">
        <f t="shared" si="20"/>
        <v>0</v>
      </c>
      <c r="D48" s="974">
        <f t="shared" si="22"/>
        <v>0</v>
      </c>
      <c r="E48" s="974">
        <f t="shared" si="25"/>
        <v>0</v>
      </c>
      <c r="F48" s="975">
        <f>집계표!F24/365</f>
        <v>0</v>
      </c>
      <c r="G48" s="975">
        <f>집계표!G24/365</f>
        <v>0</v>
      </c>
      <c r="H48" s="975">
        <f>집계표!H24/365</f>
        <v>0</v>
      </c>
      <c r="I48" s="975">
        <f>집계표!I24/365</f>
        <v>0</v>
      </c>
      <c r="J48" s="975">
        <f>집계표!J24/365</f>
        <v>0</v>
      </c>
      <c r="K48" s="975">
        <f>집계표!K24/365</f>
        <v>0</v>
      </c>
      <c r="L48" s="975">
        <f>집계표!L24/365</f>
        <v>0</v>
      </c>
      <c r="M48" s="975">
        <f>집계표!M24/365</f>
        <v>0</v>
      </c>
      <c r="N48" s="975">
        <f>집계표!N24/365</f>
        <v>0</v>
      </c>
      <c r="O48" s="974">
        <f t="shared" si="21"/>
        <v>0</v>
      </c>
      <c r="P48" s="974">
        <f t="shared" si="23"/>
        <v>0</v>
      </c>
      <c r="Q48" s="974">
        <f t="shared" si="24"/>
        <v>0</v>
      </c>
      <c r="R48" s="975">
        <f>집계표!R24/365</f>
        <v>0</v>
      </c>
      <c r="S48" s="975">
        <f>집계표!S24/365</f>
        <v>0</v>
      </c>
      <c r="T48" s="975">
        <f>집계표!T24/365</f>
        <v>0</v>
      </c>
      <c r="U48" s="975">
        <f>집계표!U24/365</f>
        <v>0</v>
      </c>
      <c r="V48" s="975">
        <f>집계표!V24/365</f>
        <v>0</v>
      </c>
      <c r="W48" s="975">
        <f>집계표!W24/365</f>
        <v>0</v>
      </c>
      <c r="X48" s="975">
        <f>집계표!X24/365</f>
        <v>0</v>
      </c>
      <c r="Y48" s="975">
        <f>집계표!Y24/365</f>
        <v>0</v>
      </c>
      <c r="Z48" s="975">
        <f>집계표!Z24/365</f>
        <v>0</v>
      </c>
    </row>
    <row r="49" spans="1:26">
      <c r="A49" s="2252"/>
      <c r="B49" s="973" t="s">
        <v>1450</v>
      </c>
      <c r="C49" s="974">
        <f t="shared" si="20"/>
        <v>306999</v>
      </c>
      <c r="D49" s="974">
        <f t="shared" si="22"/>
        <v>841.09315068493152</v>
      </c>
      <c r="E49" s="974">
        <f t="shared" si="25"/>
        <v>841.09315068493152</v>
      </c>
      <c r="F49" s="975">
        <f>집계표!F25/365</f>
        <v>157.31232876712329</v>
      </c>
      <c r="G49" s="975">
        <f>집계표!G25/365</f>
        <v>93.320547945205476</v>
      </c>
      <c r="H49" s="975">
        <f>집계표!H25/365</f>
        <v>7.5424657534246577</v>
      </c>
      <c r="I49" s="975">
        <f>집계표!I25/365</f>
        <v>11.775342465753425</v>
      </c>
      <c r="J49" s="975">
        <f>집계표!J25/365</f>
        <v>7.5424657534246577</v>
      </c>
      <c r="K49" s="975">
        <f>집계표!K25/365</f>
        <v>101.22191780821917</v>
      </c>
      <c r="L49" s="975">
        <f>집계표!L25/365</f>
        <v>24.186301369863013</v>
      </c>
      <c r="M49" s="975">
        <f>집계표!M25/365</f>
        <v>246.59726027397261</v>
      </c>
      <c r="N49" s="975">
        <f>집계표!N25/365</f>
        <v>191.59452054794519</v>
      </c>
      <c r="O49" s="974">
        <f t="shared" si="21"/>
        <v>62090</v>
      </c>
      <c r="P49" s="974">
        <f t="shared" si="23"/>
        <v>170.10958904109589</v>
      </c>
      <c r="Q49" s="974">
        <f t="shared" si="24"/>
        <v>85.054794520547944</v>
      </c>
      <c r="R49" s="975">
        <f>집계표!R25/365</f>
        <v>43.824657534246576</v>
      </c>
      <c r="S49" s="975">
        <f>집계표!S25/365</f>
        <v>39.863013698630134</v>
      </c>
      <c r="T49" s="975">
        <f>집계표!T25/365</f>
        <v>0</v>
      </c>
      <c r="U49" s="975">
        <f>집계표!U25/365</f>
        <v>0</v>
      </c>
      <c r="V49" s="975">
        <f>집계표!V25/365</f>
        <v>0</v>
      </c>
      <c r="W49" s="975">
        <f>집계표!W25/365</f>
        <v>0</v>
      </c>
      <c r="X49" s="975">
        <f>집계표!X25/365</f>
        <v>0</v>
      </c>
      <c r="Y49" s="975">
        <f>집계표!Y25/365</f>
        <v>0</v>
      </c>
      <c r="Z49" s="975">
        <f>집계표!Z25/365</f>
        <v>1.3671232876712329</v>
      </c>
    </row>
    <row r="50" spans="1:26">
      <c r="A50" s="2252"/>
      <c r="B50" s="973" t="s">
        <v>1451</v>
      </c>
      <c r="C50" s="974">
        <f t="shared" si="20"/>
        <v>1048804.0000000002</v>
      </c>
      <c r="D50" s="974">
        <f t="shared" si="22"/>
        <v>2873.4356164383566</v>
      </c>
      <c r="E50" s="974">
        <f t="shared" si="25"/>
        <v>2873.4356164383566</v>
      </c>
      <c r="F50" s="975">
        <f>집계표!F26/365</f>
        <v>626.95890410958907</v>
      </c>
      <c r="G50" s="975">
        <f>집계표!G26/365</f>
        <v>749.15068493150682</v>
      </c>
      <c r="H50" s="975">
        <f>집계표!H26/365</f>
        <v>25.723287671232878</v>
      </c>
      <c r="I50" s="975">
        <f>집계표!I26/365</f>
        <v>25.057534246575344</v>
      </c>
      <c r="J50" s="975">
        <f>집계표!J26/365</f>
        <v>34.008219178082193</v>
      </c>
      <c r="K50" s="975">
        <f>집계표!K26/365</f>
        <v>450.38356164383561</v>
      </c>
      <c r="L50" s="975">
        <f>집계표!L26/365</f>
        <v>153.21095890410959</v>
      </c>
      <c r="M50" s="975">
        <f>집계표!M26/365</f>
        <v>508.42465753424659</v>
      </c>
      <c r="N50" s="975">
        <f>집계표!N26/365</f>
        <v>300.51780821917811</v>
      </c>
      <c r="O50" s="974">
        <f t="shared" si="21"/>
        <v>259587.99999999997</v>
      </c>
      <c r="P50" s="974">
        <f t="shared" si="23"/>
        <v>711.19999999999993</v>
      </c>
      <c r="Q50" s="974">
        <f t="shared" si="24"/>
        <v>355.59999999999997</v>
      </c>
      <c r="R50" s="975">
        <f>집계표!R26/365</f>
        <v>118.55616438356165</v>
      </c>
      <c r="S50" s="975">
        <f>집계표!S26/365</f>
        <v>172.67397260273972</v>
      </c>
      <c r="T50" s="975">
        <f>집계표!T26/365</f>
        <v>0</v>
      </c>
      <c r="U50" s="975">
        <f>집계표!U26/365</f>
        <v>0</v>
      </c>
      <c r="V50" s="975">
        <f>집계표!V26/365</f>
        <v>0</v>
      </c>
      <c r="W50" s="975">
        <f>집계표!W26/365</f>
        <v>16.67945205479452</v>
      </c>
      <c r="X50" s="975">
        <f>집계표!X26/365</f>
        <v>3.3835616438356166</v>
      </c>
      <c r="Y50" s="975">
        <f>집계표!Y26/365</f>
        <v>6.0630136986301366</v>
      </c>
      <c r="Z50" s="975">
        <f>집계표!Z26/365</f>
        <v>38.243835616438353</v>
      </c>
    </row>
    <row r="51" spans="1:26">
      <c r="A51" s="2252"/>
      <c r="B51" s="973" t="s">
        <v>1452</v>
      </c>
      <c r="C51" s="974">
        <f t="shared" si="20"/>
        <v>172452</v>
      </c>
      <c r="D51" s="974">
        <f t="shared" si="22"/>
        <v>472.47123287671235</v>
      </c>
      <c r="E51" s="974">
        <f t="shared" si="25"/>
        <v>472.47123287671235</v>
      </c>
      <c r="F51" s="975">
        <f>집계표!F27/365</f>
        <v>111.92876712328767</v>
      </c>
      <c r="G51" s="975">
        <f>집계표!G27/365</f>
        <v>93.632876712328766</v>
      </c>
      <c r="H51" s="975">
        <f>집계표!H27/365</f>
        <v>13.473972602739726</v>
      </c>
      <c r="I51" s="975">
        <f>집계표!I27/365</f>
        <v>79.61917808219178</v>
      </c>
      <c r="J51" s="975">
        <f>집계표!J27/365</f>
        <v>4.1287671232876715</v>
      </c>
      <c r="K51" s="975">
        <f>집계표!K27/365</f>
        <v>50.767123287671232</v>
      </c>
      <c r="L51" s="975">
        <f>집계표!L27/365</f>
        <v>29.986301369863014</v>
      </c>
      <c r="M51" s="975">
        <f>집계표!M27/365</f>
        <v>26.663013698630138</v>
      </c>
      <c r="N51" s="975">
        <f>집계표!N27/365</f>
        <v>62.271232876712325</v>
      </c>
      <c r="O51" s="974">
        <f t="shared" si="21"/>
        <v>0</v>
      </c>
      <c r="P51" s="974">
        <f t="shared" si="23"/>
        <v>0</v>
      </c>
      <c r="Q51" s="974">
        <f t="shared" si="24"/>
        <v>0</v>
      </c>
      <c r="R51" s="975">
        <f>집계표!R27/365</f>
        <v>0</v>
      </c>
      <c r="S51" s="975">
        <f>집계표!S27/365</f>
        <v>0</v>
      </c>
      <c r="T51" s="975">
        <f>집계표!T27/365</f>
        <v>0</v>
      </c>
      <c r="U51" s="975">
        <f>집계표!U27/365</f>
        <v>0</v>
      </c>
      <c r="V51" s="975">
        <f>집계표!V27/365</f>
        <v>0</v>
      </c>
      <c r="W51" s="975">
        <f>집계표!W27/365</f>
        <v>0</v>
      </c>
      <c r="X51" s="975">
        <f>집계표!X27/365</f>
        <v>0</v>
      </c>
      <c r="Y51" s="975">
        <f>집계표!Y27/365</f>
        <v>0</v>
      </c>
      <c r="Z51" s="975">
        <f>집계표!Z27/365</f>
        <v>0</v>
      </c>
    </row>
    <row r="52" spans="1:26">
      <c r="A52" s="2252"/>
      <c r="B52" s="973" t="s">
        <v>1427</v>
      </c>
      <c r="C52" s="974">
        <f t="shared" si="20"/>
        <v>0</v>
      </c>
      <c r="D52" s="974">
        <f t="shared" si="22"/>
        <v>0</v>
      </c>
      <c r="E52" s="974">
        <f t="shared" si="25"/>
        <v>0</v>
      </c>
      <c r="F52" s="975">
        <f>집계표!F28/365</f>
        <v>0</v>
      </c>
      <c r="G52" s="975">
        <f>집계표!G28/365</f>
        <v>0</v>
      </c>
      <c r="H52" s="975">
        <f>집계표!H28/365</f>
        <v>0</v>
      </c>
      <c r="I52" s="975">
        <f>집계표!I28/365</f>
        <v>0</v>
      </c>
      <c r="J52" s="975">
        <f>집계표!J28/365</f>
        <v>0</v>
      </c>
      <c r="K52" s="975">
        <f>집계표!K28/365</f>
        <v>0</v>
      </c>
      <c r="L52" s="975">
        <f>집계표!L28/365</f>
        <v>0</v>
      </c>
      <c r="M52" s="975">
        <f>집계표!M28/365</f>
        <v>0</v>
      </c>
      <c r="N52" s="975">
        <f>집계표!N28/365</f>
        <v>0</v>
      </c>
      <c r="O52" s="974">
        <f t="shared" si="21"/>
        <v>0</v>
      </c>
      <c r="P52" s="974">
        <f t="shared" si="23"/>
        <v>0</v>
      </c>
      <c r="Q52" s="974">
        <f t="shared" si="24"/>
        <v>0</v>
      </c>
      <c r="R52" s="975">
        <f>집계표!R28/365</f>
        <v>0</v>
      </c>
      <c r="S52" s="975">
        <f>집계표!S28/365</f>
        <v>0</v>
      </c>
      <c r="T52" s="975">
        <f>집계표!T28/365</f>
        <v>0</v>
      </c>
      <c r="U52" s="975">
        <f>집계표!U28/365</f>
        <v>0</v>
      </c>
      <c r="V52" s="975">
        <f>집계표!V28/365</f>
        <v>0</v>
      </c>
      <c r="W52" s="975">
        <f>집계표!W28/365</f>
        <v>0</v>
      </c>
      <c r="X52" s="975">
        <f>집계표!X28/365</f>
        <v>0</v>
      </c>
      <c r="Y52" s="975">
        <f>집계표!Y28/365</f>
        <v>0</v>
      </c>
      <c r="Z52" s="975">
        <f>집계표!Z28/365</f>
        <v>0</v>
      </c>
    </row>
    <row r="53" spans="1:26">
      <c r="A53" s="2252" t="s">
        <v>1453</v>
      </c>
      <c r="B53" s="968" t="s">
        <v>1454</v>
      </c>
      <c r="C53" s="969">
        <f t="shared" ref="C53:Z53" si="26">SUM(C54:C64)</f>
        <v>6540136.9999999991</v>
      </c>
      <c r="D53" s="969">
        <f t="shared" si="26"/>
        <v>17918.183561643833</v>
      </c>
      <c r="E53" s="970">
        <f t="shared" si="26"/>
        <v>17918.183561643833</v>
      </c>
      <c r="F53" s="970">
        <f t="shared" si="26"/>
        <v>3966.7726027397262</v>
      </c>
      <c r="G53" s="970">
        <f t="shared" si="26"/>
        <v>4348.8438356164388</v>
      </c>
      <c r="H53" s="970">
        <f t="shared" si="26"/>
        <v>408.61917808219175</v>
      </c>
      <c r="I53" s="970">
        <f t="shared" si="26"/>
        <v>454.14794520547946</v>
      </c>
      <c r="J53" s="970">
        <f t="shared" si="26"/>
        <v>468.17260273972602</v>
      </c>
      <c r="K53" s="970">
        <f t="shared" si="26"/>
        <v>3289.6575342465753</v>
      </c>
      <c r="L53" s="970">
        <f t="shared" si="26"/>
        <v>1416.3972602739723</v>
      </c>
      <c r="M53" s="970">
        <f t="shared" si="26"/>
        <v>1310.2794520547945</v>
      </c>
      <c r="N53" s="970">
        <f t="shared" si="26"/>
        <v>2255.2931506849318</v>
      </c>
      <c r="O53" s="969">
        <f t="shared" si="26"/>
        <v>1031660</v>
      </c>
      <c r="P53" s="971">
        <f t="shared" si="26"/>
        <v>2826.4657534246576</v>
      </c>
      <c r="Q53" s="972">
        <f t="shared" si="26"/>
        <v>1413.232876712329</v>
      </c>
      <c r="R53" s="972">
        <f t="shared" si="26"/>
        <v>469.17534246575349</v>
      </c>
      <c r="S53" s="972">
        <f t="shared" si="26"/>
        <v>519.94520547945206</v>
      </c>
      <c r="T53" s="972">
        <f t="shared" si="26"/>
        <v>0</v>
      </c>
      <c r="U53" s="972">
        <f t="shared" si="26"/>
        <v>0</v>
      </c>
      <c r="V53" s="972">
        <f t="shared" si="26"/>
        <v>0</v>
      </c>
      <c r="W53" s="972">
        <f t="shared" si="26"/>
        <v>245.63561643835615</v>
      </c>
      <c r="X53" s="972">
        <f t="shared" si="26"/>
        <v>12.202739726027398</v>
      </c>
      <c r="Y53" s="972">
        <f t="shared" si="26"/>
        <v>19.372602739726027</v>
      </c>
      <c r="Z53" s="972">
        <f t="shared" si="26"/>
        <v>146.90136986301368</v>
      </c>
    </row>
    <row r="54" spans="1:26">
      <c r="A54" s="2252"/>
      <c r="B54" s="973" t="s">
        <v>1455</v>
      </c>
      <c r="C54" s="974">
        <f t="shared" ref="C54:C64" si="27">+D54*365</f>
        <v>4915328.9999999991</v>
      </c>
      <c r="D54" s="974">
        <f>+E54</f>
        <v>13466.654794520546</v>
      </c>
      <c r="E54" s="974">
        <f>SUM(F54:N54)</f>
        <v>13466.654794520546</v>
      </c>
      <c r="F54" s="975">
        <f>집계표!F30/365</f>
        <v>2990.2082191780823</v>
      </c>
      <c r="G54" s="975">
        <f>집계표!G30/365</f>
        <v>3283.0054794520547</v>
      </c>
      <c r="H54" s="975">
        <f>집계표!H30/365</f>
        <v>350.16164383561642</v>
      </c>
      <c r="I54" s="975">
        <f>집계표!I30/365</f>
        <v>312.37260273972601</v>
      </c>
      <c r="J54" s="975">
        <f>집계표!J30/365</f>
        <v>411.32054794520548</v>
      </c>
      <c r="K54" s="975">
        <f>집계표!K30/365</f>
        <v>2625.5424657534245</v>
      </c>
      <c r="L54" s="975">
        <f>집계표!L30/365</f>
        <v>1148.4219178082192</v>
      </c>
      <c r="M54" s="975">
        <f>집계표!M30/365</f>
        <v>669.1808219178082</v>
      </c>
      <c r="N54" s="975">
        <f>집계표!N30/365</f>
        <v>1676.4410958904109</v>
      </c>
      <c r="O54" s="974">
        <f t="shared" ref="O54:O64" si="28">+P54*365</f>
        <v>377894</v>
      </c>
      <c r="P54" s="974">
        <f>SUM(Q54:Z54)</f>
        <v>1035.3260273972603</v>
      </c>
      <c r="Q54" s="974">
        <f>SUM(R54:Z54)</f>
        <v>517.66301369863015</v>
      </c>
      <c r="R54" s="975">
        <f>집계표!R30/365</f>
        <v>127.99178082191781</v>
      </c>
      <c r="S54" s="975">
        <f>집계표!S30/365</f>
        <v>177.0849315068493</v>
      </c>
      <c r="T54" s="975">
        <f>집계표!T30/365</f>
        <v>0</v>
      </c>
      <c r="U54" s="975">
        <f>집계표!U30/365</f>
        <v>0</v>
      </c>
      <c r="V54" s="975">
        <f>집계표!V30/365</f>
        <v>0</v>
      </c>
      <c r="W54" s="975">
        <f>집계표!W30/365</f>
        <v>148.94794520547944</v>
      </c>
      <c r="X54" s="975">
        <f>집계표!X30/365</f>
        <v>3.2821917808219179</v>
      </c>
      <c r="Y54" s="975">
        <f>집계표!Y30/365</f>
        <v>12.331506849315069</v>
      </c>
      <c r="Z54" s="975">
        <f>집계표!Z30/365</f>
        <v>48.024657534246572</v>
      </c>
    </row>
    <row r="55" spans="1:26">
      <c r="A55" s="2252"/>
      <c r="B55" s="973" t="s">
        <v>1449</v>
      </c>
      <c r="C55" s="974">
        <f t="shared" si="27"/>
        <v>0</v>
      </c>
      <c r="D55" s="974">
        <f t="shared" ref="D55:D64" si="29">+E55</f>
        <v>0</v>
      </c>
      <c r="E55" s="974">
        <f>SUM(F55:N55)</f>
        <v>0</v>
      </c>
      <c r="F55" s="975">
        <f>집계표!F31/365</f>
        <v>0</v>
      </c>
      <c r="G55" s="975">
        <f>집계표!G31/365</f>
        <v>0</v>
      </c>
      <c r="H55" s="975">
        <f>집계표!H31/365</f>
        <v>0</v>
      </c>
      <c r="I55" s="975">
        <f>집계표!I31/365</f>
        <v>0</v>
      </c>
      <c r="J55" s="975">
        <f>집계표!J31/365</f>
        <v>0</v>
      </c>
      <c r="K55" s="975">
        <f>집계표!K31/365</f>
        <v>0</v>
      </c>
      <c r="L55" s="975">
        <f>집계표!L31/365</f>
        <v>0</v>
      </c>
      <c r="M55" s="975">
        <f>집계표!M31/365</f>
        <v>0</v>
      </c>
      <c r="N55" s="975">
        <f>집계표!N31/365</f>
        <v>0</v>
      </c>
      <c r="O55" s="974">
        <f t="shared" si="28"/>
        <v>0</v>
      </c>
      <c r="P55" s="974">
        <f t="shared" ref="P55:P64" si="30">SUM(Q55:Z55)</f>
        <v>0</v>
      </c>
      <c r="Q55" s="974">
        <f t="shared" ref="Q55:Q64" si="31">SUM(R55:Z55)</f>
        <v>0</v>
      </c>
      <c r="R55" s="975">
        <f>집계표!R31/365</f>
        <v>0</v>
      </c>
      <c r="S55" s="975">
        <f>집계표!S31/365</f>
        <v>0</v>
      </c>
      <c r="T55" s="975">
        <f>집계표!T31/365</f>
        <v>0</v>
      </c>
      <c r="U55" s="975">
        <f>집계표!U31/365</f>
        <v>0</v>
      </c>
      <c r="V55" s="975">
        <f>집계표!V31/365</f>
        <v>0</v>
      </c>
      <c r="W55" s="975">
        <f>집계표!W31/365</f>
        <v>0</v>
      </c>
      <c r="X55" s="975">
        <f>집계표!X31/365</f>
        <v>0</v>
      </c>
      <c r="Y55" s="975">
        <f>집계표!Y31/365</f>
        <v>0</v>
      </c>
      <c r="Z55" s="975">
        <f>집계표!Z31/365</f>
        <v>0</v>
      </c>
    </row>
    <row r="56" spans="1:26" s="976" customFormat="1">
      <c r="A56" s="2252"/>
      <c r="B56" s="973" t="s">
        <v>1456</v>
      </c>
      <c r="C56" s="974">
        <f t="shared" si="27"/>
        <v>32605</v>
      </c>
      <c r="D56" s="974">
        <f t="shared" si="29"/>
        <v>89.328767123287676</v>
      </c>
      <c r="E56" s="974">
        <f>SUM(F56:N56)</f>
        <v>89.328767123287676</v>
      </c>
      <c r="F56" s="975">
        <f>집계표!F32/365</f>
        <v>83.627397260273966</v>
      </c>
      <c r="G56" s="975">
        <f>집계표!G32/365</f>
        <v>2.2164383561643834</v>
      </c>
      <c r="H56" s="975">
        <f>집계표!H32/365</f>
        <v>0</v>
      </c>
      <c r="I56" s="975">
        <f>집계표!I32/365</f>
        <v>0</v>
      </c>
      <c r="J56" s="975">
        <f>집계표!J32/365</f>
        <v>0</v>
      </c>
      <c r="K56" s="975">
        <f>집계표!K32/365</f>
        <v>3.484931506849315</v>
      </c>
      <c r="L56" s="975">
        <f>집계표!L32/365</f>
        <v>0</v>
      </c>
      <c r="M56" s="975">
        <f>집계표!M32/365</f>
        <v>0</v>
      </c>
      <c r="N56" s="975">
        <f>집계표!N32/365</f>
        <v>0</v>
      </c>
      <c r="O56" s="974">
        <f t="shared" si="28"/>
        <v>18854</v>
      </c>
      <c r="P56" s="974">
        <f t="shared" si="30"/>
        <v>51.654794520547945</v>
      </c>
      <c r="Q56" s="974">
        <f t="shared" si="31"/>
        <v>25.827397260273973</v>
      </c>
      <c r="R56" s="975">
        <f>집계표!R32/365</f>
        <v>0</v>
      </c>
      <c r="S56" s="975">
        <f>집계표!S32/365</f>
        <v>0</v>
      </c>
      <c r="T56" s="975">
        <f>집계표!T32/365</f>
        <v>0</v>
      </c>
      <c r="U56" s="975">
        <f>집계표!U32/365</f>
        <v>0</v>
      </c>
      <c r="V56" s="975">
        <f>집계표!V32/365</f>
        <v>0</v>
      </c>
      <c r="W56" s="975">
        <f>집계표!W32/365</f>
        <v>25.827397260273973</v>
      </c>
      <c r="X56" s="975">
        <f>집계표!X32/365</f>
        <v>0</v>
      </c>
      <c r="Y56" s="975">
        <f>집계표!Y32/365</f>
        <v>0</v>
      </c>
      <c r="Z56" s="975">
        <f>집계표!Z32/365</f>
        <v>0</v>
      </c>
    </row>
    <row r="57" spans="1:26">
      <c r="A57" s="2252"/>
      <c r="B57" s="973" t="s">
        <v>1440</v>
      </c>
      <c r="C57" s="974">
        <f t="shared" si="27"/>
        <v>29238.999999999993</v>
      </c>
      <c r="D57" s="974">
        <f t="shared" si="29"/>
        <v>80.106849315068473</v>
      </c>
      <c r="E57" s="974">
        <f t="shared" ref="E57:E64" si="32">SUM(F57:N57)</f>
        <v>80.106849315068473</v>
      </c>
      <c r="F57" s="975">
        <f>집계표!F33/365</f>
        <v>21.756164383561643</v>
      </c>
      <c r="G57" s="975">
        <f>집계표!G33/365</f>
        <v>18.841095890410958</v>
      </c>
      <c r="H57" s="975">
        <f>집계표!H33/365</f>
        <v>0</v>
      </c>
      <c r="I57" s="975">
        <f>집계표!I33/365</f>
        <v>1.8520547945205479</v>
      </c>
      <c r="J57" s="975">
        <f>집계표!J33/365</f>
        <v>0</v>
      </c>
      <c r="K57" s="975">
        <f>집계표!K33/365</f>
        <v>13.58904109589041</v>
      </c>
      <c r="L57" s="975">
        <f>집계표!L33/365</f>
        <v>5.0383561643835613</v>
      </c>
      <c r="M57" s="975">
        <f>집계표!M33/365</f>
        <v>5.4575342465753423</v>
      </c>
      <c r="N57" s="975">
        <f>집계표!N33/365</f>
        <v>13.572602739726028</v>
      </c>
      <c r="O57" s="974">
        <f t="shared" si="28"/>
        <v>0</v>
      </c>
      <c r="P57" s="974">
        <f t="shared" si="30"/>
        <v>0</v>
      </c>
      <c r="Q57" s="974">
        <f t="shared" si="31"/>
        <v>0</v>
      </c>
      <c r="R57" s="975">
        <f>집계표!R33/365</f>
        <v>0</v>
      </c>
      <c r="S57" s="975">
        <f>집계표!S33/365</f>
        <v>0</v>
      </c>
      <c r="T57" s="975">
        <f>집계표!T33/365</f>
        <v>0</v>
      </c>
      <c r="U57" s="975">
        <f>집계표!U33/365</f>
        <v>0</v>
      </c>
      <c r="V57" s="975">
        <f>집계표!V33/365</f>
        <v>0</v>
      </c>
      <c r="W57" s="975">
        <f>집계표!W33/365</f>
        <v>0</v>
      </c>
      <c r="X57" s="975">
        <f>집계표!X33/365</f>
        <v>0</v>
      </c>
      <c r="Y57" s="975">
        <f>집계표!Y33/365</f>
        <v>0</v>
      </c>
      <c r="Z57" s="975">
        <f>집계표!Z33/365</f>
        <v>0</v>
      </c>
    </row>
    <row r="58" spans="1:26">
      <c r="A58" s="2252"/>
      <c r="B58" s="973" t="s">
        <v>1441</v>
      </c>
      <c r="C58" s="974">
        <f t="shared" si="27"/>
        <v>316</v>
      </c>
      <c r="D58" s="974">
        <f t="shared" si="29"/>
        <v>0.86575342465753424</v>
      </c>
      <c r="E58" s="974">
        <f t="shared" si="32"/>
        <v>0.86575342465753424</v>
      </c>
      <c r="F58" s="975">
        <f>집계표!F34/365</f>
        <v>0</v>
      </c>
      <c r="G58" s="975">
        <f>집계표!G34/365</f>
        <v>2.4657534246575342E-2</v>
      </c>
      <c r="H58" s="975">
        <f>집계표!H34/365</f>
        <v>0</v>
      </c>
      <c r="I58" s="975">
        <f>집계표!I34/365</f>
        <v>0</v>
      </c>
      <c r="J58" s="975">
        <f>집계표!J34/365</f>
        <v>0</v>
      </c>
      <c r="K58" s="975">
        <f>집계표!K34/365</f>
        <v>0</v>
      </c>
      <c r="L58" s="975">
        <f>집계표!L34/365</f>
        <v>0</v>
      </c>
      <c r="M58" s="975">
        <f>집계표!M34/365</f>
        <v>0</v>
      </c>
      <c r="N58" s="975">
        <f>집계표!N34/365</f>
        <v>0.84109589041095889</v>
      </c>
      <c r="O58" s="974">
        <f t="shared" si="28"/>
        <v>330604.00000000006</v>
      </c>
      <c r="P58" s="974">
        <f t="shared" si="30"/>
        <v>905.76438356164397</v>
      </c>
      <c r="Q58" s="974">
        <f t="shared" si="31"/>
        <v>452.88219178082193</v>
      </c>
      <c r="R58" s="975">
        <f>집계표!R34/365</f>
        <v>184.76438356164383</v>
      </c>
      <c r="S58" s="975">
        <f>집계표!S34/365</f>
        <v>152.57534246575344</v>
      </c>
      <c r="T58" s="975">
        <f>집계표!T34/365</f>
        <v>0</v>
      </c>
      <c r="U58" s="975">
        <f>집계표!U34/365</f>
        <v>0</v>
      </c>
      <c r="V58" s="975">
        <f>집계표!V34/365</f>
        <v>0</v>
      </c>
      <c r="W58" s="975">
        <f>집계표!W34/365</f>
        <v>53.443835616438356</v>
      </c>
      <c r="X58" s="975">
        <f>집계표!X34/365</f>
        <v>0</v>
      </c>
      <c r="Y58" s="975">
        <f>집계표!Y34/365</f>
        <v>0</v>
      </c>
      <c r="Z58" s="975">
        <f>집계표!Z34/365</f>
        <v>62.098630136986301</v>
      </c>
    </row>
    <row r="59" spans="1:26">
      <c r="A59" s="2252"/>
      <c r="B59" s="973" t="s">
        <v>1442</v>
      </c>
      <c r="C59" s="974">
        <f t="shared" si="27"/>
        <v>601</v>
      </c>
      <c r="D59" s="974">
        <f t="shared" si="29"/>
        <v>1.6465753424657534</v>
      </c>
      <c r="E59" s="974">
        <f t="shared" si="32"/>
        <v>1.6465753424657534</v>
      </c>
      <c r="F59" s="975">
        <f>집계표!F35/365</f>
        <v>1.6465753424657534</v>
      </c>
      <c r="G59" s="975">
        <f>집계표!G35/365</f>
        <v>0</v>
      </c>
      <c r="H59" s="975">
        <f>집계표!H35/365</f>
        <v>0</v>
      </c>
      <c r="I59" s="975">
        <f>집계표!I35/365</f>
        <v>0</v>
      </c>
      <c r="J59" s="975">
        <f>집계표!J35/365</f>
        <v>0</v>
      </c>
      <c r="K59" s="975">
        <f>집계표!K35/365</f>
        <v>0</v>
      </c>
      <c r="L59" s="975">
        <f>집계표!L35/365</f>
        <v>0</v>
      </c>
      <c r="M59" s="975">
        <f>집계표!M35/365</f>
        <v>0</v>
      </c>
      <c r="N59" s="975">
        <f>집계표!N35/365</f>
        <v>0</v>
      </c>
      <c r="O59" s="974">
        <f t="shared" si="28"/>
        <v>0</v>
      </c>
      <c r="P59" s="974">
        <f t="shared" si="30"/>
        <v>0</v>
      </c>
      <c r="Q59" s="974">
        <f t="shared" si="31"/>
        <v>0</v>
      </c>
      <c r="R59" s="975">
        <f>집계표!R35/365</f>
        <v>0</v>
      </c>
      <c r="S59" s="975">
        <f>집계표!S35/365</f>
        <v>0</v>
      </c>
      <c r="T59" s="975">
        <f>집계표!T35/365</f>
        <v>0</v>
      </c>
      <c r="U59" s="975">
        <f>집계표!U35/365</f>
        <v>0</v>
      </c>
      <c r="V59" s="975">
        <f>집계표!V35/365</f>
        <v>0</v>
      </c>
      <c r="W59" s="975">
        <f>집계표!W35/365</f>
        <v>0</v>
      </c>
      <c r="X59" s="975">
        <f>집계표!X35/365</f>
        <v>0</v>
      </c>
      <c r="Y59" s="975">
        <f>집계표!Y35/365</f>
        <v>0</v>
      </c>
      <c r="Z59" s="975">
        <f>집계표!Z35/365</f>
        <v>0</v>
      </c>
    </row>
    <row r="60" spans="1:26">
      <c r="A60" s="2252"/>
      <c r="B60" s="973" t="s">
        <v>1443</v>
      </c>
      <c r="C60" s="974">
        <f t="shared" si="27"/>
        <v>0</v>
      </c>
      <c r="D60" s="974">
        <f t="shared" si="29"/>
        <v>0</v>
      </c>
      <c r="E60" s="974">
        <f t="shared" si="32"/>
        <v>0</v>
      </c>
      <c r="F60" s="975">
        <f>집계표!F36/365</f>
        <v>0</v>
      </c>
      <c r="G60" s="975">
        <f>집계표!G36/365</f>
        <v>0</v>
      </c>
      <c r="H60" s="975">
        <f>집계표!H36/365</f>
        <v>0</v>
      </c>
      <c r="I60" s="975">
        <f>집계표!I36/365</f>
        <v>0</v>
      </c>
      <c r="J60" s="975">
        <f>집계표!J36/365</f>
        <v>0</v>
      </c>
      <c r="K60" s="975">
        <f>집계표!K36/365</f>
        <v>0</v>
      </c>
      <c r="L60" s="975">
        <f>집계표!L36/365</f>
        <v>0</v>
      </c>
      <c r="M60" s="975">
        <f>집계표!M36/365</f>
        <v>0</v>
      </c>
      <c r="N60" s="975">
        <f>집계표!N36/365</f>
        <v>0</v>
      </c>
      <c r="O60" s="974">
        <f t="shared" si="28"/>
        <v>0</v>
      </c>
      <c r="P60" s="974">
        <f t="shared" si="30"/>
        <v>0</v>
      </c>
      <c r="Q60" s="974">
        <f t="shared" si="31"/>
        <v>0</v>
      </c>
      <c r="R60" s="975">
        <f>집계표!R36/365</f>
        <v>0</v>
      </c>
      <c r="S60" s="975">
        <f>집계표!S36/365</f>
        <v>0</v>
      </c>
      <c r="T60" s="975">
        <f>집계표!T36/365</f>
        <v>0</v>
      </c>
      <c r="U60" s="975">
        <f>집계표!U36/365</f>
        <v>0</v>
      </c>
      <c r="V60" s="975">
        <f>집계표!V36/365</f>
        <v>0</v>
      </c>
      <c r="W60" s="975">
        <f>집계표!W36/365</f>
        <v>0</v>
      </c>
      <c r="X60" s="975">
        <f>집계표!X36/365</f>
        <v>0</v>
      </c>
      <c r="Y60" s="975">
        <f>집계표!Y36/365</f>
        <v>0</v>
      </c>
      <c r="Z60" s="975">
        <f>집계표!Z36/365</f>
        <v>0</v>
      </c>
    </row>
    <row r="61" spans="1:26">
      <c r="A61" s="2252"/>
      <c r="B61" s="973" t="s">
        <v>1450</v>
      </c>
      <c r="C61" s="974">
        <f t="shared" si="27"/>
        <v>315715</v>
      </c>
      <c r="D61" s="974">
        <f t="shared" si="29"/>
        <v>864.97260273972597</v>
      </c>
      <c r="E61" s="974">
        <f t="shared" si="32"/>
        <v>864.97260273972597</v>
      </c>
      <c r="F61" s="975">
        <f>집계표!F37/365</f>
        <v>148.44383561643835</v>
      </c>
      <c r="G61" s="975">
        <f>집계표!G37/365</f>
        <v>90.964383561643842</v>
      </c>
      <c r="H61" s="975">
        <f>집계표!H37/365</f>
        <v>11.147945205479452</v>
      </c>
      <c r="I61" s="975">
        <f>집계표!I37/365</f>
        <v>14.542465753424658</v>
      </c>
      <c r="J61" s="975">
        <f>집계표!J37/365</f>
        <v>9.9972602739726035</v>
      </c>
      <c r="K61" s="975">
        <f>집계표!K37/365</f>
        <v>111.41643835616438</v>
      </c>
      <c r="L61" s="975">
        <f>집계표!L37/365</f>
        <v>31.095890410958905</v>
      </c>
      <c r="M61" s="975">
        <f>집계표!M37/365</f>
        <v>265.30136986301369</v>
      </c>
      <c r="N61" s="975">
        <f>집계표!N37/365</f>
        <v>182.06301369863013</v>
      </c>
      <c r="O61" s="974">
        <f t="shared" si="28"/>
        <v>38117.999999999993</v>
      </c>
      <c r="P61" s="974">
        <f t="shared" si="30"/>
        <v>104.43287671232875</v>
      </c>
      <c r="Q61" s="974">
        <f t="shared" si="31"/>
        <v>52.216438356164382</v>
      </c>
      <c r="R61" s="975">
        <f>집계표!R37/365</f>
        <v>21.452054794520549</v>
      </c>
      <c r="S61" s="975">
        <f>집계표!S37/365</f>
        <v>29.728767123287671</v>
      </c>
      <c r="T61" s="975">
        <f>집계표!T37/365</f>
        <v>0</v>
      </c>
      <c r="U61" s="975">
        <f>집계표!U37/365</f>
        <v>0</v>
      </c>
      <c r="V61" s="975">
        <f>집계표!V37/365</f>
        <v>0</v>
      </c>
      <c r="W61" s="975">
        <f>집계표!W37/365</f>
        <v>0</v>
      </c>
      <c r="X61" s="975">
        <f>집계표!X37/365</f>
        <v>0</v>
      </c>
      <c r="Y61" s="975">
        <f>집계표!Y37/365</f>
        <v>0</v>
      </c>
      <c r="Z61" s="975">
        <f>집계표!Z37/365</f>
        <v>1.0356164383561643</v>
      </c>
    </row>
    <row r="62" spans="1:26">
      <c r="A62" s="2252"/>
      <c r="B62" s="973" t="s">
        <v>1451</v>
      </c>
      <c r="C62" s="974">
        <f t="shared" si="27"/>
        <v>1066278</v>
      </c>
      <c r="D62" s="974">
        <f t="shared" si="29"/>
        <v>2921.3095890410959</v>
      </c>
      <c r="E62" s="974">
        <f t="shared" si="32"/>
        <v>2921.3095890410959</v>
      </c>
      <c r="F62" s="975">
        <f>집계표!F38/365</f>
        <v>611.96986301369861</v>
      </c>
      <c r="G62" s="975">
        <f>집계표!G38/365</f>
        <v>845.61095890410957</v>
      </c>
      <c r="H62" s="975">
        <f>집계표!H38/365</f>
        <v>29.961643835616439</v>
      </c>
      <c r="I62" s="975">
        <f>집계표!I38/365</f>
        <v>31.17808219178082</v>
      </c>
      <c r="J62" s="975">
        <f>집계표!J38/365</f>
        <v>41.235616438356168</v>
      </c>
      <c r="K62" s="975">
        <f>집계표!K38/365</f>
        <v>483.8986301369863</v>
      </c>
      <c r="L62" s="975">
        <f>집계표!L38/365</f>
        <v>206.64657534246575</v>
      </c>
      <c r="M62" s="975">
        <f>집계표!M38/365</f>
        <v>342.86575342465756</v>
      </c>
      <c r="N62" s="975">
        <f>집계표!N38/365</f>
        <v>327.94246575342464</v>
      </c>
      <c r="O62" s="974">
        <f t="shared" si="28"/>
        <v>266190</v>
      </c>
      <c r="P62" s="974">
        <f t="shared" si="30"/>
        <v>729.28767123287673</v>
      </c>
      <c r="Q62" s="974">
        <f t="shared" si="31"/>
        <v>364.64383561643842</v>
      </c>
      <c r="R62" s="975">
        <f>집계표!R38/365</f>
        <v>134.96712328767123</v>
      </c>
      <c r="S62" s="975">
        <f>집계표!S38/365</f>
        <v>160.55616438356165</v>
      </c>
      <c r="T62" s="975">
        <f>집계표!T38/365</f>
        <v>0</v>
      </c>
      <c r="U62" s="975">
        <f>집계표!U38/365</f>
        <v>0</v>
      </c>
      <c r="V62" s="975">
        <f>집계표!V38/365</f>
        <v>0</v>
      </c>
      <c r="W62" s="975">
        <f>집계표!W38/365</f>
        <v>17.416438356164385</v>
      </c>
      <c r="X62" s="975">
        <f>집계표!X38/365</f>
        <v>8.9205479452054792</v>
      </c>
      <c r="Y62" s="975">
        <f>집계표!Y38/365</f>
        <v>7.0410958904109586</v>
      </c>
      <c r="Z62" s="975">
        <f>집계표!Z38/365</f>
        <v>35.742465753424661</v>
      </c>
    </row>
    <row r="63" spans="1:26">
      <c r="A63" s="2252"/>
      <c r="B63" s="973" t="s">
        <v>1446</v>
      </c>
      <c r="C63" s="974">
        <f t="shared" si="27"/>
        <v>180054</v>
      </c>
      <c r="D63" s="974">
        <f t="shared" si="29"/>
        <v>493.29863013698633</v>
      </c>
      <c r="E63" s="974">
        <f t="shared" si="32"/>
        <v>493.29863013698633</v>
      </c>
      <c r="F63" s="975">
        <f>집계표!F39/365</f>
        <v>109.12054794520547</v>
      </c>
      <c r="G63" s="975">
        <f>집계표!G39/365</f>
        <v>108.18082191780822</v>
      </c>
      <c r="H63" s="975">
        <f>집계표!H39/365</f>
        <v>17.347945205479451</v>
      </c>
      <c r="I63" s="975">
        <f>집계표!I39/365</f>
        <v>94.202739726027403</v>
      </c>
      <c r="J63" s="975">
        <f>집계표!J39/365</f>
        <v>5.6191780821917812</v>
      </c>
      <c r="K63" s="975">
        <f>집계표!K39/365</f>
        <v>51.726027397260275</v>
      </c>
      <c r="L63" s="975">
        <f>집계표!L39/365</f>
        <v>25.194520547945206</v>
      </c>
      <c r="M63" s="975">
        <f>집계표!M39/365</f>
        <v>27.473972602739725</v>
      </c>
      <c r="N63" s="975">
        <f>집계표!N39/365</f>
        <v>54.43287671232877</v>
      </c>
      <c r="O63" s="974">
        <f t="shared" si="28"/>
        <v>0</v>
      </c>
      <c r="P63" s="974">
        <f t="shared" si="30"/>
        <v>0</v>
      </c>
      <c r="Q63" s="974">
        <f t="shared" si="31"/>
        <v>0</v>
      </c>
      <c r="R63" s="975">
        <f>집계표!R39/365</f>
        <v>0</v>
      </c>
      <c r="S63" s="975">
        <f>집계표!S39/365</f>
        <v>0</v>
      </c>
      <c r="T63" s="975">
        <f>집계표!T39/365</f>
        <v>0</v>
      </c>
      <c r="U63" s="975">
        <f>집계표!U39/365</f>
        <v>0</v>
      </c>
      <c r="V63" s="975">
        <f>집계표!V39/365</f>
        <v>0</v>
      </c>
      <c r="W63" s="975">
        <f>집계표!W39/365</f>
        <v>0</v>
      </c>
      <c r="X63" s="975">
        <f>집계표!X39/365</f>
        <v>0</v>
      </c>
      <c r="Y63" s="975">
        <f>집계표!Y39/365</f>
        <v>0</v>
      </c>
      <c r="Z63" s="975">
        <f>집계표!Z39/365</f>
        <v>0</v>
      </c>
    </row>
    <row r="64" spans="1:26">
      <c r="A64" s="2252"/>
      <c r="B64" s="973" t="s">
        <v>1427</v>
      </c>
      <c r="C64" s="974">
        <f t="shared" si="27"/>
        <v>0</v>
      </c>
      <c r="D64" s="974">
        <f t="shared" si="29"/>
        <v>0</v>
      </c>
      <c r="E64" s="974">
        <f t="shared" si="32"/>
        <v>0</v>
      </c>
      <c r="F64" s="975">
        <f>집계표!F40/365</f>
        <v>0</v>
      </c>
      <c r="G64" s="975">
        <f>집계표!G40/365</f>
        <v>0</v>
      </c>
      <c r="H64" s="975">
        <f>집계표!H40/365</f>
        <v>0</v>
      </c>
      <c r="I64" s="975">
        <f>집계표!I40/365</f>
        <v>0</v>
      </c>
      <c r="J64" s="975">
        <f>집계표!J40/365</f>
        <v>0</v>
      </c>
      <c r="K64" s="975">
        <f>집계표!K40/365</f>
        <v>0</v>
      </c>
      <c r="L64" s="975">
        <f>집계표!L40/365</f>
        <v>0</v>
      </c>
      <c r="M64" s="975">
        <f>집계표!M40/365</f>
        <v>0</v>
      </c>
      <c r="N64" s="975">
        <f>집계표!N40/365</f>
        <v>0</v>
      </c>
      <c r="O64" s="974">
        <f t="shared" si="28"/>
        <v>0</v>
      </c>
      <c r="P64" s="974">
        <f t="shared" si="30"/>
        <v>0</v>
      </c>
      <c r="Q64" s="974">
        <f t="shared" si="31"/>
        <v>0</v>
      </c>
      <c r="R64" s="975">
        <f>집계표!R40/365</f>
        <v>0</v>
      </c>
      <c r="S64" s="975">
        <f>집계표!S40/365</f>
        <v>0</v>
      </c>
      <c r="T64" s="975">
        <f>집계표!T40/365</f>
        <v>0</v>
      </c>
      <c r="U64" s="975">
        <f>집계표!U40/365</f>
        <v>0</v>
      </c>
      <c r="V64" s="975">
        <f>집계표!V40/365</f>
        <v>0</v>
      </c>
      <c r="W64" s="975">
        <f>집계표!W40/365</f>
        <v>0</v>
      </c>
      <c r="X64" s="975">
        <f>집계표!X40/365</f>
        <v>0</v>
      </c>
      <c r="Y64" s="975">
        <f>집계표!Y40/365</f>
        <v>0</v>
      </c>
      <c r="Z64" s="975">
        <f>집계표!Z40/365</f>
        <v>0</v>
      </c>
    </row>
    <row r="65" spans="1:26">
      <c r="A65" s="2252" t="s">
        <v>1457</v>
      </c>
      <c r="B65" s="968" t="s">
        <v>1458</v>
      </c>
      <c r="C65" s="969">
        <f t="shared" ref="C65:Z65" si="33">SUM(C66:C76)</f>
        <v>6860965.9999999991</v>
      </c>
      <c r="D65" s="969">
        <f t="shared" si="33"/>
        <v>18797.167123287669</v>
      </c>
      <c r="E65" s="970">
        <f t="shared" si="33"/>
        <v>18797.167123287669</v>
      </c>
      <c r="F65" s="970">
        <f t="shared" si="33"/>
        <v>3912.3287671232874</v>
      </c>
      <c r="G65" s="970">
        <f t="shared" si="33"/>
        <v>4529.3589041095893</v>
      </c>
      <c r="H65" s="970">
        <f t="shared" si="33"/>
        <v>407.0904109589041</v>
      </c>
      <c r="I65" s="970">
        <f t="shared" si="33"/>
        <v>447.58082191780824</v>
      </c>
      <c r="J65" s="970">
        <f t="shared" si="33"/>
        <v>851.75616438356167</v>
      </c>
      <c r="K65" s="970">
        <f t="shared" si="33"/>
        <v>3503.6739726027399</v>
      </c>
      <c r="L65" s="970">
        <f t="shared" si="33"/>
        <v>1465.0136986301368</v>
      </c>
      <c r="M65" s="970">
        <f t="shared" si="33"/>
        <v>1309.5671232876712</v>
      </c>
      <c r="N65" s="970">
        <f t="shared" si="33"/>
        <v>2370.7972602739728</v>
      </c>
      <c r="O65" s="969">
        <f t="shared" si="33"/>
        <v>939510.00000000012</v>
      </c>
      <c r="P65" s="971">
        <f t="shared" si="33"/>
        <v>2574</v>
      </c>
      <c r="Q65" s="972">
        <f t="shared" si="33"/>
        <v>1287</v>
      </c>
      <c r="R65" s="972">
        <f t="shared" si="33"/>
        <v>403.14246575342463</v>
      </c>
      <c r="S65" s="972">
        <f t="shared" si="33"/>
        <v>509.24931506849316</v>
      </c>
      <c r="T65" s="972">
        <f t="shared" si="33"/>
        <v>0</v>
      </c>
      <c r="U65" s="972">
        <f t="shared" si="33"/>
        <v>0</v>
      </c>
      <c r="V65" s="972">
        <f t="shared" si="33"/>
        <v>0</v>
      </c>
      <c r="W65" s="972">
        <f t="shared" si="33"/>
        <v>186.08493150684933</v>
      </c>
      <c r="X65" s="972">
        <f t="shared" si="33"/>
        <v>11.753424657534246</v>
      </c>
      <c r="Y65" s="972">
        <f t="shared" si="33"/>
        <v>19.600000000000001</v>
      </c>
      <c r="Z65" s="972">
        <f t="shared" si="33"/>
        <v>157.16986301369863</v>
      </c>
    </row>
    <row r="66" spans="1:26">
      <c r="A66" s="2252"/>
      <c r="B66" s="973" t="s">
        <v>1459</v>
      </c>
      <c r="C66" s="974">
        <f t="shared" ref="C66:C76" si="34">+D66*365</f>
        <v>5145928.9999999991</v>
      </c>
      <c r="D66" s="974">
        <f>+E66</f>
        <v>14098.435616438353</v>
      </c>
      <c r="E66" s="974">
        <f>SUM(F66:N66)</f>
        <v>14098.435616438353</v>
      </c>
      <c r="F66" s="975">
        <f>집계표!F42/365</f>
        <v>3009.7068493150687</v>
      </c>
      <c r="G66" s="975">
        <f>집계표!G42/365</f>
        <v>3340.608219178082</v>
      </c>
      <c r="H66" s="975">
        <f>집계표!H42/365</f>
        <v>353.00273972602741</v>
      </c>
      <c r="I66" s="975">
        <f>집계표!I42/365</f>
        <v>307.62739726027399</v>
      </c>
      <c r="J66" s="975">
        <f>집계표!J42/365</f>
        <v>646.96712328767126</v>
      </c>
      <c r="K66" s="975">
        <f>집계표!K42/365</f>
        <v>2813.4410958904109</v>
      </c>
      <c r="L66" s="975">
        <f>집계표!L42/365</f>
        <v>1181.5698630136985</v>
      </c>
      <c r="M66" s="975">
        <f>집계표!M42/365</f>
        <v>671.05205479452059</v>
      </c>
      <c r="N66" s="975">
        <f>집계표!N42/365</f>
        <v>1774.4602739726026</v>
      </c>
      <c r="O66" s="974">
        <f t="shared" ref="O66:O76" si="35">+P66*365</f>
        <v>329672.00000000006</v>
      </c>
      <c r="P66" s="974">
        <f>SUM(Q66:Z66)</f>
        <v>903.2109589041097</v>
      </c>
      <c r="Q66" s="974">
        <f>SUM(R66:Z66)</f>
        <v>451.60547945205479</v>
      </c>
      <c r="R66" s="975">
        <f>집계표!R42/365</f>
        <v>121.61095890410959</v>
      </c>
      <c r="S66" s="975">
        <f>집계표!S42/365</f>
        <v>171.52054794520549</v>
      </c>
      <c r="T66" s="975">
        <f>집계표!T42/365</f>
        <v>0</v>
      </c>
      <c r="U66" s="975">
        <f>집계표!U42/365</f>
        <v>0</v>
      </c>
      <c r="V66" s="975">
        <f>집계표!V42/365</f>
        <v>0</v>
      </c>
      <c r="W66" s="975">
        <f>집계표!W42/365</f>
        <v>96.241095890410961</v>
      </c>
      <c r="X66" s="975">
        <f>집계표!X42/365</f>
        <v>4.4301369863013695</v>
      </c>
      <c r="Y66" s="975">
        <f>집계표!Y42/365</f>
        <v>11.024657534246575</v>
      </c>
      <c r="Z66" s="975">
        <f>집계표!Z42/365</f>
        <v>46.778082191780825</v>
      </c>
    </row>
    <row r="67" spans="1:26">
      <c r="A67" s="2252"/>
      <c r="B67" s="973" t="s">
        <v>1449</v>
      </c>
      <c r="C67" s="974">
        <f t="shared" si="34"/>
        <v>0</v>
      </c>
      <c r="D67" s="974">
        <f t="shared" ref="D67:D76" si="36">+E67</f>
        <v>0</v>
      </c>
      <c r="E67" s="974">
        <f>SUM(F67:N67)</f>
        <v>0</v>
      </c>
      <c r="F67" s="975">
        <f>집계표!F43/365</f>
        <v>0</v>
      </c>
      <c r="G67" s="975">
        <f>집계표!G43/365</f>
        <v>0</v>
      </c>
      <c r="H67" s="975">
        <f>집계표!H43/365</f>
        <v>0</v>
      </c>
      <c r="I67" s="975">
        <f>집계표!I43/365</f>
        <v>0</v>
      </c>
      <c r="J67" s="975">
        <f>집계표!J43/365</f>
        <v>0</v>
      </c>
      <c r="K67" s="975">
        <f>집계표!K43/365</f>
        <v>0</v>
      </c>
      <c r="L67" s="975">
        <f>집계표!L43/365</f>
        <v>0</v>
      </c>
      <c r="M67" s="975">
        <f>집계표!M43/365</f>
        <v>0</v>
      </c>
      <c r="N67" s="975">
        <f>집계표!N43/365</f>
        <v>0</v>
      </c>
      <c r="O67" s="974">
        <f t="shared" si="35"/>
        <v>0</v>
      </c>
      <c r="P67" s="974">
        <f t="shared" ref="P67:P76" si="37">SUM(Q67:Z67)</f>
        <v>0</v>
      </c>
      <c r="Q67" s="974">
        <f t="shared" ref="Q67:Q76" si="38">SUM(R67:Z67)</f>
        <v>0</v>
      </c>
      <c r="R67" s="975">
        <f>집계표!R43/365</f>
        <v>0</v>
      </c>
      <c r="S67" s="975">
        <f>집계표!S43/365</f>
        <v>0</v>
      </c>
      <c r="T67" s="975">
        <f>집계표!T43/365</f>
        <v>0</v>
      </c>
      <c r="U67" s="975">
        <f>집계표!U43/365</f>
        <v>0</v>
      </c>
      <c r="V67" s="975">
        <f>집계표!V43/365</f>
        <v>0</v>
      </c>
      <c r="W67" s="975">
        <f>집계표!W43/365</f>
        <v>0</v>
      </c>
      <c r="X67" s="975">
        <f>집계표!X43/365</f>
        <v>0</v>
      </c>
      <c r="Y67" s="975">
        <f>집계표!Y43/365</f>
        <v>0</v>
      </c>
      <c r="Z67" s="975">
        <f>집계표!Z43/365</f>
        <v>0</v>
      </c>
    </row>
    <row r="68" spans="1:26" s="976" customFormat="1">
      <c r="A68" s="2252"/>
      <c r="B68" s="973" t="s">
        <v>1439</v>
      </c>
      <c r="C68" s="974">
        <f t="shared" si="34"/>
        <v>29550.000000000007</v>
      </c>
      <c r="D68" s="974">
        <f t="shared" si="36"/>
        <v>80.958904109589056</v>
      </c>
      <c r="E68" s="974">
        <f>SUM(F68:N68)</f>
        <v>80.958904109589056</v>
      </c>
      <c r="F68" s="975">
        <f>집계표!F44/365</f>
        <v>75.161643835616445</v>
      </c>
      <c r="G68" s="975">
        <f>집계표!G44/365</f>
        <v>3.1150684931506851</v>
      </c>
      <c r="H68" s="975">
        <f>집계표!H44/365</f>
        <v>0</v>
      </c>
      <c r="I68" s="975">
        <f>집계표!I44/365</f>
        <v>0</v>
      </c>
      <c r="J68" s="975">
        <f>집계표!J44/365</f>
        <v>0</v>
      </c>
      <c r="K68" s="975">
        <f>집계표!K44/365</f>
        <v>2.6821917808219178</v>
      </c>
      <c r="L68" s="975">
        <f>집계표!L44/365</f>
        <v>0</v>
      </c>
      <c r="M68" s="975">
        <f>집계표!M44/365</f>
        <v>0</v>
      </c>
      <c r="N68" s="975">
        <f>집계표!N44/365</f>
        <v>0</v>
      </c>
      <c r="O68" s="974">
        <f t="shared" si="35"/>
        <v>13819.999999999998</v>
      </c>
      <c r="P68" s="974">
        <f t="shared" si="37"/>
        <v>37.863013698630134</v>
      </c>
      <c r="Q68" s="974">
        <f t="shared" si="38"/>
        <v>18.931506849315067</v>
      </c>
      <c r="R68" s="975">
        <f>집계표!R44/365</f>
        <v>0</v>
      </c>
      <c r="S68" s="975">
        <f>집계표!S44/365</f>
        <v>0</v>
      </c>
      <c r="T68" s="975">
        <f>집계표!T44/365</f>
        <v>0</v>
      </c>
      <c r="U68" s="975">
        <f>집계표!U44/365</f>
        <v>0</v>
      </c>
      <c r="V68" s="975">
        <f>집계표!V44/365</f>
        <v>0</v>
      </c>
      <c r="W68" s="975">
        <f>집계표!W44/365</f>
        <v>18.931506849315067</v>
      </c>
      <c r="X68" s="975">
        <f>집계표!X44/365</f>
        <v>0</v>
      </c>
      <c r="Y68" s="975">
        <f>집계표!Y44/365</f>
        <v>0</v>
      </c>
      <c r="Z68" s="975">
        <f>집계표!Z44/365</f>
        <v>0</v>
      </c>
    </row>
    <row r="69" spans="1:26">
      <c r="A69" s="2252"/>
      <c r="B69" s="973" t="s">
        <v>1460</v>
      </c>
      <c r="C69" s="974">
        <f t="shared" si="34"/>
        <v>30579</v>
      </c>
      <c r="D69" s="974">
        <f t="shared" si="36"/>
        <v>83.778082191780825</v>
      </c>
      <c r="E69" s="974">
        <f t="shared" ref="E69:E76" si="39">SUM(F69:N69)</f>
        <v>83.778082191780825</v>
      </c>
      <c r="F69" s="975">
        <f>집계표!F45/365</f>
        <v>17.545205479452054</v>
      </c>
      <c r="G69" s="975">
        <f>집계표!G45/365</f>
        <v>22.326027397260273</v>
      </c>
      <c r="H69" s="975">
        <f>집계표!H45/365</f>
        <v>0</v>
      </c>
      <c r="I69" s="975">
        <f>집계표!I45/365</f>
        <v>1.8054794520547945</v>
      </c>
      <c r="J69" s="975">
        <f>집계표!J45/365</f>
        <v>1.6767123287671233</v>
      </c>
      <c r="K69" s="975">
        <f>집계표!K45/365</f>
        <v>12.846575342465753</v>
      </c>
      <c r="L69" s="975">
        <f>집계표!L45/365</f>
        <v>4.7232876712328764</v>
      </c>
      <c r="M69" s="975">
        <f>집계표!M45/365</f>
        <v>4.2739726027397262</v>
      </c>
      <c r="N69" s="975">
        <f>집계표!N45/365</f>
        <v>18.580821917808219</v>
      </c>
      <c r="O69" s="974">
        <f t="shared" si="35"/>
        <v>0</v>
      </c>
      <c r="P69" s="974">
        <f t="shared" si="37"/>
        <v>0</v>
      </c>
      <c r="Q69" s="974">
        <f t="shared" si="38"/>
        <v>0</v>
      </c>
      <c r="R69" s="975">
        <f>집계표!R45/365</f>
        <v>0</v>
      </c>
      <c r="S69" s="975">
        <f>집계표!S45/365</f>
        <v>0</v>
      </c>
      <c r="T69" s="975">
        <f>집계표!T45/365</f>
        <v>0</v>
      </c>
      <c r="U69" s="975">
        <f>집계표!U45/365</f>
        <v>0</v>
      </c>
      <c r="V69" s="975">
        <f>집계표!V45/365</f>
        <v>0</v>
      </c>
      <c r="W69" s="975">
        <f>집계표!W45/365</f>
        <v>0</v>
      </c>
      <c r="X69" s="975">
        <f>집계표!X45/365</f>
        <v>0</v>
      </c>
      <c r="Y69" s="975">
        <f>집계표!Y45/365</f>
        <v>0</v>
      </c>
      <c r="Z69" s="975">
        <f>집계표!Z45/365</f>
        <v>0</v>
      </c>
    </row>
    <row r="70" spans="1:26">
      <c r="A70" s="2252"/>
      <c r="B70" s="973" t="s">
        <v>1441</v>
      </c>
      <c r="C70" s="974">
        <f t="shared" si="34"/>
        <v>21</v>
      </c>
      <c r="D70" s="974">
        <f t="shared" si="36"/>
        <v>5.7534246575342465E-2</v>
      </c>
      <c r="E70" s="974">
        <f t="shared" si="39"/>
        <v>5.7534246575342465E-2</v>
      </c>
      <c r="F70" s="975">
        <f>집계표!F46/365</f>
        <v>0</v>
      </c>
      <c r="G70" s="975">
        <f>집계표!G46/365</f>
        <v>5.7534246575342465E-2</v>
      </c>
      <c r="H70" s="975">
        <f>집계표!H46/365</f>
        <v>0</v>
      </c>
      <c r="I70" s="975">
        <f>집계표!I46/365</f>
        <v>0</v>
      </c>
      <c r="J70" s="975">
        <f>집계표!J46/365</f>
        <v>0</v>
      </c>
      <c r="K70" s="975">
        <f>집계표!K46/365</f>
        <v>0</v>
      </c>
      <c r="L70" s="975">
        <f>집계표!L46/365</f>
        <v>0</v>
      </c>
      <c r="M70" s="975">
        <f>집계표!M46/365</f>
        <v>0</v>
      </c>
      <c r="N70" s="975">
        <f>집계표!N46/365</f>
        <v>0</v>
      </c>
      <c r="O70" s="974">
        <f t="shared" si="35"/>
        <v>340816.00000000006</v>
      </c>
      <c r="P70" s="974">
        <f t="shared" si="37"/>
        <v>933.74246575342477</v>
      </c>
      <c r="Q70" s="974">
        <f t="shared" si="38"/>
        <v>466.87123287671233</v>
      </c>
      <c r="R70" s="975">
        <f>집계표!R46/365</f>
        <v>169.24931506849316</v>
      </c>
      <c r="S70" s="975">
        <f>집계표!S46/365</f>
        <v>172.56986301369864</v>
      </c>
      <c r="T70" s="975">
        <f>집계표!T46/365</f>
        <v>0</v>
      </c>
      <c r="U70" s="975">
        <f>집계표!U46/365</f>
        <v>0</v>
      </c>
      <c r="V70" s="975">
        <f>집계표!V46/365</f>
        <v>0</v>
      </c>
      <c r="W70" s="975">
        <f>집계표!W46/365</f>
        <v>55.484931506849314</v>
      </c>
      <c r="X70" s="975">
        <f>집계표!X46/365</f>
        <v>0</v>
      </c>
      <c r="Y70" s="975">
        <f>집계표!Y46/365</f>
        <v>0</v>
      </c>
      <c r="Z70" s="975">
        <f>집계표!Z46/365</f>
        <v>69.567123287671237</v>
      </c>
    </row>
    <row r="71" spans="1:26">
      <c r="A71" s="2252"/>
      <c r="B71" s="973" t="s">
        <v>1461</v>
      </c>
      <c r="C71" s="974">
        <f t="shared" si="34"/>
        <v>266</v>
      </c>
      <c r="D71" s="974">
        <f t="shared" si="36"/>
        <v>0.72876712328767124</v>
      </c>
      <c r="E71" s="974">
        <f t="shared" si="39"/>
        <v>0.72876712328767124</v>
      </c>
      <c r="F71" s="975">
        <f>집계표!F47/365</f>
        <v>0.72876712328767124</v>
      </c>
      <c r="G71" s="975">
        <f>집계표!G47/365</f>
        <v>0</v>
      </c>
      <c r="H71" s="975">
        <f>집계표!H47/365</f>
        <v>0</v>
      </c>
      <c r="I71" s="975">
        <f>집계표!I47/365</f>
        <v>0</v>
      </c>
      <c r="J71" s="975">
        <f>집계표!J47/365</f>
        <v>0</v>
      </c>
      <c r="K71" s="975">
        <f>집계표!K47/365</f>
        <v>0</v>
      </c>
      <c r="L71" s="975">
        <f>집계표!L47/365</f>
        <v>0</v>
      </c>
      <c r="M71" s="975">
        <f>집계표!M47/365</f>
        <v>0</v>
      </c>
      <c r="N71" s="975">
        <f>집계표!N47/365</f>
        <v>0</v>
      </c>
      <c r="O71" s="974">
        <f t="shared" si="35"/>
        <v>0</v>
      </c>
      <c r="P71" s="974">
        <f t="shared" si="37"/>
        <v>0</v>
      </c>
      <c r="Q71" s="974">
        <f t="shared" si="38"/>
        <v>0</v>
      </c>
      <c r="R71" s="975">
        <f>집계표!R47/365</f>
        <v>0</v>
      </c>
      <c r="S71" s="975">
        <f>집계표!S47/365</f>
        <v>0</v>
      </c>
      <c r="T71" s="975">
        <f>집계표!T47/365</f>
        <v>0</v>
      </c>
      <c r="U71" s="975">
        <f>집계표!U47/365</f>
        <v>0</v>
      </c>
      <c r="V71" s="975">
        <f>집계표!V47/365</f>
        <v>0</v>
      </c>
      <c r="W71" s="975">
        <f>집계표!W47/365</f>
        <v>0</v>
      </c>
      <c r="X71" s="975">
        <f>집계표!X47/365</f>
        <v>0</v>
      </c>
      <c r="Y71" s="975">
        <f>집계표!Y47/365</f>
        <v>0</v>
      </c>
      <c r="Z71" s="975">
        <f>집계표!Z47/365</f>
        <v>0</v>
      </c>
    </row>
    <row r="72" spans="1:26">
      <c r="A72" s="2252"/>
      <c r="B72" s="973" t="s">
        <v>1462</v>
      </c>
      <c r="C72" s="974">
        <f t="shared" si="34"/>
        <v>0</v>
      </c>
      <c r="D72" s="974">
        <f t="shared" si="36"/>
        <v>0</v>
      </c>
      <c r="E72" s="974">
        <f t="shared" si="39"/>
        <v>0</v>
      </c>
      <c r="F72" s="975">
        <f>집계표!F48/365</f>
        <v>0</v>
      </c>
      <c r="G72" s="975">
        <f>집계표!G48/365</f>
        <v>0</v>
      </c>
      <c r="H72" s="975">
        <f>집계표!H48/365</f>
        <v>0</v>
      </c>
      <c r="I72" s="975">
        <f>집계표!I48/365</f>
        <v>0</v>
      </c>
      <c r="J72" s="975">
        <f>집계표!J48/365</f>
        <v>0</v>
      </c>
      <c r="K72" s="975">
        <f>집계표!K48/365</f>
        <v>0</v>
      </c>
      <c r="L72" s="975">
        <f>집계표!L48/365</f>
        <v>0</v>
      </c>
      <c r="M72" s="975">
        <f>집계표!M48/365</f>
        <v>0</v>
      </c>
      <c r="N72" s="975">
        <f>집계표!N48/365</f>
        <v>0</v>
      </c>
      <c r="O72" s="974">
        <f t="shared" si="35"/>
        <v>0</v>
      </c>
      <c r="P72" s="974">
        <f t="shared" si="37"/>
        <v>0</v>
      </c>
      <c r="Q72" s="974">
        <f t="shared" si="38"/>
        <v>0</v>
      </c>
      <c r="R72" s="975">
        <f>집계표!R48/365</f>
        <v>0</v>
      </c>
      <c r="S72" s="975">
        <f>집계표!S48/365</f>
        <v>0</v>
      </c>
      <c r="T72" s="975">
        <f>집계표!T48/365</f>
        <v>0</v>
      </c>
      <c r="U72" s="975">
        <f>집계표!U48/365</f>
        <v>0</v>
      </c>
      <c r="V72" s="975">
        <f>집계표!V48/365</f>
        <v>0</v>
      </c>
      <c r="W72" s="975">
        <f>집계표!W48/365</f>
        <v>0</v>
      </c>
      <c r="X72" s="975">
        <f>집계표!X48/365</f>
        <v>0</v>
      </c>
      <c r="Y72" s="975">
        <f>집계표!Y48/365</f>
        <v>0</v>
      </c>
      <c r="Z72" s="975">
        <f>집계표!Z48/365</f>
        <v>0</v>
      </c>
    </row>
    <row r="73" spans="1:26">
      <c r="A73" s="2252"/>
      <c r="B73" s="973" t="s">
        <v>1463</v>
      </c>
      <c r="C73" s="974">
        <f t="shared" si="34"/>
        <v>363758</v>
      </c>
      <c r="D73" s="974">
        <f t="shared" si="36"/>
        <v>996.59726027397267</v>
      </c>
      <c r="E73" s="974">
        <f t="shared" si="39"/>
        <v>996.59726027397267</v>
      </c>
      <c r="F73" s="975">
        <f>집계표!F49/365</f>
        <v>129.74246575342465</v>
      </c>
      <c r="G73" s="975">
        <f>집계표!G49/365</f>
        <v>118.03287671232877</v>
      </c>
      <c r="H73" s="975">
        <f>집계표!H49/365</f>
        <v>17.635616438356163</v>
      </c>
      <c r="I73" s="975">
        <f>집계표!I49/365</f>
        <v>17.117808219178084</v>
      </c>
      <c r="J73" s="975">
        <f>집계표!J49/365</f>
        <v>114.46301369863014</v>
      </c>
      <c r="K73" s="975">
        <f>집계표!K49/365</f>
        <v>109.55068493150685</v>
      </c>
      <c r="L73" s="975">
        <f>집계표!L49/365</f>
        <v>24.205479452054796</v>
      </c>
      <c r="M73" s="975">
        <f>집계표!M49/365</f>
        <v>270.26575342465753</v>
      </c>
      <c r="N73" s="975">
        <f>집계표!N49/365</f>
        <v>195.58356164383562</v>
      </c>
      <c r="O73" s="974">
        <f t="shared" si="35"/>
        <v>31342.000000000004</v>
      </c>
      <c r="P73" s="974">
        <f t="shared" si="37"/>
        <v>85.868493150684941</v>
      </c>
      <c r="Q73" s="974">
        <f t="shared" si="38"/>
        <v>42.93424657534247</v>
      </c>
      <c r="R73" s="975">
        <f>집계표!R49/365</f>
        <v>10.717808219178082</v>
      </c>
      <c r="S73" s="975">
        <f>집계표!S49/365</f>
        <v>31.298630136986301</v>
      </c>
      <c r="T73" s="975">
        <f>집계표!T49/365</f>
        <v>0</v>
      </c>
      <c r="U73" s="975">
        <f>집계표!U49/365</f>
        <v>0</v>
      </c>
      <c r="V73" s="975">
        <f>집계표!V49/365</f>
        <v>0</v>
      </c>
      <c r="W73" s="975">
        <f>집계표!W49/365</f>
        <v>0</v>
      </c>
      <c r="X73" s="975">
        <f>집계표!X49/365</f>
        <v>0</v>
      </c>
      <c r="Y73" s="975">
        <f>집계표!Y49/365</f>
        <v>0</v>
      </c>
      <c r="Z73" s="975">
        <f>집계표!Z49/365</f>
        <v>0.9178082191780822</v>
      </c>
    </row>
    <row r="74" spans="1:26">
      <c r="A74" s="2252"/>
      <c r="B74" s="973" t="s">
        <v>1464</v>
      </c>
      <c r="C74" s="974">
        <f t="shared" si="34"/>
        <v>1108676</v>
      </c>
      <c r="D74" s="974">
        <f t="shared" si="36"/>
        <v>3037.4684931506849</v>
      </c>
      <c r="E74" s="974">
        <f t="shared" si="39"/>
        <v>3037.4684931506849</v>
      </c>
      <c r="F74" s="975">
        <f>집계표!F50/365</f>
        <v>570.21917808219177</v>
      </c>
      <c r="G74" s="975">
        <f>집계표!G50/365</f>
        <v>915.37260273972606</v>
      </c>
      <c r="H74" s="975">
        <f>집계표!H50/365</f>
        <v>29.07123287671233</v>
      </c>
      <c r="I74" s="975">
        <f>집계표!I50/365</f>
        <v>30.8</v>
      </c>
      <c r="J74" s="975">
        <f>집계표!J50/365</f>
        <v>80.30684931506849</v>
      </c>
      <c r="K74" s="975">
        <f>집계표!K50/365</f>
        <v>513.09041095890416</v>
      </c>
      <c r="L74" s="975">
        <f>집계표!L50/365</f>
        <v>233.44383561643835</v>
      </c>
      <c r="M74" s="975">
        <f>집계표!M50/365</f>
        <v>342.78904109589041</v>
      </c>
      <c r="N74" s="975">
        <f>집계표!N50/365</f>
        <v>322.37534246575342</v>
      </c>
      <c r="O74" s="974">
        <f t="shared" si="35"/>
        <v>223860</v>
      </c>
      <c r="P74" s="974">
        <f t="shared" si="37"/>
        <v>613.31506849315065</v>
      </c>
      <c r="Q74" s="974">
        <f t="shared" si="38"/>
        <v>306.65753424657532</v>
      </c>
      <c r="R74" s="975">
        <f>집계표!R50/365</f>
        <v>101.56438356164384</v>
      </c>
      <c r="S74" s="975">
        <f>집계표!S50/365</f>
        <v>133.86027397260273</v>
      </c>
      <c r="T74" s="975">
        <f>집계표!T50/365</f>
        <v>0</v>
      </c>
      <c r="U74" s="975">
        <f>집계표!U50/365</f>
        <v>0</v>
      </c>
      <c r="V74" s="975">
        <f>집계표!V50/365</f>
        <v>0</v>
      </c>
      <c r="W74" s="975">
        <f>집계표!W50/365</f>
        <v>15.427397260273972</v>
      </c>
      <c r="X74" s="975">
        <f>집계표!X50/365</f>
        <v>7.3232876712328769</v>
      </c>
      <c r="Y74" s="975">
        <f>집계표!Y50/365</f>
        <v>8.5753424657534243</v>
      </c>
      <c r="Z74" s="975">
        <f>집계표!Z50/365</f>
        <v>39.906849315068492</v>
      </c>
    </row>
    <row r="75" spans="1:26">
      <c r="A75" s="2252"/>
      <c r="B75" s="973" t="s">
        <v>1465</v>
      </c>
      <c r="C75" s="974">
        <f t="shared" si="34"/>
        <v>182187</v>
      </c>
      <c r="D75" s="974">
        <f t="shared" si="36"/>
        <v>499.14246575342463</v>
      </c>
      <c r="E75" s="974">
        <f t="shared" si="39"/>
        <v>499.14246575342463</v>
      </c>
      <c r="F75" s="975">
        <f>집계표!F51/365</f>
        <v>109.22465753424657</v>
      </c>
      <c r="G75" s="975">
        <f>집계표!G51/365</f>
        <v>129.84657534246574</v>
      </c>
      <c r="H75" s="975">
        <f>집계표!H51/365</f>
        <v>7.3808219178082188</v>
      </c>
      <c r="I75" s="975">
        <f>집계표!I51/365</f>
        <v>90.230136986301375</v>
      </c>
      <c r="J75" s="975">
        <f>집계표!J51/365</f>
        <v>8.3424657534246567</v>
      </c>
      <c r="K75" s="975">
        <f>집계표!K51/365</f>
        <v>52.063013698630137</v>
      </c>
      <c r="L75" s="975">
        <f>집계표!L51/365</f>
        <v>21.07123287671233</v>
      </c>
      <c r="M75" s="975">
        <f>집계표!M51/365</f>
        <v>21.186301369863013</v>
      </c>
      <c r="N75" s="975">
        <f>집계표!N51/365</f>
        <v>59.797260273972604</v>
      </c>
      <c r="O75" s="974">
        <f t="shared" si="35"/>
        <v>0</v>
      </c>
      <c r="P75" s="974">
        <f t="shared" si="37"/>
        <v>0</v>
      </c>
      <c r="Q75" s="974">
        <f t="shared" si="38"/>
        <v>0</v>
      </c>
      <c r="R75" s="975">
        <f>집계표!R51/365</f>
        <v>0</v>
      </c>
      <c r="S75" s="975">
        <f>집계표!S51/365</f>
        <v>0</v>
      </c>
      <c r="T75" s="975">
        <f>집계표!T51/365</f>
        <v>0</v>
      </c>
      <c r="U75" s="975">
        <f>집계표!U51/365</f>
        <v>0</v>
      </c>
      <c r="V75" s="975">
        <f>집계표!V51/365</f>
        <v>0</v>
      </c>
      <c r="W75" s="975">
        <f>집계표!W51/365</f>
        <v>0</v>
      </c>
      <c r="X75" s="975">
        <f>집계표!X51/365</f>
        <v>0</v>
      </c>
      <c r="Y75" s="975">
        <f>집계표!Y51/365</f>
        <v>0</v>
      </c>
      <c r="Z75" s="975">
        <f>집계표!Z51/365</f>
        <v>0</v>
      </c>
    </row>
    <row r="76" spans="1:26">
      <c r="A76" s="2252"/>
      <c r="B76" s="973" t="s">
        <v>1466</v>
      </c>
      <c r="C76" s="974">
        <f t="shared" si="34"/>
        <v>0</v>
      </c>
      <c r="D76" s="974">
        <f t="shared" si="36"/>
        <v>0</v>
      </c>
      <c r="E76" s="974">
        <f t="shared" si="39"/>
        <v>0</v>
      </c>
      <c r="F76" s="975">
        <f>집계표!F52/365</f>
        <v>0</v>
      </c>
      <c r="G76" s="975">
        <f>집계표!G52/365</f>
        <v>0</v>
      </c>
      <c r="H76" s="975">
        <f>집계표!H52/365</f>
        <v>0</v>
      </c>
      <c r="I76" s="975">
        <f>집계표!I52/365</f>
        <v>0</v>
      </c>
      <c r="J76" s="975">
        <f>집계표!J52/365</f>
        <v>0</v>
      </c>
      <c r="K76" s="975">
        <f>집계표!K52/365</f>
        <v>0</v>
      </c>
      <c r="L76" s="975">
        <f>집계표!L52/365</f>
        <v>0</v>
      </c>
      <c r="M76" s="975">
        <f>집계표!M52/365</f>
        <v>0</v>
      </c>
      <c r="N76" s="975">
        <f>집계표!N52/365</f>
        <v>0</v>
      </c>
      <c r="O76" s="974">
        <f t="shared" si="35"/>
        <v>0</v>
      </c>
      <c r="P76" s="974">
        <f t="shared" si="37"/>
        <v>0</v>
      </c>
      <c r="Q76" s="974">
        <f t="shared" si="38"/>
        <v>0</v>
      </c>
      <c r="R76" s="975">
        <f>집계표!R52/365</f>
        <v>0</v>
      </c>
      <c r="S76" s="975">
        <f>집계표!S52/365</f>
        <v>0</v>
      </c>
      <c r="T76" s="975">
        <f>집계표!T52/365</f>
        <v>0</v>
      </c>
      <c r="U76" s="975">
        <f>집계표!U52/365</f>
        <v>0</v>
      </c>
      <c r="V76" s="975">
        <f>집계표!V52/365</f>
        <v>0</v>
      </c>
      <c r="W76" s="975">
        <f>집계표!W52/365</f>
        <v>0</v>
      </c>
      <c r="X76" s="975">
        <f>집계표!X52/365</f>
        <v>0</v>
      </c>
      <c r="Y76" s="975">
        <f>집계표!Y52/365</f>
        <v>0</v>
      </c>
      <c r="Z76" s="975">
        <f>집계표!Z52/365</f>
        <v>0</v>
      </c>
    </row>
    <row r="77" spans="1:26">
      <c r="A77" s="2252" t="s">
        <v>940</v>
      </c>
      <c r="B77" s="968" t="s">
        <v>552</v>
      </c>
      <c r="C77" s="969">
        <f t="shared" ref="C77:Z77" si="40">SUM(C78:C88)</f>
        <v>7500261.9999999991</v>
      </c>
      <c r="D77" s="969">
        <f t="shared" si="40"/>
        <v>20548.663013698631</v>
      </c>
      <c r="E77" s="970">
        <f t="shared" si="40"/>
        <v>20548.663013698631</v>
      </c>
      <c r="F77" s="970">
        <f t="shared" si="40"/>
        <v>4132.169863013698</v>
      </c>
      <c r="G77" s="970">
        <f t="shared" si="40"/>
        <v>4845.4958904109599</v>
      </c>
      <c r="H77" s="970">
        <f t="shared" si="40"/>
        <v>410.74794520547948</v>
      </c>
      <c r="I77" s="970">
        <f t="shared" si="40"/>
        <v>510.66027397260274</v>
      </c>
      <c r="J77" s="970">
        <f t="shared" si="40"/>
        <v>1701.0246575342464</v>
      </c>
      <c r="K77" s="970">
        <f t="shared" si="40"/>
        <v>3702.1506849315069</v>
      </c>
      <c r="L77" s="970">
        <f t="shared" si="40"/>
        <v>1603.8630136986303</v>
      </c>
      <c r="M77" s="970">
        <f t="shared" si="40"/>
        <v>1275.4630136986302</v>
      </c>
      <c r="N77" s="970">
        <f t="shared" si="40"/>
        <v>2367.0876712328763</v>
      </c>
      <c r="O77" s="969">
        <f t="shared" si="40"/>
        <v>893492</v>
      </c>
      <c r="P77" s="971">
        <f t="shared" si="40"/>
        <v>2447.9232876712331</v>
      </c>
      <c r="Q77" s="972">
        <f t="shared" si="40"/>
        <v>1223.9616438356165</v>
      </c>
      <c r="R77" s="972">
        <f t="shared" si="40"/>
        <v>370.41095890410963</v>
      </c>
      <c r="S77" s="972">
        <f t="shared" si="40"/>
        <v>512.26027397260282</v>
      </c>
      <c r="T77" s="972">
        <f t="shared" si="40"/>
        <v>0</v>
      </c>
      <c r="U77" s="972">
        <f t="shared" si="40"/>
        <v>0</v>
      </c>
      <c r="V77" s="972">
        <f t="shared" si="40"/>
        <v>0</v>
      </c>
      <c r="W77" s="972">
        <f t="shared" si="40"/>
        <v>128.13424657534247</v>
      </c>
      <c r="X77" s="972">
        <f t="shared" si="40"/>
        <v>10.517808219178082</v>
      </c>
      <c r="Y77" s="972">
        <f t="shared" si="40"/>
        <v>22.545205479452054</v>
      </c>
      <c r="Z77" s="972">
        <f t="shared" si="40"/>
        <v>180.09315068493152</v>
      </c>
    </row>
    <row r="78" spans="1:26">
      <c r="A78" s="2252"/>
      <c r="B78" s="973" t="s">
        <v>1426</v>
      </c>
      <c r="C78" s="974">
        <f t="shared" ref="C78:C88" si="41">+D78*365</f>
        <v>5581631.9999999991</v>
      </c>
      <c r="D78" s="974">
        <f>+E78</f>
        <v>15292.142465753423</v>
      </c>
      <c r="E78" s="974">
        <f>SUM(F78:N78)</f>
        <v>15292.142465753423</v>
      </c>
      <c r="F78" s="975">
        <f>집계표!F54/365</f>
        <v>3151.1917808219177</v>
      </c>
      <c r="G78" s="975">
        <f>집계표!G54/365</f>
        <v>3572.2246575342465</v>
      </c>
      <c r="H78" s="975">
        <f>집계표!H54/365</f>
        <v>353.0219178082192</v>
      </c>
      <c r="I78" s="975">
        <f>집계표!I54/365</f>
        <v>357.42465753424659</v>
      </c>
      <c r="J78" s="975">
        <f>집계표!J54/365</f>
        <v>1308.9205479452055</v>
      </c>
      <c r="K78" s="975">
        <f>집계표!K54/365</f>
        <v>2915.3068493150686</v>
      </c>
      <c r="L78" s="975">
        <f>집계표!L54/365</f>
        <v>1206.8657534246574</v>
      </c>
      <c r="M78" s="975">
        <f>집계표!M54/365</f>
        <v>689.66849315068498</v>
      </c>
      <c r="N78" s="975">
        <f>집계표!N54/365</f>
        <v>1737.5178082191781</v>
      </c>
      <c r="O78" s="974">
        <f t="shared" ref="O78:O88" si="42">+P78*365</f>
        <v>262828</v>
      </c>
      <c r="P78" s="974">
        <f>SUM(Q78:Z78)</f>
        <v>720.07671232876714</v>
      </c>
      <c r="Q78" s="974">
        <f>SUM(R78:Z78)</f>
        <v>360.03835616438357</v>
      </c>
      <c r="R78" s="975">
        <f>집계표!R54/365</f>
        <v>112.61643835616438</v>
      </c>
      <c r="S78" s="975">
        <f>집계표!S54/365</f>
        <v>161.56986301369864</v>
      </c>
      <c r="T78" s="975">
        <f>집계표!T54/365</f>
        <v>0</v>
      </c>
      <c r="U78" s="975">
        <f>집계표!U54/365</f>
        <v>0</v>
      </c>
      <c r="V78" s="975">
        <f>집계표!V54/365</f>
        <v>0</v>
      </c>
      <c r="W78" s="975">
        <f>집계표!W54/365</f>
        <v>26.32054794520548</v>
      </c>
      <c r="X78" s="975">
        <f>집계표!X54/365</f>
        <v>4.1753424657534248</v>
      </c>
      <c r="Y78" s="975">
        <f>집계표!Y54/365</f>
        <v>11.358904109589041</v>
      </c>
      <c r="Z78" s="975">
        <f>집계표!Z54/365</f>
        <v>43.9972602739726</v>
      </c>
    </row>
    <row r="79" spans="1:26">
      <c r="A79" s="2252"/>
      <c r="B79" s="973" t="s">
        <v>1467</v>
      </c>
      <c r="C79" s="974">
        <f t="shared" si="41"/>
        <v>0</v>
      </c>
      <c r="D79" s="974">
        <f t="shared" ref="D79:D88" si="43">+E79</f>
        <v>0</v>
      </c>
      <c r="E79" s="974">
        <f>SUM(F79:N79)</f>
        <v>0</v>
      </c>
      <c r="F79" s="975">
        <f>집계표!F55/365</f>
        <v>0</v>
      </c>
      <c r="G79" s="975">
        <f>집계표!G55/365</f>
        <v>0</v>
      </c>
      <c r="H79" s="975">
        <f>집계표!H55/365</f>
        <v>0</v>
      </c>
      <c r="I79" s="975">
        <f>집계표!I55/365</f>
        <v>0</v>
      </c>
      <c r="J79" s="975">
        <f>집계표!J55/365</f>
        <v>0</v>
      </c>
      <c r="K79" s="975">
        <f>집계표!K55/365</f>
        <v>0</v>
      </c>
      <c r="L79" s="975">
        <f>집계표!L55/365</f>
        <v>0</v>
      </c>
      <c r="M79" s="975">
        <f>집계표!M55/365</f>
        <v>0</v>
      </c>
      <c r="N79" s="975">
        <f>집계표!N55/365</f>
        <v>0</v>
      </c>
      <c r="O79" s="974">
        <f t="shared" si="42"/>
        <v>0</v>
      </c>
      <c r="P79" s="974">
        <f t="shared" ref="P79:P88" si="44">SUM(Q79:Z79)</f>
        <v>0</v>
      </c>
      <c r="Q79" s="974">
        <f t="shared" ref="Q79:Q88" si="45">SUM(R79:Z79)</f>
        <v>0</v>
      </c>
      <c r="R79" s="975">
        <f>집계표!R55/365</f>
        <v>0</v>
      </c>
      <c r="S79" s="975">
        <f>집계표!S55/365</f>
        <v>0</v>
      </c>
      <c r="T79" s="975">
        <f>집계표!T55/365</f>
        <v>0</v>
      </c>
      <c r="U79" s="975">
        <f>집계표!U55/365</f>
        <v>0</v>
      </c>
      <c r="V79" s="975">
        <f>집계표!V55/365</f>
        <v>0</v>
      </c>
      <c r="W79" s="975">
        <f>집계표!W55/365</f>
        <v>0</v>
      </c>
      <c r="X79" s="975">
        <f>집계표!X55/365</f>
        <v>0</v>
      </c>
      <c r="Y79" s="975">
        <f>집계표!Y55/365</f>
        <v>0</v>
      </c>
      <c r="Z79" s="975">
        <f>집계표!Z55/365</f>
        <v>0</v>
      </c>
    </row>
    <row r="80" spans="1:26" s="976" customFormat="1">
      <c r="A80" s="2252"/>
      <c r="B80" s="973" t="s">
        <v>1439</v>
      </c>
      <c r="C80" s="974">
        <f t="shared" si="41"/>
        <v>27680</v>
      </c>
      <c r="D80" s="974">
        <f t="shared" si="43"/>
        <v>75.835616438356169</v>
      </c>
      <c r="E80" s="974">
        <f>SUM(F80:N80)</f>
        <v>75.835616438356169</v>
      </c>
      <c r="F80" s="975">
        <f>집계표!F56/365</f>
        <v>70.569863013698637</v>
      </c>
      <c r="G80" s="975">
        <f>집계표!G56/365</f>
        <v>1.2054794520547945</v>
      </c>
      <c r="H80" s="975">
        <f>집계표!H56/365</f>
        <v>0</v>
      </c>
      <c r="I80" s="975">
        <f>집계표!I56/365</f>
        <v>0</v>
      </c>
      <c r="J80" s="975">
        <f>집계표!J56/365</f>
        <v>0</v>
      </c>
      <c r="K80" s="975">
        <f>집계표!K56/365</f>
        <v>4.0602739726027401</v>
      </c>
      <c r="L80" s="975">
        <f>집계표!L56/365</f>
        <v>0</v>
      </c>
      <c r="M80" s="975">
        <f>집계표!M56/365</f>
        <v>0</v>
      </c>
      <c r="N80" s="975">
        <f>집계표!N56/365</f>
        <v>0</v>
      </c>
      <c r="O80" s="974">
        <f t="shared" si="42"/>
        <v>20682</v>
      </c>
      <c r="P80" s="974">
        <f t="shared" si="44"/>
        <v>56.663013698630138</v>
      </c>
      <c r="Q80" s="974">
        <f t="shared" si="45"/>
        <v>28.331506849315069</v>
      </c>
      <c r="R80" s="975">
        <f>집계표!R56/365</f>
        <v>0</v>
      </c>
      <c r="S80" s="975">
        <f>집계표!S56/365</f>
        <v>0</v>
      </c>
      <c r="T80" s="975">
        <f>집계표!T56/365</f>
        <v>0</v>
      </c>
      <c r="U80" s="975">
        <f>집계표!U56/365</f>
        <v>0</v>
      </c>
      <c r="V80" s="975">
        <f>집계표!V56/365</f>
        <v>0</v>
      </c>
      <c r="W80" s="975">
        <f>집계표!W56/365</f>
        <v>28.331506849315069</v>
      </c>
      <c r="X80" s="975">
        <f>집계표!X56/365</f>
        <v>0</v>
      </c>
      <c r="Y80" s="975">
        <f>집계표!Y56/365</f>
        <v>0</v>
      </c>
      <c r="Z80" s="975">
        <f>집계표!Z56/365</f>
        <v>0</v>
      </c>
    </row>
    <row r="81" spans="1:26">
      <c r="A81" s="2252"/>
      <c r="B81" s="973" t="s">
        <v>1468</v>
      </c>
      <c r="C81" s="974">
        <f t="shared" si="41"/>
        <v>33162</v>
      </c>
      <c r="D81" s="974">
        <f t="shared" si="43"/>
        <v>90.854794520547941</v>
      </c>
      <c r="E81" s="974">
        <f t="shared" ref="E81:E88" si="46">SUM(F81:N81)</f>
        <v>90.854794520547941</v>
      </c>
      <c r="F81" s="975">
        <f>집계표!F57/365</f>
        <v>18.638356164383563</v>
      </c>
      <c r="G81" s="975">
        <f>집계표!G57/365</f>
        <v>23.936986301369863</v>
      </c>
      <c r="H81" s="975">
        <f>집계표!H57/365</f>
        <v>0</v>
      </c>
      <c r="I81" s="975">
        <f>집계표!I57/365</f>
        <v>1.7616438356164383</v>
      </c>
      <c r="J81" s="975">
        <f>집계표!J57/365</f>
        <v>4.279452054794521</v>
      </c>
      <c r="K81" s="975">
        <f>집계표!K57/365</f>
        <v>15.8</v>
      </c>
      <c r="L81" s="975">
        <f>집계표!L57/365</f>
        <v>4.602739726027397</v>
      </c>
      <c r="M81" s="975">
        <f>집계표!M57/365</f>
        <v>4.1753424657534248</v>
      </c>
      <c r="N81" s="975">
        <f>집계표!N57/365</f>
        <v>17.660273972602738</v>
      </c>
      <c r="O81" s="974">
        <f t="shared" si="42"/>
        <v>0</v>
      </c>
      <c r="P81" s="974">
        <f t="shared" si="44"/>
        <v>0</v>
      </c>
      <c r="Q81" s="974">
        <f t="shared" si="45"/>
        <v>0</v>
      </c>
      <c r="R81" s="975">
        <f>집계표!R57/365</f>
        <v>0</v>
      </c>
      <c r="S81" s="975">
        <f>집계표!S57/365</f>
        <v>0</v>
      </c>
      <c r="T81" s="975">
        <f>집계표!T57/365</f>
        <v>0</v>
      </c>
      <c r="U81" s="975">
        <f>집계표!U57/365</f>
        <v>0</v>
      </c>
      <c r="V81" s="975">
        <f>집계표!V57/365</f>
        <v>0</v>
      </c>
      <c r="W81" s="975">
        <f>집계표!W57/365</f>
        <v>0</v>
      </c>
      <c r="X81" s="975">
        <f>집계표!X57/365</f>
        <v>0</v>
      </c>
      <c r="Y81" s="975">
        <f>집계표!Y57/365</f>
        <v>0</v>
      </c>
      <c r="Z81" s="975">
        <f>집계표!Z57/365</f>
        <v>0</v>
      </c>
    </row>
    <row r="82" spans="1:26">
      <c r="A82" s="2252"/>
      <c r="B82" s="973" t="s">
        <v>1441</v>
      </c>
      <c r="C82" s="974">
        <f t="shared" si="41"/>
        <v>8</v>
      </c>
      <c r="D82" s="974">
        <f t="shared" si="43"/>
        <v>2.1917808219178082E-2</v>
      </c>
      <c r="E82" s="974">
        <f t="shared" si="46"/>
        <v>2.1917808219178082E-2</v>
      </c>
      <c r="F82" s="975">
        <f>집계표!F58/365</f>
        <v>0</v>
      </c>
      <c r="G82" s="975">
        <f>집계표!G58/365</f>
        <v>2.1917808219178082E-2</v>
      </c>
      <c r="H82" s="975">
        <f>집계표!H58/365</f>
        <v>0</v>
      </c>
      <c r="I82" s="975">
        <f>집계표!I58/365</f>
        <v>0</v>
      </c>
      <c r="J82" s="975">
        <f>집계표!J58/365</f>
        <v>0</v>
      </c>
      <c r="K82" s="975">
        <f>집계표!K58/365</f>
        <v>0</v>
      </c>
      <c r="L82" s="975">
        <f>집계표!L58/365</f>
        <v>0</v>
      </c>
      <c r="M82" s="975">
        <f>집계표!M58/365</f>
        <v>0</v>
      </c>
      <c r="N82" s="975">
        <f>집계표!N58/365</f>
        <v>0</v>
      </c>
      <c r="O82" s="974">
        <f t="shared" si="42"/>
        <v>372358</v>
      </c>
      <c r="P82" s="974">
        <f t="shared" si="44"/>
        <v>1020.1589041095891</v>
      </c>
      <c r="Q82" s="974">
        <f t="shared" si="45"/>
        <v>510.0794520547945</v>
      </c>
      <c r="R82" s="975">
        <f>집계표!R58/365</f>
        <v>164.24657534246575</v>
      </c>
      <c r="S82" s="975">
        <f>집계표!S58/365</f>
        <v>196.43287671232878</v>
      </c>
      <c r="T82" s="975">
        <f>집계표!T58/365</f>
        <v>0</v>
      </c>
      <c r="U82" s="975">
        <f>집계표!U58/365</f>
        <v>0</v>
      </c>
      <c r="V82" s="975">
        <f>집계표!V58/365</f>
        <v>0</v>
      </c>
      <c r="W82" s="975">
        <f>집계표!W58/365</f>
        <v>57.252054794520546</v>
      </c>
      <c r="X82" s="975">
        <f>집계표!X58/365</f>
        <v>0</v>
      </c>
      <c r="Y82" s="975">
        <f>집계표!Y58/365</f>
        <v>0</v>
      </c>
      <c r="Z82" s="975">
        <f>집계표!Z58/365</f>
        <v>92.147945205479445</v>
      </c>
    </row>
    <row r="83" spans="1:26">
      <c r="A83" s="2252"/>
      <c r="B83" s="973" t="s">
        <v>1469</v>
      </c>
      <c r="C83" s="974">
        <f t="shared" si="41"/>
        <v>112</v>
      </c>
      <c r="D83" s="974">
        <f t="shared" si="43"/>
        <v>0.30684931506849317</v>
      </c>
      <c r="E83" s="974">
        <f t="shared" si="46"/>
        <v>0.30684931506849317</v>
      </c>
      <c r="F83" s="975">
        <f>집계표!F59/365</f>
        <v>0.30684931506849317</v>
      </c>
      <c r="G83" s="975">
        <f>집계표!G59/365</f>
        <v>0</v>
      </c>
      <c r="H83" s="975">
        <f>집계표!H59/365</f>
        <v>0</v>
      </c>
      <c r="I83" s="975">
        <f>집계표!I59/365</f>
        <v>0</v>
      </c>
      <c r="J83" s="975">
        <f>집계표!J59/365</f>
        <v>0</v>
      </c>
      <c r="K83" s="975">
        <f>집계표!K59/365</f>
        <v>0</v>
      </c>
      <c r="L83" s="975">
        <f>집계표!L59/365</f>
        <v>0</v>
      </c>
      <c r="M83" s="975">
        <f>집계표!M59/365</f>
        <v>0</v>
      </c>
      <c r="N83" s="975">
        <f>집계표!N59/365</f>
        <v>0</v>
      </c>
      <c r="O83" s="974">
        <f t="shared" si="42"/>
        <v>0</v>
      </c>
      <c r="P83" s="974">
        <f t="shared" si="44"/>
        <v>0</v>
      </c>
      <c r="Q83" s="974">
        <f t="shared" si="45"/>
        <v>0</v>
      </c>
      <c r="R83" s="975">
        <f>집계표!R59/365</f>
        <v>0</v>
      </c>
      <c r="S83" s="975">
        <f>집계표!S59/365</f>
        <v>0</v>
      </c>
      <c r="T83" s="975">
        <f>집계표!T59/365</f>
        <v>0</v>
      </c>
      <c r="U83" s="975">
        <f>집계표!U59/365</f>
        <v>0</v>
      </c>
      <c r="V83" s="975">
        <f>집계표!V59/365</f>
        <v>0</v>
      </c>
      <c r="W83" s="975">
        <f>집계표!W59/365</f>
        <v>0</v>
      </c>
      <c r="X83" s="975">
        <f>집계표!X59/365</f>
        <v>0</v>
      </c>
      <c r="Y83" s="975">
        <f>집계표!Y59/365</f>
        <v>0</v>
      </c>
      <c r="Z83" s="975">
        <f>집계표!Z59/365</f>
        <v>0</v>
      </c>
    </row>
    <row r="84" spans="1:26">
      <c r="A84" s="2252"/>
      <c r="B84" s="973" t="s">
        <v>1470</v>
      </c>
      <c r="C84" s="974">
        <f t="shared" si="41"/>
        <v>0</v>
      </c>
      <c r="D84" s="974">
        <f t="shared" si="43"/>
        <v>0</v>
      </c>
      <c r="E84" s="974">
        <f t="shared" si="46"/>
        <v>0</v>
      </c>
      <c r="F84" s="975">
        <f>집계표!F60/365</f>
        <v>0</v>
      </c>
      <c r="G84" s="975">
        <f>집계표!G60/365</f>
        <v>0</v>
      </c>
      <c r="H84" s="975">
        <f>집계표!H60/365</f>
        <v>0</v>
      </c>
      <c r="I84" s="975">
        <f>집계표!I60/365</f>
        <v>0</v>
      </c>
      <c r="J84" s="975">
        <f>집계표!J60/365</f>
        <v>0</v>
      </c>
      <c r="K84" s="975">
        <f>집계표!K60/365</f>
        <v>0</v>
      </c>
      <c r="L84" s="975">
        <f>집계표!L60/365</f>
        <v>0</v>
      </c>
      <c r="M84" s="975">
        <f>집계표!M60/365</f>
        <v>0</v>
      </c>
      <c r="N84" s="975">
        <f>집계표!N60/365</f>
        <v>0</v>
      </c>
      <c r="O84" s="974">
        <f t="shared" si="42"/>
        <v>0</v>
      </c>
      <c r="P84" s="974">
        <f t="shared" si="44"/>
        <v>0</v>
      </c>
      <c r="Q84" s="974">
        <f t="shared" si="45"/>
        <v>0</v>
      </c>
      <c r="R84" s="975">
        <f>집계표!R60/365</f>
        <v>0</v>
      </c>
      <c r="S84" s="975">
        <f>집계표!S60/365</f>
        <v>0</v>
      </c>
      <c r="T84" s="975">
        <f>집계표!T60/365</f>
        <v>0</v>
      </c>
      <c r="U84" s="975">
        <f>집계표!U60/365</f>
        <v>0</v>
      </c>
      <c r="V84" s="975">
        <f>집계표!V60/365</f>
        <v>0</v>
      </c>
      <c r="W84" s="975">
        <f>집계표!W60/365</f>
        <v>0</v>
      </c>
      <c r="X84" s="975">
        <f>집계표!X60/365</f>
        <v>0</v>
      </c>
      <c r="Y84" s="975">
        <f>집계표!Y60/365</f>
        <v>0</v>
      </c>
      <c r="Z84" s="975">
        <f>집계표!Z60/365</f>
        <v>0</v>
      </c>
    </row>
    <row r="85" spans="1:26">
      <c r="A85" s="2252"/>
      <c r="B85" s="973" t="s">
        <v>1463</v>
      </c>
      <c r="C85" s="974">
        <f t="shared" si="41"/>
        <v>404938</v>
      </c>
      <c r="D85" s="974">
        <f t="shared" si="43"/>
        <v>1109.4191780821918</v>
      </c>
      <c r="E85" s="974">
        <f t="shared" si="46"/>
        <v>1109.4191780821918</v>
      </c>
      <c r="F85" s="975">
        <f>집계표!F61/365</f>
        <v>133.84383561643835</v>
      </c>
      <c r="G85" s="975">
        <f>집계표!G61/365</f>
        <v>130.04931506849314</v>
      </c>
      <c r="H85" s="975">
        <f>집계표!H61/365</f>
        <v>22.660273972602738</v>
      </c>
      <c r="I85" s="975">
        <f>집계표!I61/365</f>
        <v>15.682191780821919</v>
      </c>
      <c r="J85" s="975">
        <f>집계표!J61/365</f>
        <v>182.66301369863012</v>
      </c>
      <c r="K85" s="975">
        <f>집계표!K61/365</f>
        <v>114.34246575342466</v>
      </c>
      <c r="L85" s="975">
        <f>집계표!L61/365</f>
        <v>25.019178082191782</v>
      </c>
      <c r="M85" s="975">
        <f>집계표!M61/365</f>
        <v>264.9780821917808</v>
      </c>
      <c r="N85" s="975">
        <f>집계표!N61/365</f>
        <v>220.18082191780823</v>
      </c>
      <c r="O85" s="974">
        <f t="shared" si="42"/>
        <v>13760</v>
      </c>
      <c r="P85" s="974">
        <f t="shared" si="44"/>
        <v>37.698630136986303</v>
      </c>
      <c r="Q85" s="974">
        <f t="shared" si="45"/>
        <v>18.849315068493151</v>
      </c>
      <c r="R85" s="975">
        <f>집계표!R61/365</f>
        <v>1.6273972602739726</v>
      </c>
      <c r="S85" s="975">
        <f>집계표!S61/365</f>
        <v>15.652054794520549</v>
      </c>
      <c r="T85" s="975">
        <f>집계표!T61/365</f>
        <v>0</v>
      </c>
      <c r="U85" s="975">
        <f>집계표!U61/365</f>
        <v>0</v>
      </c>
      <c r="V85" s="975">
        <f>집계표!V61/365</f>
        <v>0</v>
      </c>
      <c r="W85" s="975">
        <f>집계표!W61/365</f>
        <v>0</v>
      </c>
      <c r="X85" s="975">
        <f>집계표!X61/365</f>
        <v>0</v>
      </c>
      <c r="Y85" s="975">
        <f>집계표!Y61/365</f>
        <v>0</v>
      </c>
      <c r="Z85" s="975">
        <f>집계표!Z61/365</f>
        <v>1.5698630136986302</v>
      </c>
    </row>
    <row r="86" spans="1:26">
      <c r="A86" s="2252"/>
      <c r="B86" s="973" t="s">
        <v>1464</v>
      </c>
      <c r="C86" s="974">
        <f t="shared" si="41"/>
        <v>1253284.0000000002</v>
      </c>
      <c r="D86" s="974">
        <f t="shared" si="43"/>
        <v>3433.6547945205484</v>
      </c>
      <c r="E86" s="974">
        <f t="shared" si="46"/>
        <v>3433.6547945205484</v>
      </c>
      <c r="F86" s="975">
        <f>집계표!F62/365</f>
        <v>633.81095890410961</v>
      </c>
      <c r="G86" s="975">
        <f>집계표!G62/365</f>
        <v>983.51232876712334</v>
      </c>
      <c r="H86" s="975">
        <f>집계표!H62/365</f>
        <v>28.901369863013699</v>
      </c>
      <c r="I86" s="975">
        <f>집계표!I62/365</f>
        <v>45.060273972602737</v>
      </c>
      <c r="J86" s="975">
        <f>집계표!J62/365</f>
        <v>186.69315068493151</v>
      </c>
      <c r="K86" s="975">
        <f>집계표!K62/365</f>
        <v>592.8767123287671</v>
      </c>
      <c r="L86" s="975">
        <f>집계표!L62/365</f>
        <v>342.63287671232877</v>
      </c>
      <c r="M86" s="975">
        <f>집계표!M62/365</f>
        <v>293.42191780821918</v>
      </c>
      <c r="N86" s="975">
        <f>집계표!N62/365</f>
        <v>326.74520547945207</v>
      </c>
      <c r="O86" s="974">
        <f t="shared" si="42"/>
        <v>223863.99999999997</v>
      </c>
      <c r="P86" s="974">
        <f t="shared" si="44"/>
        <v>613.32602739726019</v>
      </c>
      <c r="Q86" s="974">
        <f t="shared" si="45"/>
        <v>306.66301369863015</v>
      </c>
      <c r="R86" s="975">
        <f>집계표!R62/365</f>
        <v>91.920547945205485</v>
      </c>
      <c r="S86" s="975">
        <f>집계표!S62/365</f>
        <v>138.60547945205479</v>
      </c>
      <c r="T86" s="975">
        <f>집계표!T62/365</f>
        <v>0</v>
      </c>
      <c r="U86" s="975">
        <f>집계표!U62/365</f>
        <v>0</v>
      </c>
      <c r="V86" s="975">
        <f>집계표!V62/365</f>
        <v>0</v>
      </c>
      <c r="W86" s="975">
        <f>집계표!W62/365</f>
        <v>16.230136986301371</v>
      </c>
      <c r="X86" s="975">
        <f>집계표!X62/365</f>
        <v>6.3424657534246576</v>
      </c>
      <c r="Y86" s="975">
        <f>집계표!Y62/365</f>
        <v>11.186301369863013</v>
      </c>
      <c r="Z86" s="975">
        <f>집계표!Z62/365</f>
        <v>42.37808219178082</v>
      </c>
    </row>
    <row r="87" spans="1:26">
      <c r="A87" s="2252"/>
      <c r="B87" s="973" t="s">
        <v>1446</v>
      </c>
      <c r="C87" s="974">
        <f t="shared" si="41"/>
        <v>199445.99999999997</v>
      </c>
      <c r="D87" s="974">
        <f t="shared" si="43"/>
        <v>546.42739726027389</v>
      </c>
      <c r="E87" s="974">
        <f t="shared" si="46"/>
        <v>546.42739726027389</v>
      </c>
      <c r="F87" s="975">
        <f>집계표!F63/365</f>
        <v>123.8082191780822</v>
      </c>
      <c r="G87" s="975">
        <f>집계표!G63/365</f>
        <v>134.54520547945205</v>
      </c>
      <c r="H87" s="975">
        <f>집계표!H63/365</f>
        <v>6.1643835616438354</v>
      </c>
      <c r="I87" s="975">
        <f>집계표!I63/365</f>
        <v>90.731506849315068</v>
      </c>
      <c r="J87" s="975">
        <f>집계표!J63/365</f>
        <v>18.468493150684932</v>
      </c>
      <c r="K87" s="975">
        <f>집계표!K63/365</f>
        <v>59.764383561643832</v>
      </c>
      <c r="L87" s="975">
        <f>집계표!L63/365</f>
        <v>24.742465753424657</v>
      </c>
      <c r="M87" s="975">
        <f>집계표!M63/365</f>
        <v>23.219178082191782</v>
      </c>
      <c r="N87" s="975">
        <f>집계표!N63/365</f>
        <v>64.983561643835614</v>
      </c>
      <c r="O87" s="974">
        <f t="shared" si="42"/>
        <v>0</v>
      </c>
      <c r="P87" s="974">
        <f t="shared" si="44"/>
        <v>0</v>
      </c>
      <c r="Q87" s="974">
        <f t="shared" si="45"/>
        <v>0</v>
      </c>
      <c r="R87" s="975">
        <f>집계표!R63/365</f>
        <v>0</v>
      </c>
      <c r="S87" s="975">
        <f>집계표!S63/365</f>
        <v>0</v>
      </c>
      <c r="T87" s="975">
        <f>집계표!T63/365</f>
        <v>0</v>
      </c>
      <c r="U87" s="975">
        <f>집계표!U63/365</f>
        <v>0</v>
      </c>
      <c r="V87" s="975">
        <f>집계표!V63/365</f>
        <v>0</v>
      </c>
      <c r="W87" s="975">
        <f>집계표!W63/365</f>
        <v>0</v>
      </c>
      <c r="X87" s="975">
        <f>집계표!X63/365</f>
        <v>0</v>
      </c>
      <c r="Y87" s="975">
        <f>집계표!Y63/365</f>
        <v>0</v>
      </c>
      <c r="Z87" s="975">
        <f>집계표!Z63/365</f>
        <v>0</v>
      </c>
    </row>
    <row r="88" spans="1:26">
      <c r="A88" s="2252"/>
      <c r="B88" s="973" t="s">
        <v>1471</v>
      </c>
      <c r="C88" s="974">
        <f t="shared" si="41"/>
        <v>0</v>
      </c>
      <c r="D88" s="974">
        <f t="shared" si="43"/>
        <v>0</v>
      </c>
      <c r="E88" s="974">
        <f t="shared" si="46"/>
        <v>0</v>
      </c>
      <c r="F88" s="975">
        <f>집계표!F64/365</f>
        <v>0</v>
      </c>
      <c r="G88" s="975">
        <f>집계표!G64/365</f>
        <v>0</v>
      </c>
      <c r="H88" s="975">
        <f>집계표!H64/365</f>
        <v>0</v>
      </c>
      <c r="I88" s="975">
        <f>집계표!I64/365</f>
        <v>0</v>
      </c>
      <c r="J88" s="975">
        <f>집계표!J64/365</f>
        <v>0</v>
      </c>
      <c r="K88" s="975">
        <f>집계표!K64/365</f>
        <v>0</v>
      </c>
      <c r="L88" s="975">
        <f>집계표!L64/365</f>
        <v>0</v>
      </c>
      <c r="M88" s="975">
        <f>집계표!M64/365</f>
        <v>0</v>
      </c>
      <c r="N88" s="975">
        <f>집계표!N64/365</f>
        <v>0</v>
      </c>
      <c r="O88" s="974">
        <f t="shared" si="42"/>
        <v>0</v>
      </c>
      <c r="P88" s="974">
        <f t="shared" si="44"/>
        <v>0</v>
      </c>
      <c r="Q88" s="974">
        <f t="shared" si="45"/>
        <v>0</v>
      </c>
      <c r="R88" s="975">
        <f>집계표!R64/365</f>
        <v>0</v>
      </c>
      <c r="S88" s="975">
        <f>집계표!S64/365</f>
        <v>0</v>
      </c>
      <c r="T88" s="975">
        <f>집계표!T64/365</f>
        <v>0</v>
      </c>
      <c r="U88" s="975">
        <f>집계표!U64/365</f>
        <v>0</v>
      </c>
      <c r="V88" s="975">
        <f>집계표!V64/365</f>
        <v>0</v>
      </c>
      <c r="W88" s="975">
        <f>집계표!W64/365</f>
        <v>0</v>
      </c>
      <c r="X88" s="975">
        <f>집계표!X64/365</f>
        <v>0</v>
      </c>
      <c r="Y88" s="975">
        <f>집계표!Y64/365</f>
        <v>0</v>
      </c>
      <c r="Z88" s="975">
        <f>집계표!Z64/365</f>
        <v>0</v>
      </c>
    </row>
    <row r="89" spans="1:26">
      <c r="A89" s="2252" t="s">
        <v>1437</v>
      </c>
      <c r="B89" s="968" t="s">
        <v>552</v>
      </c>
      <c r="C89" s="969">
        <f t="shared" ref="C89:Z89" si="47">SUM(C90:C100)</f>
        <v>8285621</v>
      </c>
      <c r="D89" s="969">
        <f t="shared" si="47"/>
        <v>22700.331506849318</v>
      </c>
      <c r="E89" s="970">
        <f t="shared" si="47"/>
        <v>22700.331506849318</v>
      </c>
      <c r="F89" s="970">
        <f t="shared" si="47"/>
        <v>4272.0410958904104</v>
      </c>
      <c r="G89" s="970">
        <f t="shared" si="47"/>
        <v>5182.0191780821924</v>
      </c>
      <c r="H89" s="970">
        <f t="shared" si="47"/>
        <v>508.58904109589037</v>
      </c>
      <c r="I89" s="970">
        <f t="shared" si="47"/>
        <v>639.70684931506855</v>
      </c>
      <c r="J89" s="970">
        <f t="shared" si="47"/>
        <v>2562.2356164383564</v>
      </c>
      <c r="K89" s="970">
        <f t="shared" si="47"/>
        <v>3982.2109589041092</v>
      </c>
      <c r="L89" s="970">
        <f t="shared" si="47"/>
        <v>1700.7589041095889</v>
      </c>
      <c r="M89" s="970">
        <f t="shared" si="47"/>
        <v>1345.4547945205479</v>
      </c>
      <c r="N89" s="970">
        <f t="shared" si="47"/>
        <v>2507.3150684931506</v>
      </c>
      <c r="O89" s="969">
        <f t="shared" si="47"/>
        <v>821732</v>
      </c>
      <c r="P89" s="971">
        <f t="shared" si="47"/>
        <v>2251.3205479452058</v>
      </c>
      <c r="Q89" s="972">
        <f t="shared" si="47"/>
        <v>1125.6602739726027</v>
      </c>
      <c r="R89" s="972">
        <f t="shared" si="47"/>
        <v>378.18904109589045</v>
      </c>
      <c r="S89" s="972">
        <f t="shared" si="47"/>
        <v>461.55068493150679</v>
      </c>
      <c r="T89" s="972">
        <f t="shared" si="47"/>
        <v>0</v>
      </c>
      <c r="U89" s="972">
        <f t="shared" si="47"/>
        <v>0</v>
      </c>
      <c r="V89" s="972">
        <f t="shared" si="47"/>
        <v>0</v>
      </c>
      <c r="W89" s="972">
        <f t="shared" si="47"/>
        <v>119.43561643835615</v>
      </c>
      <c r="X89" s="972">
        <f t="shared" si="47"/>
        <v>12.739726027397261</v>
      </c>
      <c r="Y89" s="972">
        <f t="shared" si="47"/>
        <v>21.654794520547945</v>
      </c>
      <c r="Z89" s="972">
        <f t="shared" si="47"/>
        <v>132.0904109589041</v>
      </c>
    </row>
    <row r="90" spans="1:26">
      <c r="A90" s="2252"/>
      <c r="B90" s="973" t="s">
        <v>1426</v>
      </c>
      <c r="C90" s="974">
        <f t="shared" ref="C90:C100" si="48">+D90*365</f>
        <v>5997313</v>
      </c>
      <c r="D90" s="974">
        <f>+E90</f>
        <v>16430.994520547945</v>
      </c>
      <c r="E90" s="974">
        <f>SUM(F90:N90)</f>
        <v>16430.994520547945</v>
      </c>
      <c r="F90" s="975">
        <f>집계표!F66/365</f>
        <v>3243.5452054794519</v>
      </c>
      <c r="G90" s="975">
        <f>집계표!G66/365</f>
        <v>3712.9452054794519</v>
      </c>
      <c r="H90" s="975">
        <f>집계표!H66/365</f>
        <v>386.98630136986299</v>
      </c>
      <c r="I90" s="975">
        <f>집계표!I66/365</f>
        <v>408.2246575342466</v>
      </c>
      <c r="J90" s="975">
        <f>집계표!J66/365</f>
        <v>1843.868493150685</v>
      </c>
      <c r="K90" s="975">
        <f>집계표!K66/365</f>
        <v>3068.9616438356165</v>
      </c>
      <c r="L90" s="975">
        <f>집계표!L66/365</f>
        <v>1259.7863013698629</v>
      </c>
      <c r="M90" s="975">
        <f>집계표!M66/365</f>
        <v>724.42191780821918</v>
      </c>
      <c r="N90" s="975">
        <f>집계표!N66/365</f>
        <v>1782.2547945205479</v>
      </c>
      <c r="O90" s="974">
        <f t="shared" ref="O90:O100" si="49">+P90*365</f>
        <v>259108.00000000003</v>
      </c>
      <c r="P90" s="974">
        <f>SUM(Q90:Z90)</f>
        <v>709.8849315068494</v>
      </c>
      <c r="Q90" s="974">
        <f>SUM(R90:Z90)</f>
        <v>354.94246575342464</v>
      </c>
      <c r="R90" s="975">
        <f>집계표!R66/365</f>
        <v>107.84109589041095</v>
      </c>
      <c r="S90" s="975">
        <f>집계표!S66/365</f>
        <v>162.36712328767123</v>
      </c>
      <c r="T90" s="975">
        <f>집계표!T66/365</f>
        <v>0</v>
      </c>
      <c r="U90" s="975">
        <f>집계표!U66/365</f>
        <v>0</v>
      </c>
      <c r="V90" s="975">
        <f>집계표!V66/365</f>
        <v>0</v>
      </c>
      <c r="W90" s="975">
        <f>집계표!W66/365</f>
        <v>28.715068493150685</v>
      </c>
      <c r="X90" s="975">
        <f>집계표!X66/365</f>
        <v>2.2547945205479452</v>
      </c>
      <c r="Y90" s="975">
        <f>집계표!Y66/365</f>
        <v>11.56986301369863</v>
      </c>
      <c r="Z90" s="975">
        <f>집계표!Z66/365</f>
        <v>42.194520547945203</v>
      </c>
    </row>
    <row r="91" spans="1:26">
      <c r="A91" s="2252"/>
      <c r="B91" s="973" t="s">
        <v>1449</v>
      </c>
      <c r="C91" s="974">
        <f t="shared" si="48"/>
        <v>0</v>
      </c>
      <c r="D91" s="974">
        <f t="shared" ref="D91:D100" si="50">+E91</f>
        <v>0</v>
      </c>
      <c r="E91" s="974">
        <f>SUM(F91:N91)</f>
        <v>0</v>
      </c>
      <c r="F91" s="975">
        <f>집계표!F67/365</f>
        <v>0</v>
      </c>
      <c r="G91" s="975">
        <f>집계표!G67/365</f>
        <v>0</v>
      </c>
      <c r="H91" s="975">
        <f>집계표!H67/365</f>
        <v>0</v>
      </c>
      <c r="I91" s="975">
        <f>집계표!I67/365</f>
        <v>0</v>
      </c>
      <c r="J91" s="975">
        <f>집계표!J67/365</f>
        <v>0</v>
      </c>
      <c r="K91" s="975">
        <f>집계표!K67/365</f>
        <v>0</v>
      </c>
      <c r="L91" s="975">
        <f>집계표!L67/365</f>
        <v>0</v>
      </c>
      <c r="M91" s="975">
        <f>집계표!M67/365</f>
        <v>0</v>
      </c>
      <c r="N91" s="975">
        <f>집계표!N67/365</f>
        <v>0</v>
      </c>
      <c r="O91" s="974">
        <f t="shared" si="49"/>
        <v>0</v>
      </c>
      <c r="P91" s="974">
        <f t="shared" ref="P91:P100" si="51">SUM(Q91:Z91)</f>
        <v>0</v>
      </c>
      <c r="Q91" s="974">
        <f t="shared" ref="Q91:Q100" si="52">SUM(R91:Z91)</f>
        <v>0</v>
      </c>
      <c r="R91" s="975">
        <f>집계표!R67/365</f>
        <v>0</v>
      </c>
      <c r="S91" s="975">
        <f>집계표!S67/365</f>
        <v>0</v>
      </c>
      <c r="T91" s="975">
        <f>집계표!T67/365</f>
        <v>0</v>
      </c>
      <c r="U91" s="975">
        <f>집계표!U67/365</f>
        <v>0</v>
      </c>
      <c r="V91" s="975">
        <f>집계표!V67/365</f>
        <v>0</v>
      </c>
      <c r="W91" s="975">
        <f>집계표!W67/365</f>
        <v>0</v>
      </c>
      <c r="X91" s="975">
        <f>집계표!X67/365</f>
        <v>0</v>
      </c>
      <c r="Y91" s="975">
        <f>집계표!Y67/365</f>
        <v>0</v>
      </c>
      <c r="Z91" s="975">
        <f>집계표!Z67/365</f>
        <v>0</v>
      </c>
    </row>
    <row r="92" spans="1:26" s="976" customFormat="1">
      <c r="A92" s="2252"/>
      <c r="B92" s="973" t="s">
        <v>1439</v>
      </c>
      <c r="C92" s="974">
        <f t="shared" si="48"/>
        <v>33447.000000000007</v>
      </c>
      <c r="D92" s="974">
        <f t="shared" si="50"/>
        <v>91.63561643835618</v>
      </c>
      <c r="E92" s="974">
        <f>SUM(F92:N92)</f>
        <v>91.63561643835618</v>
      </c>
      <c r="F92" s="975">
        <f>집계표!F68/365</f>
        <v>77.358904109589048</v>
      </c>
      <c r="G92" s="975">
        <f>집계표!G68/365</f>
        <v>3.1452054794520548</v>
      </c>
      <c r="H92" s="975">
        <f>집계표!H68/365</f>
        <v>0</v>
      </c>
      <c r="I92" s="975">
        <f>집계표!I68/365</f>
        <v>0</v>
      </c>
      <c r="J92" s="975">
        <f>집계표!J68/365</f>
        <v>0</v>
      </c>
      <c r="K92" s="975">
        <f>집계표!K68/365</f>
        <v>11.131506849315068</v>
      </c>
      <c r="L92" s="975">
        <f>집계표!L68/365</f>
        <v>0</v>
      </c>
      <c r="M92" s="975">
        <f>집계표!M68/365</f>
        <v>0</v>
      </c>
      <c r="N92" s="975">
        <f>집계표!N68/365</f>
        <v>0</v>
      </c>
      <c r="O92" s="974">
        <f t="shared" si="49"/>
        <v>18478</v>
      </c>
      <c r="P92" s="974">
        <f t="shared" si="51"/>
        <v>50.624657534246573</v>
      </c>
      <c r="Q92" s="974">
        <f t="shared" si="52"/>
        <v>25.312328767123287</v>
      </c>
      <c r="R92" s="975">
        <f>집계표!R68/365</f>
        <v>0</v>
      </c>
      <c r="S92" s="975">
        <f>집계표!S68/365</f>
        <v>0</v>
      </c>
      <c r="T92" s="975">
        <f>집계표!T68/365</f>
        <v>0</v>
      </c>
      <c r="U92" s="975">
        <f>집계표!U68/365</f>
        <v>0</v>
      </c>
      <c r="V92" s="975">
        <f>집계표!V68/365</f>
        <v>0</v>
      </c>
      <c r="W92" s="975">
        <f>집계표!W68/365</f>
        <v>25.312328767123287</v>
      </c>
      <c r="X92" s="975">
        <f>집계표!X68/365</f>
        <v>0</v>
      </c>
      <c r="Y92" s="975">
        <f>집계표!Y68/365</f>
        <v>0</v>
      </c>
      <c r="Z92" s="975">
        <f>집계표!Z68/365</f>
        <v>0</v>
      </c>
    </row>
    <row r="93" spans="1:26">
      <c r="A93" s="2252"/>
      <c r="B93" s="973" t="s">
        <v>1472</v>
      </c>
      <c r="C93" s="974">
        <f t="shared" si="48"/>
        <v>34291</v>
      </c>
      <c r="D93" s="974">
        <f t="shared" si="50"/>
        <v>93.947945205479456</v>
      </c>
      <c r="E93" s="974">
        <f t="shared" ref="E93:E100" si="53">SUM(F93:N93)</f>
        <v>93.947945205479456</v>
      </c>
      <c r="F93" s="975">
        <f>집계표!F69/365</f>
        <v>20.350684931506848</v>
      </c>
      <c r="G93" s="975">
        <f>집계표!G69/365</f>
        <v>25.791780821917808</v>
      </c>
      <c r="H93" s="975">
        <f>집계표!H69/365</f>
        <v>0</v>
      </c>
      <c r="I93" s="975">
        <f>집계표!I69/365</f>
        <v>1.6082191780821917</v>
      </c>
      <c r="J93" s="975">
        <f>집계표!J69/365</f>
        <v>7.0575342465753428</v>
      </c>
      <c r="K93" s="975">
        <f>집계표!K69/365</f>
        <v>14.435616438356165</v>
      </c>
      <c r="L93" s="975">
        <f>집계표!L69/365</f>
        <v>4.2821917808219174</v>
      </c>
      <c r="M93" s="975">
        <f>집계표!M69/365</f>
        <v>5.2246575342465755</v>
      </c>
      <c r="N93" s="975">
        <f>집계표!N69/365</f>
        <v>15.197260273972603</v>
      </c>
      <c r="O93" s="974">
        <f t="shared" si="49"/>
        <v>0</v>
      </c>
      <c r="P93" s="974">
        <f t="shared" si="51"/>
        <v>0</v>
      </c>
      <c r="Q93" s="974">
        <f t="shared" si="52"/>
        <v>0</v>
      </c>
      <c r="R93" s="975">
        <f>집계표!R69/365</f>
        <v>0</v>
      </c>
      <c r="S93" s="975">
        <f>집계표!S69/365</f>
        <v>0</v>
      </c>
      <c r="T93" s="975">
        <f>집계표!T69/365</f>
        <v>0</v>
      </c>
      <c r="U93" s="975">
        <f>집계표!U69/365</f>
        <v>0</v>
      </c>
      <c r="V93" s="975">
        <f>집계표!V69/365</f>
        <v>0</v>
      </c>
      <c r="W93" s="975">
        <f>집계표!W69/365</f>
        <v>0</v>
      </c>
      <c r="X93" s="975">
        <f>집계표!X69/365</f>
        <v>0</v>
      </c>
      <c r="Y93" s="975">
        <f>집계표!Y69/365</f>
        <v>0</v>
      </c>
      <c r="Z93" s="975">
        <f>집계표!Z69/365</f>
        <v>0</v>
      </c>
    </row>
    <row r="94" spans="1:26">
      <c r="A94" s="2252"/>
      <c r="B94" s="973" t="s">
        <v>1441</v>
      </c>
      <c r="C94" s="974">
        <f t="shared" si="48"/>
        <v>715</v>
      </c>
      <c r="D94" s="974">
        <f t="shared" si="50"/>
        <v>1.9589041095890412</v>
      </c>
      <c r="E94" s="974">
        <f t="shared" si="53"/>
        <v>1.9589041095890412</v>
      </c>
      <c r="F94" s="975">
        <f>집계표!F70/365</f>
        <v>0</v>
      </c>
      <c r="G94" s="975">
        <f>집계표!G70/365</f>
        <v>0</v>
      </c>
      <c r="H94" s="975">
        <f>집계표!H70/365</f>
        <v>0</v>
      </c>
      <c r="I94" s="975">
        <f>집계표!I70/365</f>
        <v>0</v>
      </c>
      <c r="J94" s="975">
        <f>집계표!J70/365</f>
        <v>0</v>
      </c>
      <c r="K94" s="975">
        <f>집계표!K70/365</f>
        <v>0</v>
      </c>
      <c r="L94" s="975">
        <f>집계표!L70/365</f>
        <v>0</v>
      </c>
      <c r="M94" s="975">
        <f>집계표!M70/365</f>
        <v>0</v>
      </c>
      <c r="N94" s="975">
        <f>집계표!N70/365</f>
        <v>1.9589041095890412</v>
      </c>
      <c r="O94" s="974">
        <f t="shared" si="49"/>
        <v>199238</v>
      </c>
      <c r="P94" s="974">
        <f t="shared" si="51"/>
        <v>545.85753424657537</v>
      </c>
      <c r="Q94" s="974">
        <f t="shared" si="52"/>
        <v>272.92876712328768</v>
      </c>
      <c r="R94" s="975">
        <f>집계표!R70/365</f>
        <v>113.31506849315069</v>
      </c>
      <c r="S94" s="975">
        <f>집계표!S70/365</f>
        <v>101.60273972602739</v>
      </c>
      <c r="T94" s="975">
        <f>집계표!T70/365</f>
        <v>0</v>
      </c>
      <c r="U94" s="975">
        <f>집계표!U70/365</f>
        <v>0</v>
      </c>
      <c r="V94" s="975">
        <f>집계표!V70/365</f>
        <v>0</v>
      </c>
      <c r="W94" s="975">
        <f>집계표!W70/365</f>
        <v>29.772602739726029</v>
      </c>
      <c r="X94" s="975">
        <f>집계표!X70/365</f>
        <v>0</v>
      </c>
      <c r="Y94" s="975">
        <f>집계표!Y70/365</f>
        <v>0</v>
      </c>
      <c r="Z94" s="975">
        <f>집계표!Z70/365</f>
        <v>28.238356164383561</v>
      </c>
    </row>
    <row r="95" spans="1:26">
      <c r="A95" s="2252"/>
      <c r="B95" s="973" t="s">
        <v>1442</v>
      </c>
      <c r="C95" s="974">
        <f t="shared" si="48"/>
        <v>297</v>
      </c>
      <c r="D95" s="974">
        <f t="shared" si="50"/>
        <v>0.81369863013698629</v>
      </c>
      <c r="E95" s="974">
        <f t="shared" si="53"/>
        <v>0.81369863013698629</v>
      </c>
      <c r="F95" s="975">
        <f>집계표!F71/365</f>
        <v>0.81369863013698629</v>
      </c>
      <c r="G95" s="975">
        <f>집계표!G71/365</f>
        <v>0</v>
      </c>
      <c r="H95" s="975">
        <f>집계표!H71/365</f>
        <v>0</v>
      </c>
      <c r="I95" s="975">
        <f>집계표!I71/365</f>
        <v>0</v>
      </c>
      <c r="J95" s="975">
        <f>집계표!J71/365</f>
        <v>0</v>
      </c>
      <c r="K95" s="975">
        <f>집계표!K71/365</f>
        <v>0</v>
      </c>
      <c r="L95" s="975">
        <f>집계표!L71/365</f>
        <v>0</v>
      </c>
      <c r="M95" s="975">
        <f>집계표!M71/365</f>
        <v>0</v>
      </c>
      <c r="N95" s="975">
        <f>집계표!N71/365</f>
        <v>0</v>
      </c>
      <c r="O95" s="974">
        <f t="shared" si="49"/>
        <v>0</v>
      </c>
      <c r="P95" s="974">
        <f t="shared" si="51"/>
        <v>0</v>
      </c>
      <c r="Q95" s="974">
        <f t="shared" si="52"/>
        <v>0</v>
      </c>
      <c r="R95" s="975">
        <f>집계표!R71/365</f>
        <v>0</v>
      </c>
      <c r="S95" s="975">
        <f>집계표!S71/365</f>
        <v>0</v>
      </c>
      <c r="T95" s="975">
        <f>집계표!T71/365</f>
        <v>0</v>
      </c>
      <c r="U95" s="975">
        <f>집계표!U71/365</f>
        <v>0</v>
      </c>
      <c r="V95" s="975">
        <f>집계표!V71/365</f>
        <v>0</v>
      </c>
      <c r="W95" s="975">
        <f>집계표!W71/365</f>
        <v>0</v>
      </c>
      <c r="X95" s="975">
        <f>집계표!X71/365</f>
        <v>0</v>
      </c>
      <c r="Y95" s="975">
        <f>집계표!Y71/365</f>
        <v>0</v>
      </c>
      <c r="Z95" s="975">
        <f>집계표!Z71/365</f>
        <v>0</v>
      </c>
    </row>
    <row r="96" spans="1:26">
      <c r="A96" s="2252"/>
      <c r="B96" s="973" t="s">
        <v>1443</v>
      </c>
      <c r="C96" s="974">
        <f t="shared" si="48"/>
        <v>1144</v>
      </c>
      <c r="D96" s="974">
        <f t="shared" si="50"/>
        <v>3.1342465753424658</v>
      </c>
      <c r="E96" s="974">
        <f t="shared" si="53"/>
        <v>3.1342465753424658</v>
      </c>
      <c r="F96" s="975">
        <f>집계표!F72/365</f>
        <v>0.20821917808219179</v>
      </c>
      <c r="G96" s="975">
        <f>집계표!G72/365</f>
        <v>0</v>
      </c>
      <c r="H96" s="975">
        <f>집계표!H72/365</f>
        <v>0</v>
      </c>
      <c r="I96" s="975">
        <f>집계표!I72/365</f>
        <v>0</v>
      </c>
      <c r="J96" s="975">
        <f>집계표!J72/365</f>
        <v>0</v>
      </c>
      <c r="K96" s="975">
        <f>집계표!K72/365</f>
        <v>0</v>
      </c>
      <c r="L96" s="975">
        <f>집계표!L72/365</f>
        <v>0</v>
      </c>
      <c r="M96" s="975">
        <f>집계표!M72/365</f>
        <v>0</v>
      </c>
      <c r="N96" s="975">
        <f>집계표!N72/365</f>
        <v>2.9260273972602739</v>
      </c>
      <c r="O96" s="974">
        <f t="shared" si="49"/>
        <v>139691.99999999997</v>
      </c>
      <c r="P96" s="974">
        <f t="shared" si="51"/>
        <v>382.71780821917804</v>
      </c>
      <c r="Q96" s="974">
        <f t="shared" si="52"/>
        <v>191.35890410958905</v>
      </c>
      <c r="R96" s="975">
        <f>집계표!R72/365</f>
        <v>80.027397260273972</v>
      </c>
      <c r="S96" s="975">
        <f>집계표!S72/365</f>
        <v>72.852054794520555</v>
      </c>
      <c r="T96" s="975">
        <f>집계표!T72/365</f>
        <v>0</v>
      </c>
      <c r="U96" s="975">
        <f>집계표!U72/365</f>
        <v>0</v>
      </c>
      <c r="V96" s="975">
        <f>집계표!V72/365</f>
        <v>0</v>
      </c>
      <c r="W96" s="975">
        <f>집계표!W72/365</f>
        <v>20.208219178082192</v>
      </c>
      <c r="X96" s="975">
        <f>집계표!X72/365</f>
        <v>0</v>
      </c>
      <c r="Y96" s="975">
        <f>집계표!Y72/365</f>
        <v>0</v>
      </c>
      <c r="Z96" s="975">
        <f>집계표!Z72/365</f>
        <v>18.271232876712329</v>
      </c>
    </row>
    <row r="97" spans="1:26">
      <c r="A97" s="2252"/>
      <c r="B97" s="973" t="s">
        <v>1463</v>
      </c>
      <c r="C97" s="974">
        <f t="shared" si="48"/>
        <v>239998</v>
      </c>
      <c r="D97" s="974">
        <f t="shared" si="50"/>
        <v>657.52876712328771</v>
      </c>
      <c r="E97" s="974">
        <f t="shared" si="53"/>
        <v>657.52876712328771</v>
      </c>
      <c r="F97" s="975">
        <f>집계표!F73/365</f>
        <v>65.635616438356166</v>
      </c>
      <c r="G97" s="975">
        <f>집계표!G73/365</f>
        <v>61.646575342465752</v>
      </c>
      <c r="H97" s="975">
        <f>집계표!H73/365</f>
        <v>33.024657534246572</v>
      </c>
      <c r="I97" s="975">
        <f>집계표!I73/365</f>
        <v>9.3452054794520549</v>
      </c>
      <c r="J97" s="975">
        <f>집계표!J73/365</f>
        <v>135.23013698630137</v>
      </c>
      <c r="K97" s="975">
        <f>집계표!K73/365</f>
        <v>55.515068493150686</v>
      </c>
      <c r="L97" s="975">
        <f>집계표!L73/365</f>
        <v>13.602739726027398</v>
      </c>
      <c r="M97" s="975">
        <f>집계표!M73/365</f>
        <v>139.32876712328766</v>
      </c>
      <c r="N97" s="975">
        <f>집계표!N73/365</f>
        <v>144.19999999999999</v>
      </c>
      <c r="O97" s="974">
        <f t="shared" si="49"/>
        <v>4250</v>
      </c>
      <c r="P97" s="974">
        <f t="shared" si="51"/>
        <v>11.643835616438357</v>
      </c>
      <c r="Q97" s="974">
        <f t="shared" si="52"/>
        <v>5.8219178082191787</v>
      </c>
      <c r="R97" s="975">
        <f>집계표!R73/365</f>
        <v>0.73698630136986298</v>
      </c>
      <c r="S97" s="975">
        <f>집계표!S73/365</f>
        <v>4.3260273972602743</v>
      </c>
      <c r="T97" s="975">
        <f>집계표!T73/365</f>
        <v>0</v>
      </c>
      <c r="U97" s="975">
        <f>집계표!U73/365</f>
        <v>0</v>
      </c>
      <c r="V97" s="975">
        <f>집계표!V73/365</f>
        <v>0</v>
      </c>
      <c r="W97" s="975">
        <f>집계표!W73/365</f>
        <v>0</v>
      </c>
      <c r="X97" s="975">
        <f>집계표!X73/365</f>
        <v>0</v>
      </c>
      <c r="Y97" s="975">
        <f>집계표!Y73/365</f>
        <v>0</v>
      </c>
      <c r="Z97" s="975">
        <f>집계표!Z73/365</f>
        <v>0.75890410958904109</v>
      </c>
    </row>
    <row r="98" spans="1:26">
      <c r="A98" s="2252"/>
      <c r="B98" s="973" t="s">
        <v>1464</v>
      </c>
      <c r="C98" s="974">
        <f t="shared" si="48"/>
        <v>657478</v>
      </c>
      <c r="D98" s="974">
        <f t="shared" si="50"/>
        <v>1801.3095890410959</v>
      </c>
      <c r="E98" s="974">
        <f t="shared" si="53"/>
        <v>1801.3095890410959</v>
      </c>
      <c r="F98" s="975">
        <f>집계표!F74/365</f>
        <v>316.1013698630137</v>
      </c>
      <c r="G98" s="975">
        <f>집계표!G74/365</f>
        <v>515.64109589041095</v>
      </c>
      <c r="H98" s="975">
        <f>집계표!H74/365</f>
        <v>14.523287671232877</v>
      </c>
      <c r="I98" s="975">
        <f>집계표!I74/365</f>
        <v>43.104109589041094</v>
      </c>
      <c r="J98" s="975">
        <f>집계표!J74/365</f>
        <v>142.72328767123287</v>
      </c>
      <c r="K98" s="975">
        <f>집계표!K74/365</f>
        <v>323.94246575342464</v>
      </c>
      <c r="L98" s="975">
        <f>집계표!L74/365</f>
        <v>182.2876712328767</v>
      </c>
      <c r="M98" s="975">
        <f>집계표!M74/365</f>
        <v>93.712328767123282</v>
      </c>
      <c r="N98" s="975">
        <f>집계표!N74/365</f>
        <v>169.27397260273972</v>
      </c>
      <c r="O98" s="974">
        <f t="shared" si="49"/>
        <v>96815.999999999985</v>
      </c>
      <c r="P98" s="974">
        <f t="shared" si="51"/>
        <v>265.2493150684931</v>
      </c>
      <c r="Q98" s="974">
        <f t="shared" si="52"/>
        <v>132.62465753424655</v>
      </c>
      <c r="R98" s="975">
        <f>집계표!R74/365</f>
        <v>37.367123287671234</v>
      </c>
      <c r="S98" s="975">
        <f>집계표!S74/365</f>
        <v>57.167123287671231</v>
      </c>
      <c r="T98" s="975">
        <f>집계표!T74/365</f>
        <v>0</v>
      </c>
      <c r="U98" s="975">
        <f>집계표!U74/365</f>
        <v>0</v>
      </c>
      <c r="V98" s="975">
        <f>집계표!V74/365</f>
        <v>0</v>
      </c>
      <c r="W98" s="975">
        <f>집계표!W74/365</f>
        <v>7.5041095890410956</v>
      </c>
      <c r="X98" s="975">
        <f>집계표!X74/365</f>
        <v>4.1068493150684935</v>
      </c>
      <c r="Y98" s="975">
        <f>집계표!Y74/365</f>
        <v>5.7972602739726025</v>
      </c>
      <c r="Z98" s="975">
        <f>집계표!Z74/365</f>
        <v>20.682191780821917</v>
      </c>
    </row>
    <row r="99" spans="1:26">
      <c r="A99" s="2252"/>
      <c r="B99" s="973" t="s">
        <v>1465</v>
      </c>
      <c r="C99" s="974">
        <f t="shared" si="48"/>
        <v>212974</v>
      </c>
      <c r="D99" s="974">
        <f t="shared" si="50"/>
        <v>583.49041095890414</v>
      </c>
      <c r="E99" s="974">
        <f t="shared" si="53"/>
        <v>583.49041095890414</v>
      </c>
      <c r="F99" s="975">
        <f>집계표!F75/365</f>
        <v>129.06575342465754</v>
      </c>
      <c r="G99" s="975">
        <f>집계표!G75/365</f>
        <v>154.65753424657535</v>
      </c>
      <c r="H99" s="975">
        <f>집계표!H75/365</f>
        <v>15.315068493150685</v>
      </c>
      <c r="I99" s="975">
        <f>집계표!I75/365</f>
        <v>98.183561643835617</v>
      </c>
      <c r="J99" s="975">
        <f>집계표!J75/365</f>
        <v>19.156164383561645</v>
      </c>
      <c r="K99" s="975">
        <f>집계표!K75/365</f>
        <v>48.109589041095887</v>
      </c>
      <c r="L99" s="975">
        <f>집계표!L75/365</f>
        <v>26.8</v>
      </c>
      <c r="M99" s="975">
        <f>집계표!M75/365</f>
        <v>21.452054794520549</v>
      </c>
      <c r="N99" s="975">
        <f>집계표!N75/365</f>
        <v>70.750684931506854</v>
      </c>
      <c r="O99" s="974">
        <f t="shared" si="49"/>
        <v>0</v>
      </c>
      <c r="P99" s="974">
        <f t="shared" si="51"/>
        <v>0</v>
      </c>
      <c r="Q99" s="974">
        <f t="shared" si="52"/>
        <v>0</v>
      </c>
      <c r="R99" s="975">
        <f>집계표!R75/365</f>
        <v>0</v>
      </c>
      <c r="S99" s="975">
        <f>집계표!S75/365</f>
        <v>0</v>
      </c>
      <c r="T99" s="975">
        <f>집계표!T75/365</f>
        <v>0</v>
      </c>
      <c r="U99" s="975">
        <f>집계표!U75/365</f>
        <v>0</v>
      </c>
      <c r="V99" s="975">
        <f>집계표!V75/365</f>
        <v>0</v>
      </c>
      <c r="W99" s="975">
        <f>집계표!W75/365</f>
        <v>0</v>
      </c>
      <c r="X99" s="975">
        <f>집계표!X75/365</f>
        <v>0</v>
      </c>
      <c r="Y99" s="975">
        <f>집계표!Y75/365</f>
        <v>0</v>
      </c>
      <c r="Z99" s="975">
        <f>집계표!Z75/365</f>
        <v>0</v>
      </c>
    </row>
    <row r="100" spans="1:26">
      <c r="A100" s="2252"/>
      <c r="B100" s="973" t="s">
        <v>1466</v>
      </c>
      <c r="C100" s="974">
        <f t="shared" si="48"/>
        <v>1107964</v>
      </c>
      <c r="D100" s="974">
        <f t="shared" si="50"/>
        <v>3035.5178082191778</v>
      </c>
      <c r="E100" s="974">
        <f t="shared" si="53"/>
        <v>3035.5178082191778</v>
      </c>
      <c r="F100" s="975">
        <f>집계표!F76/365</f>
        <v>418.96164383561643</v>
      </c>
      <c r="G100" s="975">
        <f>집계표!G76/365</f>
        <v>708.19178082191786</v>
      </c>
      <c r="H100" s="975">
        <f>집계표!H76/365</f>
        <v>58.739726027397261</v>
      </c>
      <c r="I100" s="975">
        <f>집계표!I76/365</f>
        <v>79.241095890410961</v>
      </c>
      <c r="J100" s="975">
        <f>집계표!J76/365</f>
        <v>414.2</v>
      </c>
      <c r="K100" s="975">
        <f>집계표!K76/365</f>
        <v>460.11506849315066</v>
      </c>
      <c r="L100" s="975">
        <f>집계표!L76/365</f>
        <v>214</v>
      </c>
      <c r="M100" s="975">
        <f>집계표!M76/365</f>
        <v>361.3150684931507</v>
      </c>
      <c r="N100" s="975">
        <f>집계표!N76/365</f>
        <v>320.75342465753425</v>
      </c>
      <c r="O100" s="974">
        <f t="shared" si="49"/>
        <v>104150.00000000003</v>
      </c>
      <c r="P100" s="974">
        <f t="shared" si="51"/>
        <v>285.34246575342473</v>
      </c>
      <c r="Q100" s="974">
        <f t="shared" si="52"/>
        <v>142.67123287671234</v>
      </c>
      <c r="R100" s="975">
        <f>집계표!R76/365</f>
        <v>38.901369863013699</v>
      </c>
      <c r="S100" s="975">
        <f>집계표!S76/365</f>
        <v>63.235616438356168</v>
      </c>
      <c r="T100" s="975">
        <f>집계표!T76/365</f>
        <v>0</v>
      </c>
      <c r="U100" s="975">
        <f>집계표!U76/365</f>
        <v>0</v>
      </c>
      <c r="V100" s="975">
        <f>집계표!V76/365</f>
        <v>0</v>
      </c>
      <c r="W100" s="975">
        <f>집계표!W76/365</f>
        <v>7.9232876712328766</v>
      </c>
      <c r="X100" s="975">
        <f>집계표!X76/365</f>
        <v>6.3780821917808215</v>
      </c>
      <c r="Y100" s="975">
        <f>집계표!Y76/365</f>
        <v>4.2876712328767121</v>
      </c>
      <c r="Z100" s="975">
        <f>집계표!Z76/365</f>
        <v>21.945205479452056</v>
      </c>
    </row>
  </sheetData>
  <mergeCells count="26">
    <mergeCell ref="A20:A22"/>
    <mergeCell ref="A2:B4"/>
    <mergeCell ref="C2:N2"/>
    <mergeCell ref="O2:Z2"/>
    <mergeCell ref="C3:C4"/>
    <mergeCell ref="D3:D4"/>
    <mergeCell ref="O3:O4"/>
    <mergeCell ref="P3:P4"/>
    <mergeCell ref="A5:A7"/>
    <mergeCell ref="A8:A10"/>
    <mergeCell ref="A11:A13"/>
    <mergeCell ref="A14:A16"/>
    <mergeCell ref="A17:A19"/>
    <mergeCell ref="A89:A100"/>
    <mergeCell ref="A26:B28"/>
    <mergeCell ref="C26:N26"/>
    <mergeCell ref="O26:Z26"/>
    <mergeCell ref="C27:C28"/>
    <mergeCell ref="D27:D28"/>
    <mergeCell ref="O27:O28"/>
    <mergeCell ref="P27:P28"/>
    <mergeCell ref="A29:A40"/>
    <mergeCell ref="A41:A52"/>
    <mergeCell ref="A53:A64"/>
    <mergeCell ref="A65:A76"/>
    <mergeCell ref="A77:A88"/>
  </mergeCells>
  <phoneticPr fontId="7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"/>
  <sheetViews>
    <sheetView workbookViewId="0"/>
  </sheetViews>
  <sheetFormatPr defaultRowHeight="16.5"/>
  <cols>
    <col min="1" max="1" width="8.88671875" style="928"/>
    <col min="2" max="2" width="10.109375" style="928" bestFit="1" customWidth="1"/>
    <col min="3" max="3" width="10" style="928" customWidth="1"/>
    <col min="4" max="5" width="12.109375" style="928" bestFit="1" customWidth="1"/>
    <col min="6" max="22" width="10" style="928" customWidth="1"/>
    <col min="23" max="262" width="8.88671875" style="928"/>
    <col min="263" max="279" width="10" style="928" customWidth="1"/>
    <col min="280" max="518" width="8.88671875" style="928"/>
    <col min="519" max="535" width="10" style="928" customWidth="1"/>
    <col min="536" max="774" width="8.88671875" style="928"/>
    <col min="775" max="791" width="10" style="928" customWidth="1"/>
    <col min="792" max="1030" width="8.88671875" style="928"/>
    <col min="1031" max="1047" width="10" style="928" customWidth="1"/>
    <col min="1048" max="1286" width="8.88671875" style="928"/>
    <col min="1287" max="1303" width="10" style="928" customWidth="1"/>
    <col min="1304" max="1542" width="8.88671875" style="928"/>
    <col min="1543" max="1559" width="10" style="928" customWidth="1"/>
    <col min="1560" max="1798" width="8.88671875" style="928"/>
    <col min="1799" max="1815" width="10" style="928" customWidth="1"/>
    <col min="1816" max="2054" width="8.88671875" style="928"/>
    <col min="2055" max="2071" width="10" style="928" customWidth="1"/>
    <col min="2072" max="2310" width="8.88671875" style="928"/>
    <col min="2311" max="2327" width="10" style="928" customWidth="1"/>
    <col min="2328" max="2566" width="8.88671875" style="928"/>
    <col min="2567" max="2583" width="10" style="928" customWidth="1"/>
    <col min="2584" max="2822" width="8.88671875" style="928"/>
    <col min="2823" max="2839" width="10" style="928" customWidth="1"/>
    <col min="2840" max="3078" width="8.88671875" style="928"/>
    <col min="3079" max="3095" width="10" style="928" customWidth="1"/>
    <col min="3096" max="3334" width="8.88671875" style="928"/>
    <col min="3335" max="3351" width="10" style="928" customWidth="1"/>
    <col min="3352" max="3590" width="8.88671875" style="928"/>
    <col min="3591" max="3607" width="10" style="928" customWidth="1"/>
    <col min="3608" max="3846" width="8.88671875" style="928"/>
    <col min="3847" max="3863" width="10" style="928" customWidth="1"/>
    <col min="3864" max="4102" width="8.88671875" style="928"/>
    <col min="4103" max="4119" width="10" style="928" customWidth="1"/>
    <col min="4120" max="4358" width="8.88671875" style="928"/>
    <col min="4359" max="4375" width="10" style="928" customWidth="1"/>
    <col min="4376" max="4614" width="8.88671875" style="928"/>
    <col min="4615" max="4631" width="10" style="928" customWidth="1"/>
    <col min="4632" max="4870" width="8.88671875" style="928"/>
    <col min="4871" max="4887" width="10" style="928" customWidth="1"/>
    <col min="4888" max="5126" width="8.88671875" style="928"/>
    <col min="5127" max="5143" width="10" style="928" customWidth="1"/>
    <col min="5144" max="5382" width="8.88671875" style="928"/>
    <col min="5383" max="5399" width="10" style="928" customWidth="1"/>
    <col min="5400" max="5638" width="8.88671875" style="928"/>
    <col min="5639" max="5655" width="10" style="928" customWidth="1"/>
    <col min="5656" max="5894" width="8.88671875" style="928"/>
    <col min="5895" max="5911" width="10" style="928" customWidth="1"/>
    <col min="5912" max="6150" width="8.88671875" style="928"/>
    <col min="6151" max="6167" width="10" style="928" customWidth="1"/>
    <col min="6168" max="6406" width="8.88671875" style="928"/>
    <col min="6407" max="6423" width="10" style="928" customWidth="1"/>
    <col min="6424" max="6662" width="8.88671875" style="928"/>
    <col min="6663" max="6679" width="10" style="928" customWidth="1"/>
    <col min="6680" max="6918" width="8.88671875" style="928"/>
    <col min="6919" max="6935" width="10" style="928" customWidth="1"/>
    <col min="6936" max="7174" width="8.88671875" style="928"/>
    <col min="7175" max="7191" width="10" style="928" customWidth="1"/>
    <col min="7192" max="7430" width="8.88671875" style="928"/>
    <col min="7431" max="7447" width="10" style="928" customWidth="1"/>
    <col min="7448" max="7686" width="8.88671875" style="928"/>
    <col min="7687" max="7703" width="10" style="928" customWidth="1"/>
    <col min="7704" max="7942" width="8.88671875" style="928"/>
    <col min="7943" max="7959" width="10" style="928" customWidth="1"/>
    <col min="7960" max="8198" width="8.88671875" style="928"/>
    <col min="8199" max="8215" width="10" style="928" customWidth="1"/>
    <col min="8216" max="8454" width="8.88671875" style="928"/>
    <col min="8455" max="8471" width="10" style="928" customWidth="1"/>
    <col min="8472" max="8710" width="8.88671875" style="928"/>
    <col min="8711" max="8727" width="10" style="928" customWidth="1"/>
    <col min="8728" max="8966" width="8.88671875" style="928"/>
    <col min="8967" max="8983" width="10" style="928" customWidth="1"/>
    <col min="8984" max="9222" width="8.88671875" style="928"/>
    <col min="9223" max="9239" width="10" style="928" customWidth="1"/>
    <col min="9240" max="9478" width="8.88671875" style="928"/>
    <col min="9479" max="9495" width="10" style="928" customWidth="1"/>
    <col min="9496" max="9734" width="8.88671875" style="928"/>
    <col min="9735" max="9751" width="10" style="928" customWidth="1"/>
    <col min="9752" max="9990" width="8.88671875" style="928"/>
    <col min="9991" max="10007" width="10" style="928" customWidth="1"/>
    <col min="10008" max="10246" width="8.88671875" style="928"/>
    <col min="10247" max="10263" width="10" style="928" customWidth="1"/>
    <col min="10264" max="10502" width="8.88671875" style="928"/>
    <col min="10503" max="10519" width="10" style="928" customWidth="1"/>
    <col min="10520" max="10758" width="8.88671875" style="928"/>
    <col min="10759" max="10775" width="10" style="928" customWidth="1"/>
    <col min="10776" max="11014" width="8.88671875" style="928"/>
    <col min="11015" max="11031" width="10" style="928" customWidth="1"/>
    <col min="11032" max="11270" width="8.88671875" style="928"/>
    <col min="11271" max="11287" width="10" style="928" customWidth="1"/>
    <col min="11288" max="11526" width="8.88671875" style="928"/>
    <col min="11527" max="11543" width="10" style="928" customWidth="1"/>
    <col min="11544" max="11782" width="8.88671875" style="928"/>
    <col min="11783" max="11799" width="10" style="928" customWidth="1"/>
    <col min="11800" max="12038" width="8.88671875" style="928"/>
    <col min="12039" max="12055" width="10" style="928" customWidth="1"/>
    <col min="12056" max="12294" width="8.88671875" style="928"/>
    <col min="12295" max="12311" width="10" style="928" customWidth="1"/>
    <col min="12312" max="12550" width="8.88671875" style="928"/>
    <col min="12551" max="12567" width="10" style="928" customWidth="1"/>
    <col min="12568" max="12806" width="8.88671875" style="928"/>
    <col min="12807" max="12823" width="10" style="928" customWidth="1"/>
    <col min="12824" max="13062" width="8.88671875" style="928"/>
    <col min="13063" max="13079" width="10" style="928" customWidth="1"/>
    <col min="13080" max="13318" width="8.88671875" style="928"/>
    <col min="13319" max="13335" width="10" style="928" customWidth="1"/>
    <col min="13336" max="13574" width="8.88671875" style="928"/>
    <col min="13575" max="13591" width="10" style="928" customWidth="1"/>
    <col min="13592" max="13830" width="8.88671875" style="928"/>
    <col min="13831" max="13847" width="10" style="928" customWidth="1"/>
    <col min="13848" max="14086" width="8.88671875" style="928"/>
    <col min="14087" max="14103" width="10" style="928" customWidth="1"/>
    <col min="14104" max="14342" width="8.88671875" style="928"/>
    <col min="14343" max="14359" width="10" style="928" customWidth="1"/>
    <col min="14360" max="14598" width="8.88671875" style="928"/>
    <col min="14599" max="14615" width="10" style="928" customWidth="1"/>
    <col min="14616" max="14854" width="8.88671875" style="928"/>
    <col min="14855" max="14871" width="10" style="928" customWidth="1"/>
    <col min="14872" max="15110" width="8.88671875" style="928"/>
    <col min="15111" max="15127" width="10" style="928" customWidth="1"/>
    <col min="15128" max="15366" width="8.88671875" style="928"/>
    <col min="15367" max="15383" width="10" style="928" customWidth="1"/>
    <col min="15384" max="15622" width="8.88671875" style="928"/>
    <col min="15623" max="15639" width="10" style="928" customWidth="1"/>
    <col min="15640" max="15878" width="8.88671875" style="928"/>
    <col min="15879" max="15895" width="10" style="928" customWidth="1"/>
    <col min="15896" max="16134" width="8.88671875" style="928"/>
    <col min="16135" max="16151" width="10" style="928" customWidth="1"/>
    <col min="16152" max="16384" width="8.88671875" style="928"/>
  </cols>
  <sheetData>
    <row r="1" spans="1:26" ht="20.25">
      <c r="A1" s="965" t="s">
        <v>1408</v>
      </c>
      <c r="B1" s="966"/>
      <c r="C1" s="966"/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  <c r="O1" s="966"/>
      <c r="P1" s="966"/>
      <c r="Q1" s="966"/>
      <c r="R1" s="966"/>
      <c r="S1" s="966"/>
      <c r="T1" s="966"/>
      <c r="U1" s="966"/>
      <c r="V1" s="966"/>
      <c r="W1" s="966"/>
      <c r="X1" s="966"/>
      <c r="Y1" s="966"/>
      <c r="Z1" s="966"/>
    </row>
    <row r="2" spans="1:26">
      <c r="A2" s="2253" t="s">
        <v>1409</v>
      </c>
      <c r="B2" s="2253"/>
      <c r="C2" s="2253" t="s">
        <v>1410</v>
      </c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4" t="s">
        <v>1411</v>
      </c>
      <c r="P2" s="2255"/>
      <c r="Q2" s="2255"/>
      <c r="R2" s="2255"/>
      <c r="S2" s="2255"/>
      <c r="T2" s="2255"/>
      <c r="U2" s="2255"/>
      <c r="V2" s="2255"/>
      <c r="W2" s="2255"/>
      <c r="X2" s="2255"/>
      <c r="Y2" s="2255"/>
      <c r="Z2" s="2256"/>
    </row>
    <row r="3" spans="1:26">
      <c r="A3" s="2253"/>
      <c r="B3" s="2253"/>
      <c r="C3" s="2257" t="s">
        <v>1473</v>
      </c>
      <c r="D3" s="2257" t="s">
        <v>1474</v>
      </c>
      <c r="E3" s="967" t="s">
        <v>1414</v>
      </c>
      <c r="F3" s="967" t="s">
        <v>1415</v>
      </c>
      <c r="G3" s="967" t="s">
        <v>1416</v>
      </c>
      <c r="H3" s="967" t="s">
        <v>1417</v>
      </c>
      <c r="I3" s="967" t="s">
        <v>1418</v>
      </c>
      <c r="J3" s="967" t="s">
        <v>1419</v>
      </c>
      <c r="K3" s="967" t="s">
        <v>1420</v>
      </c>
      <c r="L3" s="967" t="s">
        <v>1421</v>
      </c>
      <c r="M3" s="967" t="s">
        <v>1422</v>
      </c>
      <c r="N3" s="967" t="s">
        <v>1423</v>
      </c>
      <c r="O3" s="2257" t="s">
        <v>1473</v>
      </c>
      <c r="P3" s="2257" t="s">
        <v>1475</v>
      </c>
      <c r="Q3" s="967" t="s">
        <v>1414</v>
      </c>
      <c r="R3" s="967" t="s">
        <v>1415</v>
      </c>
      <c r="S3" s="967" t="s">
        <v>1416</v>
      </c>
      <c r="T3" s="967" t="s">
        <v>1417</v>
      </c>
      <c r="U3" s="967" t="s">
        <v>1418</v>
      </c>
      <c r="V3" s="967" t="s">
        <v>1419</v>
      </c>
      <c r="W3" s="967" t="s">
        <v>1420</v>
      </c>
      <c r="X3" s="967" t="s">
        <v>1421</v>
      </c>
      <c r="Y3" s="967" t="s">
        <v>1422</v>
      </c>
      <c r="Z3" s="967" t="s">
        <v>1423</v>
      </c>
    </row>
    <row r="4" spans="1:26">
      <c r="A4" s="2253"/>
      <c r="B4" s="2253"/>
      <c r="C4" s="2257"/>
      <c r="D4" s="2253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2257"/>
      <c r="P4" s="2253"/>
      <c r="Q4" s="967"/>
      <c r="R4" s="967"/>
      <c r="S4" s="967"/>
      <c r="T4" s="967"/>
      <c r="U4" s="967"/>
      <c r="V4" s="967"/>
      <c r="W4" s="967"/>
      <c r="X4" s="967"/>
      <c r="Y4" s="967"/>
      <c r="Z4" s="967"/>
    </row>
    <row r="5" spans="1:26">
      <c r="A5" s="2252" t="s">
        <v>1425</v>
      </c>
      <c r="B5" s="968" t="s">
        <v>552</v>
      </c>
      <c r="C5" s="969">
        <v>15552.904109589042</v>
      </c>
      <c r="D5" s="969">
        <v>5676810</v>
      </c>
      <c r="E5" s="970">
        <v>5676810</v>
      </c>
      <c r="F5" s="970">
        <v>1336642</v>
      </c>
      <c r="G5" s="970">
        <v>1404449</v>
      </c>
      <c r="H5" s="970">
        <v>147564</v>
      </c>
      <c r="I5" s="970">
        <v>142036</v>
      </c>
      <c r="J5" s="970">
        <v>129568</v>
      </c>
      <c r="K5" s="970">
        <v>1023490</v>
      </c>
      <c r="L5" s="970">
        <v>263992</v>
      </c>
      <c r="M5" s="970">
        <v>432298</v>
      </c>
      <c r="N5" s="970">
        <v>796771</v>
      </c>
      <c r="O5" s="969">
        <v>2770.3890410958902</v>
      </c>
      <c r="P5" s="971">
        <v>1011192</v>
      </c>
      <c r="Q5" s="972">
        <v>505596</v>
      </c>
      <c r="R5" s="972">
        <v>153423</v>
      </c>
      <c r="S5" s="972">
        <v>214677</v>
      </c>
      <c r="T5" s="972">
        <v>0</v>
      </c>
      <c r="U5" s="972">
        <v>0</v>
      </c>
      <c r="V5" s="972">
        <v>0</v>
      </c>
      <c r="W5" s="972">
        <v>33112</v>
      </c>
      <c r="X5" s="972">
        <v>38257</v>
      </c>
      <c r="Y5" s="972">
        <v>7122</v>
      </c>
      <c r="Z5" s="972">
        <v>59005</v>
      </c>
    </row>
    <row r="6" spans="1:26">
      <c r="A6" s="2252"/>
      <c r="B6" s="973" t="s">
        <v>1426</v>
      </c>
      <c r="C6" s="974">
        <v>11000.690410958905</v>
      </c>
      <c r="D6" s="974">
        <v>4015252</v>
      </c>
      <c r="E6" s="974">
        <v>4015252</v>
      </c>
      <c r="F6" s="974">
        <v>946237</v>
      </c>
      <c r="G6" s="974">
        <v>1054645</v>
      </c>
      <c r="H6" s="974">
        <v>125635</v>
      </c>
      <c r="I6" s="974">
        <v>93416</v>
      </c>
      <c r="J6" s="974">
        <v>114002</v>
      </c>
      <c r="K6" s="974">
        <v>773785</v>
      </c>
      <c r="L6" s="974">
        <v>144449</v>
      </c>
      <c r="M6" s="974">
        <v>181041</v>
      </c>
      <c r="N6" s="974">
        <v>582042</v>
      </c>
      <c r="O6" s="974">
        <v>1073.6109589041096</v>
      </c>
      <c r="P6" s="974">
        <v>391868</v>
      </c>
      <c r="Q6" s="974">
        <v>195934</v>
      </c>
      <c r="R6" s="977">
        <v>37623</v>
      </c>
      <c r="S6" s="977">
        <v>89094</v>
      </c>
      <c r="T6" s="977">
        <v>0</v>
      </c>
      <c r="U6" s="977">
        <v>0</v>
      </c>
      <c r="V6" s="977">
        <v>0</v>
      </c>
      <c r="W6" s="977">
        <v>9199</v>
      </c>
      <c r="X6" s="977">
        <v>33923</v>
      </c>
      <c r="Y6" s="977">
        <v>4102</v>
      </c>
      <c r="Z6" s="977">
        <v>21993</v>
      </c>
    </row>
    <row r="7" spans="1:26">
      <c r="A7" s="2252"/>
      <c r="B7" s="973" t="s">
        <v>1449</v>
      </c>
      <c r="C7" s="974">
        <v>0.92602739726027394</v>
      </c>
      <c r="D7" s="974">
        <v>338</v>
      </c>
      <c r="E7" s="974">
        <v>338</v>
      </c>
      <c r="F7" s="974">
        <v>0</v>
      </c>
      <c r="G7" s="974">
        <v>0</v>
      </c>
      <c r="H7" s="974">
        <v>0</v>
      </c>
      <c r="I7" s="974">
        <v>0</v>
      </c>
      <c r="J7" s="974">
        <v>0</v>
      </c>
      <c r="K7" s="974">
        <v>338</v>
      </c>
      <c r="L7" s="974">
        <v>0</v>
      </c>
      <c r="M7" s="974">
        <v>0</v>
      </c>
      <c r="N7" s="974">
        <v>0</v>
      </c>
      <c r="O7" s="974">
        <v>0</v>
      </c>
      <c r="P7" s="974">
        <v>0</v>
      </c>
      <c r="Q7" s="974">
        <v>0</v>
      </c>
      <c r="R7" s="977">
        <v>0</v>
      </c>
      <c r="S7" s="977">
        <v>0</v>
      </c>
      <c r="T7" s="977">
        <v>0</v>
      </c>
      <c r="U7" s="977">
        <v>0</v>
      </c>
      <c r="V7" s="977">
        <v>0</v>
      </c>
      <c r="W7" s="977">
        <v>0</v>
      </c>
      <c r="X7" s="977">
        <v>0</v>
      </c>
      <c r="Y7" s="977">
        <v>0</v>
      </c>
      <c r="Z7" s="977">
        <v>0</v>
      </c>
    </row>
    <row r="8" spans="1:26" s="976" customFormat="1">
      <c r="A8" s="2252"/>
      <c r="B8" s="973" t="s">
        <v>1439</v>
      </c>
      <c r="C8" s="974">
        <v>104.96712328767123</v>
      </c>
      <c r="D8" s="974">
        <v>38313</v>
      </c>
      <c r="E8" s="974">
        <v>38313</v>
      </c>
      <c r="F8" s="974">
        <v>37396</v>
      </c>
      <c r="G8" s="974">
        <v>369</v>
      </c>
      <c r="H8" s="974">
        <v>0</v>
      </c>
      <c r="I8" s="974">
        <v>0</v>
      </c>
      <c r="J8" s="974">
        <v>0</v>
      </c>
      <c r="K8" s="974">
        <v>548</v>
      </c>
      <c r="L8" s="974">
        <v>0</v>
      </c>
      <c r="M8" s="974">
        <v>0</v>
      </c>
      <c r="N8" s="974">
        <v>0</v>
      </c>
      <c r="O8" s="974">
        <v>0</v>
      </c>
      <c r="P8" s="974">
        <v>0</v>
      </c>
      <c r="Q8" s="974">
        <v>0</v>
      </c>
      <c r="R8" s="977">
        <v>0</v>
      </c>
      <c r="S8" s="977">
        <v>0</v>
      </c>
      <c r="T8" s="977">
        <v>0</v>
      </c>
      <c r="U8" s="977">
        <v>0</v>
      </c>
      <c r="V8" s="977">
        <v>0</v>
      </c>
      <c r="W8" s="977">
        <v>0</v>
      </c>
      <c r="X8" s="977">
        <v>0</v>
      </c>
      <c r="Y8" s="977">
        <v>0</v>
      </c>
      <c r="Z8" s="977">
        <v>0</v>
      </c>
    </row>
    <row r="9" spans="1:26">
      <c r="A9" s="2252"/>
      <c r="B9" s="973" t="s">
        <v>1468</v>
      </c>
      <c r="C9" s="974">
        <v>69.07123287671233</v>
      </c>
      <c r="D9" s="974">
        <v>25211</v>
      </c>
      <c r="E9" s="974">
        <v>25211</v>
      </c>
      <c r="F9" s="974">
        <v>7047</v>
      </c>
      <c r="G9" s="974">
        <v>6201</v>
      </c>
      <c r="H9" s="974">
        <v>0</v>
      </c>
      <c r="I9" s="974">
        <v>626</v>
      </c>
      <c r="J9" s="974">
        <v>0</v>
      </c>
      <c r="K9" s="974">
        <v>4832</v>
      </c>
      <c r="L9" s="974">
        <v>1320</v>
      </c>
      <c r="M9" s="974">
        <v>1999</v>
      </c>
      <c r="N9" s="974">
        <v>3186</v>
      </c>
      <c r="O9" s="974">
        <v>0</v>
      </c>
      <c r="P9" s="974">
        <v>0</v>
      </c>
      <c r="Q9" s="974">
        <v>0</v>
      </c>
      <c r="R9" s="977">
        <v>0</v>
      </c>
      <c r="S9" s="977">
        <v>0</v>
      </c>
      <c r="T9" s="977">
        <v>0</v>
      </c>
      <c r="U9" s="977">
        <v>0</v>
      </c>
      <c r="V9" s="977">
        <v>0</v>
      </c>
      <c r="W9" s="977">
        <v>0</v>
      </c>
      <c r="X9" s="977">
        <v>0</v>
      </c>
      <c r="Y9" s="977">
        <v>0</v>
      </c>
      <c r="Z9" s="977">
        <v>0</v>
      </c>
    </row>
    <row r="10" spans="1:26">
      <c r="A10" s="2252"/>
      <c r="B10" s="973" t="s">
        <v>1441</v>
      </c>
      <c r="C10" s="974">
        <v>0.17808219178082191</v>
      </c>
      <c r="D10" s="974">
        <v>65</v>
      </c>
      <c r="E10" s="974">
        <v>65</v>
      </c>
      <c r="F10" s="974">
        <v>0</v>
      </c>
      <c r="G10" s="974">
        <v>2</v>
      </c>
      <c r="H10" s="974">
        <v>0</v>
      </c>
      <c r="I10" s="974">
        <v>0</v>
      </c>
      <c r="J10" s="974">
        <v>0</v>
      </c>
      <c r="K10" s="974">
        <v>0</v>
      </c>
      <c r="L10" s="974">
        <v>0</v>
      </c>
      <c r="M10" s="974">
        <v>0</v>
      </c>
      <c r="N10" s="974">
        <v>63</v>
      </c>
      <c r="O10" s="974">
        <v>869.69863013698625</v>
      </c>
      <c r="P10" s="974">
        <v>317440</v>
      </c>
      <c r="Q10" s="974">
        <v>158720</v>
      </c>
      <c r="R10" s="977">
        <v>74289</v>
      </c>
      <c r="S10" s="977">
        <v>45689</v>
      </c>
      <c r="T10" s="977">
        <v>0</v>
      </c>
      <c r="U10" s="977">
        <v>0</v>
      </c>
      <c r="V10" s="977">
        <v>0</v>
      </c>
      <c r="W10" s="977">
        <v>17987</v>
      </c>
      <c r="X10" s="977">
        <v>0</v>
      </c>
      <c r="Y10" s="977">
        <v>0</v>
      </c>
      <c r="Z10" s="977">
        <v>20755</v>
      </c>
    </row>
    <row r="11" spans="1:26">
      <c r="A11" s="2252"/>
      <c r="B11" s="973" t="s">
        <v>1442</v>
      </c>
      <c r="C11" s="974">
        <v>12.087671232876712</v>
      </c>
      <c r="D11" s="974">
        <v>4412</v>
      </c>
      <c r="E11" s="974">
        <v>4412</v>
      </c>
      <c r="F11" s="974">
        <v>4412</v>
      </c>
      <c r="G11" s="974">
        <v>0</v>
      </c>
      <c r="H11" s="974">
        <v>0</v>
      </c>
      <c r="I11" s="974">
        <v>0</v>
      </c>
      <c r="J11" s="974">
        <v>0</v>
      </c>
      <c r="K11" s="974">
        <v>0</v>
      </c>
      <c r="L11" s="974">
        <v>0</v>
      </c>
      <c r="M11" s="974">
        <v>0</v>
      </c>
      <c r="N11" s="974">
        <v>0</v>
      </c>
      <c r="O11" s="974">
        <v>0</v>
      </c>
      <c r="P11" s="974">
        <v>0</v>
      </c>
      <c r="Q11" s="974">
        <v>0</v>
      </c>
      <c r="R11" s="977">
        <v>0</v>
      </c>
      <c r="S11" s="977">
        <v>0</v>
      </c>
      <c r="T11" s="977">
        <v>0</v>
      </c>
      <c r="U11" s="977">
        <v>0</v>
      </c>
      <c r="V11" s="977">
        <v>0</v>
      </c>
      <c r="W11" s="977">
        <v>0</v>
      </c>
      <c r="X11" s="977">
        <v>0</v>
      </c>
      <c r="Y11" s="977">
        <v>0</v>
      </c>
      <c r="Z11" s="977">
        <v>0</v>
      </c>
    </row>
    <row r="12" spans="1:26">
      <c r="A12" s="2252"/>
      <c r="B12" s="973" t="s">
        <v>1443</v>
      </c>
      <c r="C12" s="974">
        <v>0</v>
      </c>
      <c r="D12" s="974">
        <v>0</v>
      </c>
      <c r="E12" s="974">
        <v>0</v>
      </c>
      <c r="F12" s="974">
        <v>0</v>
      </c>
      <c r="G12" s="974">
        <v>0</v>
      </c>
      <c r="H12" s="974">
        <v>0</v>
      </c>
      <c r="I12" s="974">
        <v>0</v>
      </c>
      <c r="J12" s="974">
        <v>0</v>
      </c>
      <c r="K12" s="974">
        <v>0</v>
      </c>
      <c r="L12" s="974">
        <v>0</v>
      </c>
      <c r="M12" s="974">
        <v>0</v>
      </c>
      <c r="N12" s="974">
        <v>0</v>
      </c>
      <c r="O12" s="974">
        <v>0</v>
      </c>
      <c r="P12" s="974">
        <v>0</v>
      </c>
      <c r="Q12" s="974">
        <v>0</v>
      </c>
      <c r="R12" s="977">
        <v>0</v>
      </c>
      <c r="S12" s="977">
        <v>0</v>
      </c>
      <c r="T12" s="977">
        <v>0</v>
      </c>
      <c r="U12" s="977">
        <v>0</v>
      </c>
      <c r="V12" s="977">
        <v>0</v>
      </c>
      <c r="W12" s="977">
        <v>0</v>
      </c>
      <c r="X12" s="977">
        <v>0</v>
      </c>
      <c r="Y12" s="977">
        <v>0</v>
      </c>
      <c r="Z12" s="977">
        <v>0</v>
      </c>
    </row>
    <row r="13" spans="1:26">
      <c r="A13" s="2252"/>
      <c r="B13" s="973" t="s">
        <v>1444</v>
      </c>
      <c r="C13" s="974">
        <v>1205.3616438356164</v>
      </c>
      <c r="D13" s="974">
        <v>439957</v>
      </c>
      <c r="E13" s="974">
        <v>439957</v>
      </c>
      <c r="F13" s="974">
        <v>54499</v>
      </c>
      <c r="G13" s="974">
        <v>34833</v>
      </c>
      <c r="H13" s="974">
        <v>3242</v>
      </c>
      <c r="I13" s="974">
        <v>24456</v>
      </c>
      <c r="J13" s="974">
        <v>3850</v>
      </c>
      <c r="K13" s="974">
        <v>54454</v>
      </c>
      <c r="L13" s="974">
        <v>71418</v>
      </c>
      <c r="M13" s="974">
        <v>127012</v>
      </c>
      <c r="N13" s="974">
        <v>66193</v>
      </c>
      <c r="O13" s="974">
        <v>87.857534246575341</v>
      </c>
      <c r="P13" s="974">
        <v>32068</v>
      </c>
      <c r="Q13" s="974">
        <v>16034</v>
      </c>
      <c r="R13" s="977">
        <v>10661</v>
      </c>
      <c r="S13" s="977">
        <v>4810</v>
      </c>
      <c r="T13" s="977">
        <v>0</v>
      </c>
      <c r="U13" s="977">
        <v>0</v>
      </c>
      <c r="V13" s="977">
        <v>0</v>
      </c>
      <c r="W13" s="977">
        <v>0</v>
      </c>
      <c r="X13" s="977">
        <v>0</v>
      </c>
      <c r="Y13" s="977">
        <v>0</v>
      </c>
      <c r="Z13" s="977">
        <v>563</v>
      </c>
    </row>
    <row r="14" spans="1:26">
      <c r="A14" s="2252"/>
      <c r="B14" s="973" t="s">
        <v>1451</v>
      </c>
      <c r="C14" s="974">
        <v>2700.5780821917806</v>
      </c>
      <c r="D14" s="974">
        <v>985711</v>
      </c>
      <c r="E14" s="974">
        <v>985711</v>
      </c>
      <c r="F14" s="974">
        <v>233093</v>
      </c>
      <c r="G14" s="974">
        <v>271396</v>
      </c>
      <c r="H14" s="974">
        <v>12892</v>
      </c>
      <c r="I14" s="974">
        <v>8970</v>
      </c>
      <c r="J14" s="974">
        <v>9812</v>
      </c>
      <c r="K14" s="974">
        <v>169523</v>
      </c>
      <c r="L14" s="974">
        <v>42624</v>
      </c>
      <c r="M14" s="974">
        <v>113368</v>
      </c>
      <c r="N14" s="974">
        <v>124033</v>
      </c>
      <c r="O14" s="974">
        <v>739.22191780821913</v>
      </c>
      <c r="P14" s="974">
        <v>269816</v>
      </c>
      <c r="Q14" s="974">
        <v>134908</v>
      </c>
      <c r="R14" s="977">
        <v>30850</v>
      </c>
      <c r="S14" s="977">
        <v>75084</v>
      </c>
      <c r="T14" s="977">
        <v>0</v>
      </c>
      <c r="U14" s="977">
        <v>0</v>
      </c>
      <c r="V14" s="977">
        <v>0</v>
      </c>
      <c r="W14" s="977">
        <v>5926</v>
      </c>
      <c r="X14" s="977">
        <v>4334</v>
      </c>
      <c r="Y14" s="977">
        <v>3020</v>
      </c>
      <c r="Z14" s="977">
        <v>15694</v>
      </c>
    </row>
    <row r="15" spans="1:26">
      <c r="A15" s="2252"/>
      <c r="B15" s="973" t="s">
        <v>1446</v>
      </c>
      <c r="C15" s="974">
        <v>459.04383561643834</v>
      </c>
      <c r="D15" s="974">
        <v>167551</v>
      </c>
      <c r="E15" s="974">
        <v>167551</v>
      </c>
      <c r="F15" s="974">
        <v>53958</v>
      </c>
      <c r="G15" s="974">
        <v>37003</v>
      </c>
      <c r="H15" s="974">
        <v>5795</v>
      </c>
      <c r="I15" s="974">
        <v>14568</v>
      </c>
      <c r="J15" s="974">
        <v>1904</v>
      </c>
      <c r="K15" s="974">
        <v>20010</v>
      </c>
      <c r="L15" s="974">
        <v>4181</v>
      </c>
      <c r="M15" s="974">
        <v>8878</v>
      </c>
      <c r="N15" s="974">
        <v>21254</v>
      </c>
      <c r="O15" s="974">
        <v>0</v>
      </c>
      <c r="P15" s="974">
        <v>0</v>
      </c>
      <c r="Q15" s="974">
        <v>0</v>
      </c>
      <c r="R15" s="977">
        <v>0</v>
      </c>
      <c r="S15" s="977">
        <v>0</v>
      </c>
      <c r="T15" s="977">
        <v>0</v>
      </c>
      <c r="U15" s="977">
        <v>0</v>
      </c>
      <c r="V15" s="977">
        <v>0</v>
      </c>
      <c r="W15" s="977">
        <v>0</v>
      </c>
      <c r="X15" s="977">
        <v>0</v>
      </c>
      <c r="Y15" s="977">
        <v>0</v>
      </c>
      <c r="Z15" s="977">
        <v>0</v>
      </c>
    </row>
    <row r="16" spans="1:26">
      <c r="A16" s="2252"/>
      <c r="B16" s="973" t="s">
        <v>1427</v>
      </c>
      <c r="C16" s="974">
        <v>0</v>
      </c>
      <c r="D16" s="974">
        <v>0</v>
      </c>
      <c r="E16" s="974">
        <v>0</v>
      </c>
      <c r="F16" s="974">
        <v>0</v>
      </c>
      <c r="G16" s="974">
        <v>0</v>
      </c>
      <c r="H16" s="974">
        <v>0</v>
      </c>
      <c r="I16" s="974">
        <v>0</v>
      </c>
      <c r="J16" s="974">
        <v>0</v>
      </c>
      <c r="K16" s="974">
        <v>0</v>
      </c>
      <c r="L16" s="974">
        <v>0</v>
      </c>
      <c r="M16" s="974">
        <v>0</v>
      </c>
      <c r="N16" s="974">
        <v>0</v>
      </c>
      <c r="O16" s="974">
        <v>0</v>
      </c>
      <c r="P16" s="974">
        <v>0</v>
      </c>
      <c r="Q16" s="974">
        <v>0</v>
      </c>
      <c r="R16" s="977">
        <v>0</v>
      </c>
      <c r="S16" s="977">
        <v>0</v>
      </c>
      <c r="T16" s="977">
        <v>0</v>
      </c>
      <c r="U16" s="977">
        <v>0</v>
      </c>
      <c r="V16" s="977">
        <v>0</v>
      </c>
      <c r="W16" s="977">
        <v>0</v>
      </c>
      <c r="X16" s="977">
        <v>0</v>
      </c>
      <c r="Y16" s="977">
        <v>0</v>
      </c>
      <c r="Z16" s="977">
        <v>0</v>
      </c>
    </row>
    <row r="17" spans="1:26">
      <c r="A17" s="2252" t="s">
        <v>1448</v>
      </c>
      <c r="B17" s="968" t="s">
        <v>552</v>
      </c>
      <c r="C17" s="969">
        <v>16911.978082191781</v>
      </c>
      <c r="D17" s="969">
        <v>6172872</v>
      </c>
      <c r="E17" s="970">
        <v>6172872</v>
      </c>
      <c r="F17" s="970">
        <v>1380532</v>
      </c>
      <c r="G17" s="970">
        <v>1479581</v>
      </c>
      <c r="H17" s="970">
        <v>145579</v>
      </c>
      <c r="I17" s="970">
        <v>147731</v>
      </c>
      <c r="J17" s="970">
        <v>148352</v>
      </c>
      <c r="K17" s="970">
        <v>1092571</v>
      </c>
      <c r="L17" s="970">
        <v>482743</v>
      </c>
      <c r="M17" s="970">
        <v>497199</v>
      </c>
      <c r="N17" s="970">
        <v>798584</v>
      </c>
      <c r="O17" s="969">
        <v>2689.6273972602739</v>
      </c>
      <c r="P17" s="971">
        <v>981714</v>
      </c>
      <c r="Q17" s="972">
        <v>490857</v>
      </c>
      <c r="R17" s="972">
        <v>162472</v>
      </c>
      <c r="S17" s="972">
        <v>215334</v>
      </c>
      <c r="T17" s="972">
        <v>0</v>
      </c>
      <c r="U17" s="972">
        <v>0</v>
      </c>
      <c r="V17" s="972">
        <v>0</v>
      </c>
      <c r="W17" s="972">
        <v>49307</v>
      </c>
      <c r="X17" s="972">
        <v>3497</v>
      </c>
      <c r="Y17" s="972">
        <v>6258</v>
      </c>
      <c r="Z17" s="972">
        <v>53989</v>
      </c>
    </row>
    <row r="18" spans="1:26">
      <c r="A18" s="2252"/>
      <c r="B18" s="973" t="s">
        <v>1476</v>
      </c>
      <c r="C18" s="974">
        <v>12522.65205479452</v>
      </c>
      <c r="D18" s="974">
        <v>4570768</v>
      </c>
      <c r="E18" s="974">
        <v>4570768</v>
      </c>
      <c r="F18" s="974">
        <v>1002261</v>
      </c>
      <c r="G18" s="974">
        <v>1129821</v>
      </c>
      <c r="H18" s="974">
        <v>128519</v>
      </c>
      <c r="I18" s="974">
        <v>104487</v>
      </c>
      <c r="J18" s="974">
        <v>131679</v>
      </c>
      <c r="K18" s="974">
        <v>865743</v>
      </c>
      <c r="L18" s="974">
        <v>405880</v>
      </c>
      <c r="M18" s="974">
        <v>209900</v>
      </c>
      <c r="N18" s="974">
        <v>592478</v>
      </c>
      <c r="O18" s="974">
        <v>901.71506849315074</v>
      </c>
      <c r="P18" s="974">
        <v>329126</v>
      </c>
      <c r="Q18" s="974">
        <v>164563</v>
      </c>
      <c r="R18" s="977">
        <v>38024</v>
      </c>
      <c r="S18" s="977">
        <v>77519</v>
      </c>
      <c r="T18" s="977">
        <v>0</v>
      </c>
      <c r="U18" s="977">
        <v>0</v>
      </c>
      <c r="V18" s="977">
        <v>0</v>
      </c>
      <c r="W18" s="977">
        <v>24567</v>
      </c>
      <c r="X18" s="977">
        <v>2262</v>
      </c>
      <c r="Y18" s="977">
        <v>4045</v>
      </c>
      <c r="Z18" s="977">
        <v>18146</v>
      </c>
    </row>
    <row r="19" spans="1:26">
      <c r="A19" s="2252"/>
      <c r="B19" s="973" t="s">
        <v>1449</v>
      </c>
      <c r="C19" s="974">
        <v>0</v>
      </c>
      <c r="D19" s="974">
        <v>0</v>
      </c>
      <c r="E19" s="974">
        <v>0</v>
      </c>
      <c r="F19" s="974">
        <v>0</v>
      </c>
      <c r="G19" s="974">
        <v>0</v>
      </c>
      <c r="H19" s="974">
        <v>0</v>
      </c>
      <c r="I19" s="974">
        <v>0</v>
      </c>
      <c r="J19" s="974">
        <v>0</v>
      </c>
      <c r="K19" s="974">
        <v>0</v>
      </c>
      <c r="L19" s="974">
        <v>0</v>
      </c>
      <c r="M19" s="974">
        <v>0</v>
      </c>
      <c r="N19" s="974">
        <v>0</v>
      </c>
      <c r="O19" s="974">
        <v>0</v>
      </c>
      <c r="P19" s="974">
        <v>0</v>
      </c>
      <c r="Q19" s="974">
        <v>0</v>
      </c>
      <c r="R19" s="977">
        <v>0</v>
      </c>
      <c r="S19" s="977">
        <v>0</v>
      </c>
      <c r="T19" s="977">
        <v>0</v>
      </c>
      <c r="U19" s="977">
        <v>0</v>
      </c>
      <c r="V19" s="977">
        <v>0</v>
      </c>
      <c r="W19" s="977">
        <v>0</v>
      </c>
      <c r="X19" s="977">
        <v>0</v>
      </c>
      <c r="Y19" s="977">
        <v>0</v>
      </c>
      <c r="Z19" s="977">
        <v>0</v>
      </c>
    </row>
    <row r="20" spans="1:26" s="976" customFormat="1">
      <c r="A20" s="2252"/>
      <c r="B20" s="973" t="s">
        <v>1439</v>
      </c>
      <c r="C20" s="974">
        <v>126.18356164383562</v>
      </c>
      <c r="D20" s="974">
        <v>46057</v>
      </c>
      <c r="E20" s="974">
        <v>46057</v>
      </c>
      <c r="F20" s="974">
        <v>43209</v>
      </c>
      <c r="G20" s="974">
        <v>1192</v>
      </c>
      <c r="H20" s="974">
        <v>0</v>
      </c>
      <c r="I20" s="974">
        <v>0</v>
      </c>
      <c r="J20" s="974">
        <v>0</v>
      </c>
      <c r="K20" s="974">
        <v>1656</v>
      </c>
      <c r="L20" s="974">
        <v>0</v>
      </c>
      <c r="M20" s="974">
        <v>0</v>
      </c>
      <c r="N20" s="974">
        <v>0</v>
      </c>
      <c r="O20" s="974">
        <v>15.797260273972602</v>
      </c>
      <c r="P20" s="974">
        <v>5766</v>
      </c>
      <c r="Q20" s="974">
        <v>2883</v>
      </c>
      <c r="R20" s="977">
        <v>0</v>
      </c>
      <c r="S20" s="977">
        <v>0</v>
      </c>
      <c r="T20" s="977">
        <v>0</v>
      </c>
      <c r="U20" s="977">
        <v>0</v>
      </c>
      <c r="V20" s="977">
        <v>0</v>
      </c>
      <c r="W20" s="977">
        <v>2883</v>
      </c>
      <c r="X20" s="977">
        <v>0</v>
      </c>
      <c r="Y20" s="977">
        <v>0</v>
      </c>
      <c r="Z20" s="977">
        <v>0</v>
      </c>
    </row>
    <row r="21" spans="1:26">
      <c r="A21" s="2252"/>
      <c r="B21" s="973" t="s">
        <v>1440</v>
      </c>
      <c r="C21" s="974">
        <v>73.712328767123282</v>
      </c>
      <c r="D21" s="974">
        <v>26905</v>
      </c>
      <c r="E21" s="974">
        <v>26905</v>
      </c>
      <c r="F21" s="974">
        <v>7425</v>
      </c>
      <c r="G21" s="974">
        <v>6887</v>
      </c>
      <c r="H21" s="974">
        <v>0</v>
      </c>
      <c r="I21" s="974">
        <v>739</v>
      </c>
      <c r="J21" s="974">
        <v>0</v>
      </c>
      <c r="K21" s="974">
        <v>5306</v>
      </c>
      <c r="L21" s="974">
        <v>1168</v>
      </c>
      <c r="M21" s="974">
        <v>1984</v>
      </c>
      <c r="N21" s="974">
        <v>3396</v>
      </c>
      <c r="O21" s="974">
        <v>0</v>
      </c>
      <c r="P21" s="974">
        <v>0</v>
      </c>
      <c r="Q21" s="974">
        <v>0</v>
      </c>
      <c r="R21" s="977">
        <v>0</v>
      </c>
      <c r="S21" s="977">
        <v>0</v>
      </c>
      <c r="T21" s="977">
        <v>0</v>
      </c>
      <c r="U21" s="977">
        <v>0</v>
      </c>
      <c r="V21" s="977">
        <v>0</v>
      </c>
      <c r="W21" s="977">
        <v>0</v>
      </c>
      <c r="X21" s="977">
        <v>0</v>
      </c>
      <c r="Y21" s="977">
        <v>0</v>
      </c>
      <c r="Z21" s="977">
        <v>0</v>
      </c>
    </row>
    <row r="22" spans="1:26">
      <c r="A22" s="2252"/>
      <c r="B22" s="973" t="s">
        <v>1441</v>
      </c>
      <c r="C22" s="974">
        <v>0.9945205479452055</v>
      </c>
      <c r="D22" s="974">
        <v>363</v>
      </c>
      <c r="E22" s="974">
        <v>363</v>
      </c>
      <c r="F22" s="974">
        <v>0</v>
      </c>
      <c r="G22" s="974">
        <v>3</v>
      </c>
      <c r="H22" s="974">
        <v>0</v>
      </c>
      <c r="I22" s="974">
        <v>0</v>
      </c>
      <c r="J22" s="974">
        <v>0</v>
      </c>
      <c r="K22" s="974">
        <v>0</v>
      </c>
      <c r="L22" s="974">
        <v>0</v>
      </c>
      <c r="M22" s="974">
        <v>0</v>
      </c>
      <c r="N22" s="974">
        <v>360</v>
      </c>
      <c r="O22" s="974">
        <v>890.80547945205478</v>
      </c>
      <c r="P22" s="974">
        <v>325144</v>
      </c>
      <c r="Q22" s="974">
        <v>162572</v>
      </c>
      <c r="R22" s="977">
        <v>65179</v>
      </c>
      <c r="S22" s="977">
        <v>60239</v>
      </c>
      <c r="T22" s="977">
        <v>0</v>
      </c>
      <c r="U22" s="977">
        <v>0</v>
      </c>
      <c r="V22" s="977">
        <v>0</v>
      </c>
      <c r="W22" s="977">
        <v>15769</v>
      </c>
      <c r="X22" s="977">
        <v>0</v>
      </c>
      <c r="Y22" s="977">
        <v>0</v>
      </c>
      <c r="Z22" s="977">
        <v>21385</v>
      </c>
    </row>
    <row r="23" spans="1:26">
      <c r="A23" s="2252"/>
      <c r="B23" s="973" t="s">
        <v>1477</v>
      </c>
      <c r="C23" s="974">
        <v>1.4356164383561645</v>
      </c>
      <c r="D23" s="974">
        <v>524</v>
      </c>
      <c r="E23" s="974">
        <v>524</v>
      </c>
      <c r="F23" s="974">
        <v>524</v>
      </c>
      <c r="G23" s="974">
        <v>0</v>
      </c>
      <c r="H23" s="974">
        <v>0</v>
      </c>
      <c r="I23" s="974">
        <v>0</v>
      </c>
      <c r="J23" s="974">
        <v>0</v>
      </c>
      <c r="K23" s="974">
        <v>0</v>
      </c>
      <c r="L23" s="974">
        <v>0</v>
      </c>
      <c r="M23" s="974">
        <v>0</v>
      </c>
      <c r="N23" s="974">
        <v>0</v>
      </c>
      <c r="O23" s="974">
        <v>0</v>
      </c>
      <c r="P23" s="974">
        <v>0</v>
      </c>
      <c r="Q23" s="974">
        <v>0</v>
      </c>
      <c r="R23" s="977">
        <v>0</v>
      </c>
      <c r="S23" s="977">
        <v>0</v>
      </c>
      <c r="T23" s="977">
        <v>0</v>
      </c>
      <c r="U23" s="977">
        <v>0</v>
      </c>
      <c r="V23" s="977">
        <v>0</v>
      </c>
      <c r="W23" s="977">
        <v>0</v>
      </c>
      <c r="X23" s="977">
        <v>0</v>
      </c>
      <c r="Y23" s="977">
        <v>0</v>
      </c>
      <c r="Z23" s="977">
        <v>0</v>
      </c>
    </row>
    <row r="24" spans="1:26">
      <c r="A24" s="2252"/>
      <c r="B24" s="973" t="s">
        <v>1478</v>
      </c>
      <c r="C24" s="974">
        <v>0</v>
      </c>
      <c r="D24" s="974">
        <v>0</v>
      </c>
      <c r="E24" s="974">
        <v>0</v>
      </c>
      <c r="F24" s="974">
        <v>0</v>
      </c>
      <c r="G24" s="974">
        <v>0</v>
      </c>
      <c r="H24" s="974">
        <v>0</v>
      </c>
      <c r="I24" s="974">
        <v>0</v>
      </c>
      <c r="J24" s="974">
        <v>0</v>
      </c>
      <c r="K24" s="974">
        <v>0</v>
      </c>
      <c r="L24" s="974">
        <v>0</v>
      </c>
      <c r="M24" s="974">
        <v>0</v>
      </c>
      <c r="N24" s="974">
        <v>0</v>
      </c>
      <c r="O24" s="974">
        <v>0</v>
      </c>
      <c r="P24" s="974">
        <v>0</v>
      </c>
      <c r="Q24" s="974">
        <v>0</v>
      </c>
      <c r="R24" s="977">
        <v>0</v>
      </c>
      <c r="S24" s="977">
        <v>0</v>
      </c>
      <c r="T24" s="977">
        <v>0</v>
      </c>
      <c r="U24" s="977">
        <v>0</v>
      </c>
      <c r="V24" s="977">
        <v>0</v>
      </c>
      <c r="W24" s="977">
        <v>0</v>
      </c>
      <c r="X24" s="977">
        <v>0</v>
      </c>
      <c r="Y24" s="977">
        <v>0</v>
      </c>
      <c r="Z24" s="977">
        <v>0</v>
      </c>
    </row>
    <row r="25" spans="1:26">
      <c r="A25" s="2252"/>
      <c r="B25" s="973" t="s">
        <v>1479</v>
      </c>
      <c r="C25" s="974">
        <v>841.09315068493152</v>
      </c>
      <c r="D25" s="974">
        <v>306999</v>
      </c>
      <c r="E25" s="974">
        <v>306999</v>
      </c>
      <c r="F25" s="974">
        <v>57419</v>
      </c>
      <c r="G25" s="974">
        <v>34062</v>
      </c>
      <c r="H25" s="974">
        <v>2753</v>
      </c>
      <c r="I25" s="974">
        <v>4298</v>
      </c>
      <c r="J25" s="974">
        <v>2753</v>
      </c>
      <c r="K25" s="974">
        <v>36946</v>
      </c>
      <c r="L25" s="974">
        <v>8828</v>
      </c>
      <c r="M25" s="974">
        <v>90008</v>
      </c>
      <c r="N25" s="974">
        <v>69932</v>
      </c>
      <c r="O25" s="974">
        <v>170.10958904109589</v>
      </c>
      <c r="P25" s="974">
        <v>62090</v>
      </c>
      <c r="Q25" s="974">
        <v>31045</v>
      </c>
      <c r="R25" s="977">
        <v>15996</v>
      </c>
      <c r="S25" s="977">
        <v>14550</v>
      </c>
      <c r="T25" s="977">
        <v>0</v>
      </c>
      <c r="U25" s="977">
        <v>0</v>
      </c>
      <c r="V25" s="977">
        <v>0</v>
      </c>
      <c r="W25" s="977">
        <v>0</v>
      </c>
      <c r="X25" s="977">
        <v>0</v>
      </c>
      <c r="Y25" s="977">
        <v>0</v>
      </c>
      <c r="Z25" s="977">
        <v>499</v>
      </c>
    </row>
    <row r="26" spans="1:26">
      <c r="A26" s="2252"/>
      <c r="B26" s="973" t="s">
        <v>1445</v>
      </c>
      <c r="C26" s="974">
        <v>2873.4356164383562</v>
      </c>
      <c r="D26" s="974">
        <v>1048804</v>
      </c>
      <c r="E26" s="974">
        <v>1048804</v>
      </c>
      <c r="F26" s="974">
        <v>228840</v>
      </c>
      <c r="G26" s="974">
        <v>273440</v>
      </c>
      <c r="H26" s="974">
        <v>9389</v>
      </c>
      <c r="I26" s="974">
        <v>9146</v>
      </c>
      <c r="J26" s="974">
        <v>12413</v>
      </c>
      <c r="K26" s="974">
        <v>164390</v>
      </c>
      <c r="L26" s="974">
        <v>55922</v>
      </c>
      <c r="M26" s="974">
        <v>185575</v>
      </c>
      <c r="N26" s="974">
        <v>109689</v>
      </c>
      <c r="O26" s="974">
        <v>711.2</v>
      </c>
      <c r="P26" s="974">
        <v>259588</v>
      </c>
      <c r="Q26" s="974">
        <v>129794</v>
      </c>
      <c r="R26" s="977">
        <v>43273</v>
      </c>
      <c r="S26" s="977">
        <v>63026</v>
      </c>
      <c r="T26" s="977">
        <v>0</v>
      </c>
      <c r="U26" s="977">
        <v>0</v>
      </c>
      <c r="V26" s="977">
        <v>0</v>
      </c>
      <c r="W26" s="977">
        <v>6088</v>
      </c>
      <c r="X26" s="977">
        <v>1235</v>
      </c>
      <c r="Y26" s="977">
        <v>2213</v>
      </c>
      <c r="Z26" s="977">
        <v>13959</v>
      </c>
    </row>
    <row r="27" spans="1:26">
      <c r="A27" s="2252"/>
      <c r="B27" s="973" t="s">
        <v>1480</v>
      </c>
      <c r="C27" s="974">
        <v>472.47123287671235</v>
      </c>
      <c r="D27" s="974">
        <v>172452</v>
      </c>
      <c r="E27" s="974">
        <v>172452</v>
      </c>
      <c r="F27" s="974">
        <v>40854</v>
      </c>
      <c r="G27" s="974">
        <v>34176</v>
      </c>
      <c r="H27" s="974">
        <v>4918</v>
      </c>
      <c r="I27" s="974">
        <v>29061</v>
      </c>
      <c r="J27" s="974">
        <v>1507</v>
      </c>
      <c r="K27" s="974">
        <v>18530</v>
      </c>
      <c r="L27" s="974">
        <v>10945</v>
      </c>
      <c r="M27" s="974">
        <v>9732</v>
      </c>
      <c r="N27" s="974">
        <v>22729</v>
      </c>
      <c r="O27" s="974">
        <v>0</v>
      </c>
      <c r="P27" s="974">
        <v>0</v>
      </c>
      <c r="Q27" s="974">
        <v>0</v>
      </c>
      <c r="R27" s="977">
        <v>0</v>
      </c>
      <c r="S27" s="977">
        <v>0</v>
      </c>
      <c r="T27" s="977">
        <v>0</v>
      </c>
      <c r="U27" s="977">
        <v>0</v>
      </c>
      <c r="V27" s="977">
        <v>0</v>
      </c>
      <c r="W27" s="977">
        <v>0</v>
      </c>
      <c r="X27" s="977">
        <v>0</v>
      </c>
      <c r="Y27" s="977">
        <v>0</v>
      </c>
      <c r="Z27" s="977">
        <v>0</v>
      </c>
    </row>
    <row r="28" spans="1:26">
      <c r="A28" s="2252"/>
      <c r="B28" s="973" t="s">
        <v>1430</v>
      </c>
      <c r="C28" s="974">
        <v>0</v>
      </c>
      <c r="D28" s="974">
        <v>0</v>
      </c>
      <c r="E28" s="974">
        <v>0</v>
      </c>
      <c r="F28" s="974">
        <v>0</v>
      </c>
      <c r="G28" s="974">
        <v>0</v>
      </c>
      <c r="H28" s="974">
        <v>0</v>
      </c>
      <c r="I28" s="974">
        <v>0</v>
      </c>
      <c r="J28" s="974">
        <v>0</v>
      </c>
      <c r="K28" s="974">
        <v>0</v>
      </c>
      <c r="L28" s="974">
        <v>0</v>
      </c>
      <c r="M28" s="974">
        <v>0</v>
      </c>
      <c r="N28" s="974">
        <v>0</v>
      </c>
      <c r="O28" s="974">
        <v>0</v>
      </c>
      <c r="P28" s="974">
        <v>0</v>
      </c>
      <c r="Q28" s="974">
        <v>0</v>
      </c>
      <c r="R28" s="977">
        <v>0</v>
      </c>
      <c r="S28" s="977">
        <v>0</v>
      </c>
      <c r="T28" s="977">
        <v>0</v>
      </c>
      <c r="U28" s="977">
        <v>0</v>
      </c>
      <c r="V28" s="977">
        <v>0</v>
      </c>
      <c r="W28" s="977">
        <v>0</v>
      </c>
      <c r="X28" s="977">
        <v>0</v>
      </c>
      <c r="Y28" s="977">
        <v>0</v>
      </c>
      <c r="Z28" s="977">
        <v>0</v>
      </c>
    </row>
    <row r="29" spans="1:26">
      <c r="A29" s="2252" t="s">
        <v>1431</v>
      </c>
      <c r="B29" s="968" t="s">
        <v>1432</v>
      </c>
      <c r="C29" s="969">
        <v>17918.183561643837</v>
      </c>
      <c r="D29" s="969">
        <v>6540137</v>
      </c>
      <c r="E29" s="970">
        <v>6540137</v>
      </c>
      <c r="F29" s="970">
        <v>1447872</v>
      </c>
      <c r="G29" s="970">
        <v>1587328</v>
      </c>
      <c r="H29" s="970">
        <v>149146</v>
      </c>
      <c r="I29" s="970">
        <v>165764</v>
      </c>
      <c r="J29" s="970">
        <v>170883</v>
      </c>
      <c r="K29" s="970">
        <v>1200725</v>
      </c>
      <c r="L29" s="970">
        <v>516985</v>
      </c>
      <c r="M29" s="970">
        <v>478252</v>
      </c>
      <c r="N29" s="970">
        <v>823182</v>
      </c>
      <c r="O29" s="969">
        <v>2826.4657534246576</v>
      </c>
      <c r="P29" s="971">
        <v>1031660</v>
      </c>
      <c r="Q29" s="972">
        <v>515830</v>
      </c>
      <c r="R29" s="972">
        <v>171249</v>
      </c>
      <c r="S29" s="972">
        <v>189780</v>
      </c>
      <c r="T29" s="972">
        <v>0</v>
      </c>
      <c r="U29" s="972">
        <v>0</v>
      </c>
      <c r="V29" s="972">
        <v>0</v>
      </c>
      <c r="W29" s="972">
        <v>89657</v>
      </c>
      <c r="X29" s="972">
        <v>4454</v>
      </c>
      <c r="Y29" s="972">
        <v>7071</v>
      </c>
      <c r="Z29" s="972">
        <v>53619</v>
      </c>
    </row>
    <row r="30" spans="1:26">
      <c r="A30" s="2252"/>
      <c r="B30" s="973" t="s">
        <v>1481</v>
      </c>
      <c r="C30" s="974">
        <v>13466.654794520548</v>
      </c>
      <c r="D30" s="974">
        <v>4915329</v>
      </c>
      <c r="E30" s="974">
        <v>4915329</v>
      </c>
      <c r="F30" s="974">
        <v>1091426</v>
      </c>
      <c r="G30" s="974">
        <v>1198297</v>
      </c>
      <c r="H30" s="974">
        <v>127809</v>
      </c>
      <c r="I30" s="974">
        <v>114016</v>
      </c>
      <c r="J30" s="974">
        <v>150132</v>
      </c>
      <c r="K30" s="974">
        <v>958323</v>
      </c>
      <c r="L30" s="974">
        <v>419174</v>
      </c>
      <c r="M30" s="974">
        <v>244251</v>
      </c>
      <c r="N30" s="974">
        <v>611901</v>
      </c>
      <c r="O30" s="974">
        <v>1035.3260273972603</v>
      </c>
      <c r="P30" s="974">
        <v>377894</v>
      </c>
      <c r="Q30" s="974">
        <v>188947</v>
      </c>
      <c r="R30" s="977">
        <v>46717</v>
      </c>
      <c r="S30" s="977">
        <v>64636</v>
      </c>
      <c r="T30" s="977">
        <v>0</v>
      </c>
      <c r="U30" s="977">
        <v>0</v>
      </c>
      <c r="V30" s="977">
        <v>0</v>
      </c>
      <c r="W30" s="977">
        <v>54366</v>
      </c>
      <c r="X30" s="977">
        <v>1198</v>
      </c>
      <c r="Y30" s="977">
        <v>4501</v>
      </c>
      <c r="Z30" s="977">
        <v>17529</v>
      </c>
    </row>
    <row r="31" spans="1:26">
      <c r="A31" s="2252"/>
      <c r="B31" s="973" t="s">
        <v>1482</v>
      </c>
      <c r="C31" s="974">
        <v>0</v>
      </c>
      <c r="D31" s="974">
        <v>0</v>
      </c>
      <c r="E31" s="974">
        <v>0</v>
      </c>
      <c r="F31" s="974">
        <v>0</v>
      </c>
      <c r="G31" s="974">
        <v>0</v>
      </c>
      <c r="H31" s="974">
        <v>0</v>
      </c>
      <c r="I31" s="974">
        <v>0</v>
      </c>
      <c r="J31" s="974">
        <v>0</v>
      </c>
      <c r="K31" s="974">
        <v>0</v>
      </c>
      <c r="L31" s="974">
        <v>0</v>
      </c>
      <c r="M31" s="974">
        <v>0</v>
      </c>
      <c r="N31" s="974">
        <v>0</v>
      </c>
      <c r="O31" s="974">
        <v>0</v>
      </c>
      <c r="P31" s="974">
        <v>0</v>
      </c>
      <c r="Q31" s="974">
        <v>0</v>
      </c>
      <c r="R31" s="977">
        <v>0</v>
      </c>
      <c r="S31" s="977">
        <v>0</v>
      </c>
      <c r="T31" s="977">
        <v>0</v>
      </c>
      <c r="U31" s="977">
        <v>0</v>
      </c>
      <c r="V31" s="977">
        <v>0</v>
      </c>
      <c r="W31" s="977">
        <v>0</v>
      </c>
      <c r="X31" s="977">
        <v>0</v>
      </c>
      <c r="Y31" s="977">
        <v>0</v>
      </c>
      <c r="Z31" s="977">
        <v>0</v>
      </c>
    </row>
    <row r="32" spans="1:26" s="976" customFormat="1">
      <c r="A32" s="2252"/>
      <c r="B32" s="973" t="s">
        <v>1439</v>
      </c>
      <c r="C32" s="974">
        <v>89.328767123287676</v>
      </c>
      <c r="D32" s="974">
        <v>32605</v>
      </c>
      <c r="E32" s="974">
        <v>32605</v>
      </c>
      <c r="F32" s="974">
        <v>30524</v>
      </c>
      <c r="G32" s="974">
        <v>809</v>
      </c>
      <c r="H32" s="974">
        <v>0</v>
      </c>
      <c r="I32" s="974">
        <v>0</v>
      </c>
      <c r="J32" s="974">
        <v>0</v>
      </c>
      <c r="K32" s="974">
        <v>1272</v>
      </c>
      <c r="L32" s="974">
        <v>0</v>
      </c>
      <c r="M32" s="974">
        <v>0</v>
      </c>
      <c r="N32" s="974">
        <v>0</v>
      </c>
      <c r="O32" s="974">
        <v>51.654794520547945</v>
      </c>
      <c r="P32" s="974">
        <v>18854</v>
      </c>
      <c r="Q32" s="974">
        <v>9427</v>
      </c>
      <c r="R32" s="977">
        <v>0</v>
      </c>
      <c r="S32" s="977">
        <v>0</v>
      </c>
      <c r="T32" s="977">
        <v>0</v>
      </c>
      <c r="U32" s="977">
        <v>0</v>
      </c>
      <c r="V32" s="977">
        <v>0</v>
      </c>
      <c r="W32" s="977">
        <v>9427</v>
      </c>
      <c r="X32" s="977">
        <v>0</v>
      </c>
      <c r="Y32" s="977">
        <v>0</v>
      </c>
      <c r="Z32" s="977">
        <v>0</v>
      </c>
    </row>
    <row r="33" spans="1:26">
      <c r="A33" s="2252"/>
      <c r="B33" s="973" t="s">
        <v>1440</v>
      </c>
      <c r="C33" s="974">
        <v>80.106849315068487</v>
      </c>
      <c r="D33" s="974">
        <v>29239</v>
      </c>
      <c r="E33" s="974">
        <v>29239</v>
      </c>
      <c r="F33" s="974">
        <v>7941</v>
      </c>
      <c r="G33" s="974">
        <v>6877</v>
      </c>
      <c r="H33" s="974">
        <v>0</v>
      </c>
      <c r="I33" s="974">
        <v>676</v>
      </c>
      <c r="J33" s="974">
        <v>0</v>
      </c>
      <c r="K33" s="974">
        <v>4960</v>
      </c>
      <c r="L33" s="974">
        <v>1839</v>
      </c>
      <c r="M33" s="974">
        <v>1992</v>
      </c>
      <c r="N33" s="974">
        <v>4954</v>
      </c>
      <c r="O33" s="974">
        <v>0</v>
      </c>
      <c r="P33" s="974">
        <v>0</v>
      </c>
      <c r="Q33" s="974">
        <v>0</v>
      </c>
      <c r="R33" s="977">
        <v>0</v>
      </c>
      <c r="S33" s="977">
        <v>0</v>
      </c>
      <c r="T33" s="977">
        <v>0</v>
      </c>
      <c r="U33" s="977">
        <v>0</v>
      </c>
      <c r="V33" s="977">
        <v>0</v>
      </c>
      <c r="W33" s="977">
        <v>0</v>
      </c>
      <c r="X33" s="977">
        <v>0</v>
      </c>
      <c r="Y33" s="977">
        <v>0</v>
      </c>
      <c r="Z33" s="977">
        <v>0</v>
      </c>
    </row>
    <row r="34" spans="1:26">
      <c r="A34" s="2252"/>
      <c r="B34" s="973" t="s">
        <v>1441</v>
      </c>
      <c r="C34" s="974">
        <v>0.86575342465753424</v>
      </c>
      <c r="D34" s="974">
        <v>316</v>
      </c>
      <c r="E34" s="974">
        <v>316</v>
      </c>
      <c r="F34" s="974">
        <v>0</v>
      </c>
      <c r="G34" s="974">
        <v>9</v>
      </c>
      <c r="H34" s="974">
        <v>0</v>
      </c>
      <c r="I34" s="974">
        <v>0</v>
      </c>
      <c r="J34" s="974">
        <v>0</v>
      </c>
      <c r="K34" s="974">
        <v>0</v>
      </c>
      <c r="L34" s="974">
        <v>0</v>
      </c>
      <c r="M34" s="974">
        <v>0</v>
      </c>
      <c r="N34" s="974">
        <v>307</v>
      </c>
      <c r="O34" s="974">
        <v>905.76438356164385</v>
      </c>
      <c r="P34" s="974">
        <v>330604</v>
      </c>
      <c r="Q34" s="974">
        <v>165302</v>
      </c>
      <c r="R34" s="977">
        <v>67439</v>
      </c>
      <c r="S34" s="977">
        <v>55690</v>
      </c>
      <c r="T34" s="977">
        <v>0</v>
      </c>
      <c r="U34" s="977">
        <v>0</v>
      </c>
      <c r="V34" s="977">
        <v>0</v>
      </c>
      <c r="W34" s="977">
        <v>19507</v>
      </c>
      <c r="X34" s="977">
        <v>0</v>
      </c>
      <c r="Y34" s="977">
        <v>0</v>
      </c>
      <c r="Z34" s="977">
        <v>22666</v>
      </c>
    </row>
    <row r="35" spans="1:26">
      <c r="A35" s="2252"/>
      <c r="B35" s="973" t="s">
        <v>1442</v>
      </c>
      <c r="C35" s="974">
        <v>1.6465753424657534</v>
      </c>
      <c r="D35" s="974">
        <v>601</v>
      </c>
      <c r="E35" s="974">
        <v>601</v>
      </c>
      <c r="F35" s="974">
        <v>601</v>
      </c>
      <c r="G35" s="974">
        <v>0</v>
      </c>
      <c r="H35" s="974">
        <v>0</v>
      </c>
      <c r="I35" s="974">
        <v>0</v>
      </c>
      <c r="J35" s="974">
        <v>0</v>
      </c>
      <c r="K35" s="974">
        <v>0</v>
      </c>
      <c r="L35" s="974">
        <v>0</v>
      </c>
      <c r="M35" s="974">
        <v>0</v>
      </c>
      <c r="N35" s="974">
        <v>0</v>
      </c>
      <c r="O35" s="974">
        <v>0</v>
      </c>
      <c r="P35" s="974">
        <v>0</v>
      </c>
      <c r="Q35" s="974">
        <v>0</v>
      </c>
      <c r="R35" s="977">
        <v>0</v>
      </c>
      <c r="S35" s="977">
        <v>0</v>
      </c>
      <c r="T35" s="977">
        <v>0</v>
      </c>
      <c r="U35" s="977">
        <v>0</v>
      </c>
      <c r="V35" s="977">
        <v>0</v>
      </c>
      <c r="W35" s="977">
        <v>0</v>
      </c>
      <c r="X35" s="977">
        <v>0</v>
      </c>
      <c r="Y35" s="977">
        <v>0</v>
      </c>
      <c r="Z35" s="977">
        <v>0</v>
      </c>
    </row>
    <row r="36" spans="1:26">
      <c r="A36" s="2252"/>
      <c r="B36" s="973" t="s">
        <v>1443</v>
      </c>
      <c r="C36" s="974">
        <v>0</v>
      </c>
      <c r="D36" s="974">
        <v>0</v>
      </c>
      <c r="E36" s="974">
        <v>0</v>
      </c>
      <c r="F36" s="974">
        <v>0</v>
      </c>
      <c r="G36" s="974">
        <v>0</v>
      </c>
      <c r="H36" s="974">
        <v>0</v>
      </c>
      <c r="I36" s="974">
        <v>0</v>
      </c>
      <c r="J36" s="974">
        <v>0</v>
      </c>
      <c r="K36" s="974">
        <v>0</v>
      </c>
      <c r="L36" s="974">
        <v>0</v>
      </c>
      <c r="M36" s="974">
        <v>0</v>
      </c>
      <c r="N36" s="974">
        <v>0</v>
      </c>
      <c r="O36" s="974">
        <v>0</v>
      </c>
      <c r="P36" s="974">
        <v>0</v>
      </c>
      <c r="Q36" s="974">
        <v>0</v>
      </c>
      <c r="R36" s="977">
        <v>0</v>
      </c>
      <c r="S36" s="977">
        <v>0</v>
      </c>
      <c r="T36" s="977">
        <v>0</v>
      </c>
      <c r="U36" s="977">
        <v>0</v>
      </c>
      <c r="V36" s="977">
        <v>0</v>
      </c>
      <c r="W36" s="977">
        <v>0</v>
      </c>
      <c r="X36" s="977">
        <v>0</v>
      </c>
      <c r="Y36" s="977">
        <v>0</v>
      </c>
      <c r="Z36" s="977">
        <v>0</v>
      </c>
    </row>
    <row r="37" spans="1:26">
      <c r="A37" s="2252"/>
      <c r="B37" s="973" t="s">
        <v>1444</v>
      </c>
      <c r="C37" s="974">
        <v>864.97260273972597</v>
      </c>
      <c r="D37" s="974">
        <v>315715</v>
      </c>
      <c r="E37" s="974">
        <v>315715</v>
      </c>
      <c r="F37" s="974">
        <v>54182</v>
      </c>
      <c r="G37" s="974">
        <v>33202</v>
      </c>
      <c r="H37" s="974">
        <v>4069</v>
      </c>
      <c r="I37" s="974">
        <v>5308</v>
      </c>
      <c r="J37" s="974">
        <v>3649</v>
      </c>
      <c r="K37" s="974">
        <v>40667</v>
      </c>
      <c r="L37" s="974">
        <v>11350</v>
      </c>
      <c r="M37" s="974">
        <v>96835</v>
      </c>
      <c r="N37" s="974">
        <v>66453</v>
      </c>
      <c r="O37" s="974">
        <v>104.43287671232876</v>
      </c>
      <c r="P37" s="974">
        <v>38118</v>
      </c>
      <c r="Q37" s="974">
        <v>19059</v>
      </c>
      <c r="R37" s="977">
        <v>7830</v>
      </c>
      <c r="S37" s="977">
        <v>10851</v>
      </c>
      <c r="T37" s="977">
        <v>0</v>
      </c>
      <c r="U37" s="977">
        <v>0</v>
      </c>
      <c r="V37" s="977">
        <v>0</v>
      </c>
      <c r="W37" s="977">
        <v>0</v>
      </c>
      <c r="X37" s="977">
        <v>0</v>
      </c>
      <c r="Y37" s="977">
        <v>0</v>
      </c>
      <c r="Z37" s="977">
        <v>378</v>
      </c>
    </row>
    <row r="38" spans="1:26">
      <c r="A38" s="2252"/>
      <c r="B38" s="973" t="s">
        <v>1451</v>
      </c>
      <c r="C38" s="974">
        <v>2921.3095890410959</v>
      </c>
      <c r="D38" s="974">
        <v>1066278</v>
      </c>
      <c r="E38" s="974">
        <v>1066278</v>
      </c>
      <c r="F38" s="974">
        <v>223369</v>
      </c>
      <c r="G38" s="974">
        <v>308648</v>
      </c>
      <c r="H38" s="974">
        <v>10936</v>
      </c>
      <c r="I38" s="974">
        <v>11380</v>
      </c>
      <c r="J38" s="974">
        <v>15051</v>
      </c>
      <c r="K38" s="974">
        <v>176623</v>
      </c>
      <c r="L38" s="974">
        <v>75426</v>
      </c>
      <c r="M38" s="974">
        <v>125146</v>
      </c>
      <c r="N38" s="974">
        <v>119699</v>
      </c>
      <c r="O38" s="974">
        <v>729.28767123287673</v>
      </c>
      <c r="P38" s="974">
        <v>266190</v>
      </c>
      <c r="Q38" s="974">
        <v>133095</v>
      </c>
      <c r="R38" s="977">
        <v>49263</v>
      </c>
      <c r="S38" s="977">
        <v>58603</v>
      </c>
      <c r="T38" s="977">
        <v>0</v>
      </c>
      <c r="U38" s="977">
        <v>0</v>
      </c>
      <c r="V38" s="977">
        <v>0</v>
      </c>
      <c r="W38" s="977">
        <v>6357</v>
      </c>
      <c r="X38" s="977">
        <v>3256</v>
      </c>
      <c r="Y38" s="977">
        <v>2570</v>
      </c>
      <c r="Z38" s="977">
        <v>13046</v>
      </c>
    </row>
    <row r="39" spans="1:26">
      <c r="A39" s="2252"/>
      <c r="B39" s="973" t="s">
        <v>1446</v>
      </c>
      <c r="C39" s="974">
        <v>493.29863013698628</v>
      </c>
      <c r="D39" s="974">
        <v>180054</v>
      </c>
      <c r="E39" s="974">
        <v>180054</v>
      </c>
      <c r="F39" s="974">
        <v>39829</v>
      </c>
      <c r="G39" s="974">
        <v>39486</v>
      </c>
      <c r="H39" s="974">
        <v>6332</v>
      </c>
      <c r="I39" s="974">
        <v>34384</v>
      </c>
      <c r="J39" s="974">
        <v>2051</v>
      </c>
      <c r="K39" s="974">
        <v>18880</v>
      </c>
      <c r="L39" s="974">
        <v>9196</v>
      </c>
      <c r="M39" s="974">
        <v>10028</v>
      </c>
      <c r="N39" s="974">
        <v>19868</v>
      </c>
      <c r="O39" s="974">
        <v>0</v>
      </c>
      <c r="P39" s="974">
        <v>0</v>
      </c>
      <c r="Q39" s="974">
        <v>0</v>
      </c>
      <c r="R39" s="977">
        <v>0</v>
      </c>
      <c r="S39" s="977">
        <v>0</v>
      </c>
      <c r="T39" s="977">
        <v>0</v>
      </c>
      <c r="U39" s="977">
        <v>0</v>
      </c>
      <c r="V39" s="977">
        <v>0</v>
      </c>
      <c r="W39" s="977">
        <v>0</v>
      </c>
      <c r="X39" s="977">
        <v>0</v>
      </c>
      <c r="Y39" s="977">
        <v>0</v>
      </c>
      <c r="Z39" s="977">
        <v>0</v>
      </c>
    </row>
    <row r="40" spans="1:26">
      <c r="A40" s="2252"/>
      <c r="B40" s="973" t="s">
        <v>1427</v>
      </c>
      <c r="C40" s="974">
        <v>0</v>
      </c>
      <c r="D40" s="974">
        <v>0</v>
      </c>
      <c r="E40" s="974">
        <v>0</v>
      </c>
      <c r="F40" s="974">
        <v>0</v>
      </c>
      <c r="G40" s="974">
        <v>0</v>
      </c>
      <c r="H40" s="974">
        <v>0</v>
      </c>
      <c r="I40" s="974">
        <v>0</v>
      </c>
      <c r="J40" s="974">
        <v>0</v>
      </c>
      <c r="K40" s="974">
        <v>0</v>
      </c>
      <c r="L40" s="974">
        <v>0</v>
      </c>
      <c r="M40" s="974">
        <v>0</v>
      </c>
      <c r="N40" s="974">
        <v>0</v>
      </c>
      <c r="O40" s="974">
        <v>0</v>
      </c>
      <c r="P40" s="974">
        <v>0</v>
      </c>
      <c r="Q40" s="974">
        <v>0</v>
      </c>
      <c r="R40" s="977">
        <v>0</v>
      </c>
      <c r="S40" s="977">
        <v>0</v>
      </c>
      <c r="T40" s="977">
        <v>0</v>
      </c>
      <c r="U40" s="977">
        <v>0</v>
      </c>
      <c r="V40" s="977">
        <v>0</v>
      </c>
      <c r="W40" s="977">
        <v>0</v>
      </c>
      <c r="X40" s="977">
        <v>0</v>
      </c>
      <c r="Y40" s="977">
        <v>0</v>
      </c>
      <c r="Z40" s="977">
        <v>0</v>
      </c>
    </row>
    <row r="41" spans="1:26">
      <c r="A41" s="2252" t="s">
        <v>868</v>
      </c>
      <c r="B41" s="968" t="s">
        <v>552</v>
      </c>
      <c r="C41" s="969">
        <v>18797.167123287672</v>
      </c>
      <c r="D41" s="969">
        <v>6860966</v>
      </c>
      <c r="E41" s="970">
        <v>6860966</v>
      </c>
      <c r="F41" s="970">
        <v>1428000</v>
      </c>
      <c r="G41" s="970">
        <v>1653216</v>
      </c>
      <c r="H41" s="970">
        <v>148588</v>
      </c>
      <c r="I41" s="970">
        <v>163367</v>
      </c>
      <c r="J41" s="970">
        <v>310891</v>
      </c>
      <c r="K41" s="970">
        <v>1278841</v>
      </c>
      <c r="L41" s="970">
        <v>534730</v>
      </c>
      <c r="M41" s="970">
        <v>477992</v>
      </c>
      <c r="N41" s="970">
        <v>865341</v>
      </c>
      <c r="O41" s="969">
        <v>2574</v>
      </c>
      <c r="P41" s="971">
        <v>939510</v>
      </c>
      <c r="Q41" s="972">
        <v>469755</v>
      </c>
      <c r="R41" s="972">
        <v>147147</v>
      </c>
      <c r="S41" s="972">
        <v>185876</v>
      </c>
      <c r="T41" s="972">
        <v>0</v>
      </c>
      <c r="U41" s="972">
        <v>0</v>
      </c>
      <c r="V41" s="972">
        <v>0</v>
      </c>
      <c r="W41" s="972">
        <v>67921</v>
      </c>
      <c r="X41" s="972">
        <v>4290</v>
      </c>
      <c r="Y41" s="972">
        <v>7154</v>
      </c>
      <c r="Z41" s="972">
        <v>57367</v>
      </c>
    </row>
    <row r="42" spans="1:26">
      <c r="A42" s="2252"/>
      <c r="B42" s="973" t="s">
        <v>1426</v>
      </c>
      <c r="C42" s="974">
        <v>14098.435616438355</v>
      </c>
      <c r="D42" s="974">
        <v>5145929</v>
      </c>
      <c r="E42" s="974">
        <v>5145929</v>
      </c>
      <c r="F42" s="974">
        <v>1098543</v>
      </c>
      <c r="G42" s="974">
        <v>1219322</v>
      </c>
      <c r="H42" s="974">
        <v>128846</v>
      </c>
      <c r="I42" s="974">
        <v>112284</v>
      </c>
      <c r="J42" s="974">
        <v>236143</v>
      </c>
      <c r="K42" s="974">
        <v>1026906</v>
      </c>
      <c r="L42" s="974">
        <v>431273</v>
      </c>
      <c r="M42" s="974">
        <v>244934</v>
      </c>
      <c r="N42" s="974">
        <v>647678</v>
      </c>
      <c r="O42" s="974">
        <v>903.21095890410959</v>
      </c>
      <c r="P42" s="974">
        <v>329672</v>
      </c>
      <c r="Q42" s="974">
        <v>164836</v>
      </c>
      <c r="R42" s="977">
        <v>44388</v>
      </c>
      <c r="S42" s="977">
        <v>62605</v>
      </c>
      <c r="T42" s="977">
        <v>0</v>
      </c>
      <c r="U42" s="977">
        <v>0</v>
      </c>
      <c r="V42" s="977">
        <v>0</v>
      </c>
      <c r="W42" s="977">
        <v>35128</v>
      </c>
      <c r="X42" s="977">
        <v>1617</v>
      </c>
      <c r="Y42" s="977">
        <v>4024</v>
      </c>
      <c r="Z42" s="977">
        <v>17074</v>
      </c>
    </row>
    <row r="43" spans="1:26">
      <c r="A43" s="2252"/>
      <c r="B43" s="973" t="s">
        <v>1483</v>
      </c>
      <c r="C43" s="974">
        <v>0</v>
      </c>
      <c r="D43" s="974">
        <v>0</v>
      </c>
      <c r="E43" s="974">
        <v>0</v>
      </c>
      <c r="F43" s="974">
        <v>0</v>
      </c>
      <c r="G43" s="974">
        <v>0</v>
      </c>
      <c r="H43" s="974">
        <v>0</v>
      </c>
      <c r="I43" s="974">
        <v>0</v>
      </c>
      <c r="J43" s="974">
        <v>0</v>
      </c>
      <c r="K43" s="974">
        <v>0</v>
      </c>
      <c r="L43" s="974">
        <v>0</v>
      </c>
      <c r="M43" s="974">
        <v>0</v>
      </c>
      <c r="N43" s="974">
        <v>0</v>
      </c>
      <c r="O43" s="974">
        <v>0</v>
      </c>
      <c r="P43" s="974">
        <v>0</v>
      </c>
      <c r="Q43" s="974">
        <v>0</v>
      </c>
      <c r="R43" s="977">
        <v>0</v>
      </c>
      <c r="S43" s="977">
        <v>0</v>
      </c>
      <c r="T43" s="977">
        <v>0</v>
      </c>
      <c r="U43" s="977">
        <v>0</v>
      </c>
      <c r="V43" s="977">
        <v>0</v>
      </c>
      <c r="W43" s="977">
        <v>0</v>
      </c>
      <c r="X43" s="977">
        <v>0</v>
      </c>
      <c r="Y43" s="977">
        <v>0</v>
      </c>
      <c r="Z43" s="977">
        <v>0</v>
      </c>
    </row>
    <row r="44" spans="1:26" s="976" customFormat="1">
      <c r="A44" s="2252"/>
      <c r="B44" s="973" t="s">
        <v>1484</v>
      </c>
      <c r="C44" s="974">
        <v>80.958904109589042</v>
      </c>
      <c r="D44" s="974">
        <v>29550</v>
      </c>
      <c r="E44" s="974">
        <v>29550</v>
      </c>
      <c r="F44" s="974">
        <v>27434</v>
      </c>
      <c r="G44" s="974">
        <v>1137</v>
      </c>
      <c r="H44" s="974">
        <v>0</v>
      </c>
      <c r="I44" s="974">
        <v>0</v>
      </c>
      <c r="J44" s="974">
        <v>0</v>
      </c>
      <c r="K44" s="974">
        <v>979</v>
      </c>
      <c r="L44" s="974">
        <v>0</v>
      </c>
      <c r="M44" s="974">
        <v>0</v>
      </c>
      <c r="N44" s="974">
        <v>0</v>
      </c>
      <c r="O44" s="974">
        <v>37.863013698630134</v>
      </c>
      <c r="P44" s="974">
        <v>13820</v>
      </c>
      <c r="Q44" s="974">
        <v>6910</v>
      </c>
      <c r="R44" s="977">
        <v>0</v>
      </c>
      <c r="S44" s="977">
        <v>0</v>
      </c>
      <c r="T44" s="977">
        <v>0</v>
      </c>
      <c r="U44" s="977">
        <v>0</v>
      </c>
      <c r="V44" s="977">
        <v>0</v>
      </c>
      <c r="W44" s="977">
        <v>6910</v>
      </c>
      <c r="X44" s="977">
        <v>0</v>
      </c>
      <c r="Y44" s="977">
        <v>0</v>
      </c>
      <c r="Z44" s="977">
        <v>0</v>
      </c>
    </row>
    <row r="45" spans="1:26">
      <c r="A45" s="2252"/>
      <c r="B45" s="973" t="s">
        <v>1485</v>
      </c>
      <c r="C45" s="974">
        <v>83.778082191780825</v>
      </c>
      <c r="D45" s="974">
        <v>30579</v>
      </c>
      <c r="E45" s="974">
        <v>30579</v>
      </c>
      <c r="F45" s="974">
        <v>6404</v>
      </c>
      <c r="G45" s="974">
        <v>8149</v>
      </c>
      <c r="H45" s="974">
        <v>0</v>
      </c>
      <c r="I45" s="974">
        <v>659</v>
      </c>
      <c r="J45" s="974">
        <v>612</v>
      </c>
      <c r="K45" s="974">
        <v>4689</v>
      </c>
      <c r="L45" s="974">
        <v>1724</v>
      </c>
      <c r="M45" s="974">
        <v>1560</v>
      </c>
      <c r="N45" s="974">
        <v>6782</v>
      </c>
      <c r="O45" s="974">
        <v>0</v>
      </c>
      <c r="P45" s="974">
        <v>0</v>
      </c>
      <c r="Q45" s="974">
        <v>0</v>
      </c>
      <c r="R45" s="977">
        <v>0</v>
      </c>
      <c r="S45" s="977">
        <v>0</v>
      </c>
      <c r="T45" s="977">
        <v>0</v>
      </c>
      <c r="U45" s="977">
        <v>0</v>
      </c>
      <c r="V45" s="977">
        <v>0</v>
      </c>
      <c r="W45" s="977">
        <v>0</v>
      </c>
      <c r="X45" s="977">
        <v>0</v>
      </c>
      <c r="Y45" s="977">
        <v>0</v>
      </c>
      <c r="Z45" s="977">
        <v>0</v>
      </c>
    </row>
    <row r="46" spans="1:26">
      <c r="A46" s="2252"/>
      <c r="B46" s="973" t="s">
        <v>1441</v>
      </c>
      <c r="C46" s="974">
        <v>5.7534246575342465E-2</v>
      </c>
      <c r="D46" s="974">
        <v>21</v>
      </c>
      <c r="E46" s="974">
        <v>21</v>
      </c>
      <c r="F46" s="974">
        <v>0</v>
      </c>
      <c r="G46" s="974">
        <v>21</v>
      </c>
      <c r="H46" s="974">
        <v>0</v>
      </c>
      <c r="I46" s="974">
        <v>0</v>
      </c>
      <c r="J46" s="974">
        <v>0</v>
      </c>
      <c r="K46" s="974">
        <v>0</v>
      </c>
      <c r="L46" s="974">
        <v>0</v>
      </c>
      <c r="M46" s="974">
        <v>0</v>
      </c>
      <c r="N46" s="974">
        <v>0</v>
      </c>
      <c r="O46" s="974">
        <v>933.74246575342465</v>
      </c>
      <c r="P46" s="974">
        <v>340816</v>
      </c>
      <c r="Q46" s="974">
        <v>170408</v>
      </c>
      <c r="R46" s="977">
        <v>61776</v>
      </c>
      <c r="S46" s="977">
        <v>62988</v>
      </c>
      <c r="T46" s="977">
        <v>0</v>
      </c>
      <c r="U46" s="977">
        <v>0</v>
      </c>
      <c r="V46" s="977">
        <v>0</v>
      </c>
      <c r="W46" s="977">
        <v>20252</v>
      </c>
      <c r="X46" s="977">
        <v>0</v>
      </c>
      <c r="Y46" s="977">
        <v>0</v>
      </c>
      <c r="Z46" s="977">
        <v>25392</v>
      </c>
    </row>
    <row r="47" spans="1:26">
      <c r="A47" s="2252"/>
      <c r="B47" s="973" t="s">
        <v>1442</v>
      </c>
      <c r="C47" s="974">
        <v>0.72876712328767124</v>
      </c>
      <c r="D47" s="974">
        <v>266</v>
      </c>
      <c r="E47" s="974">
        <v>266</v>
      </c>
      <c r="F47" s="974">
        <v>266</v>
      </c>
      <c r="G47" s="974">
        <v>0</v>
      </c>
      <c r="H47" s="974">
        <v>0</v>
      </c>
      <c r="I47" s="974">
        <v>0</v>
      </c>
      <c r="J47" s="974">
        <v>0</v>
      </c>
      <c r="K47" s="974">
        <v>0</v>
      </c>
      <c r="L47" s="974">
        <v>0</v>
      </c>
      <c r="M47" s="974">
        <v>0</v>
      </c>
      <c r="N47" s="974">
        <v>0</v>
      </c>
      <c r="O47" s="974">
        <v>0</v>
      </c>
      <c r="P47" s="974">
        <v>0</v>
      </c>
      <c r="Q47" s="974">
        <v>0</v>
      </c>
      <c r="R47" s="977">
        <v>0</v>
      </c>
      <c r="S47" s="977">
        <v>0</v>
      </c>
      <c r="T47" s="977">
        <v>0</v>
      </c>
      <c r="U47" s="977">
        <v>0</v>
      </c>
      <c r="V47" s="977">
        <v>0</v>
      </c>
      <c r="W47" s="977">
        <v>0</v>
      </c>
      <c r="X47" s="977">
        <v>0</v>
      </c>
      <c r="Y47" s="977">
        <v>0</v>
      </c>
      <c r="Z47" s="977">
        <v>0</v>
      </c>
    </row>
    <row r="48" spans="1:26">
      <c r="A48" s="2252"/>
      <c r="B48" s="973" t="s">
        <v>1443</v>
      </c>
      <c r="C48" s="974">
        <v>0</v>
      </c>
      <c r="D48" s="974">
        <v>0</v>
      </c>
      <c r="E48" s="974">
        <v>0</v>
      </c>
      <c r="F48" s="974">
        <v>0</v>
      </c>
      <c r="G48" s="974">
        <v>0</v>
      </c>
      <c r="H48" s="974">
        <v>0</v>
      </c>
      <c r="I48" s="974">
        <v>0</v>
      </c>
      <c r="J48" s="974">
        <v>0</v>
      </c>
      <c r="K48" s="974">
        <v>0</v>
      </c>
      <c r="L48" s="974">
        <v>0</v>
      </c>
      <c r="M48" s="974">
        <v>0</v>
      </c>
      <c r="N48" s="974">
        <v>0</v>
      </c>
      <c r="O48" s="974">
        <v>0</v>
      </c>
      <c r="P48" s="974">
        <v>0</v>
      </c>
      <c r="Q48" s="974">
        <v>0</v>
      </c>
      <c r="R48" s="977">
        <v>0</v>
      </c>
      <c r="S48" s="977">
        <v>0</v>
      </c>
      <c r="T48" s="977">
        <v>0</v>
      </c>
      <c r="U48" s="977">
        <v>0</v>
      </c>
      <c r="V48" s="977">
        <v>0</v>
      </c>
      <c r="W48" s="977">
        <v>0</v>
      </c>
      <c r="X48" s="977">
        <v>0</v>
      </c>
      <c r="Y48" s="977">
        <v>0</v>
      </c>
      <c r="Z48" s="977">
        <v>0</v>
      </c>
    </row>
    <row r="49" spans="1:26">
      <c r="A49" s="2252"/>
      <c r="B49" s="973" t="s">
        <v>1444</v>
      </c>
      <c r="C49" s="974">
        <v>996.59726027397255</v>
      </c>
      <c r="D49" s="974">
        <v>363758</v>
      </c>
      <c r="E49" s="974">
        <v>363758</v>
      </c>
      <c r="F49" s="974">
        <v>47356</v>
      </c>
      <c r="G49" s="974">
        <v>43082</v>
      </c>
      <c r="H49" s="974">
        <v>6437</v>
      </c>
      <c r="I49" s="974">
        <v>6248</v>
      </c>
      <c r="J49" s="974">
        <v>41779</v>
      </c>
      <c r="K49" s="974">
        <v>39986</v>
      </c>
      <c r="L49" s="974">
        <v>8835</v>
      </c>
      <c r="M49" s="974">
        <v>98647</v>
      </c>
      <c r="N49" s="974">
        <v>71388</v>
      </c>
      <c r="O49" s="974">
        <v>85.868493150684927</v>
      </c>
      <c r="P49" s="974">
        <v>31342</v>
      </c>
      <c r="Q49" s="974">
        <v>15671</v>
      </c>
      <c r="R49" s="977">
        <v>3912</v>
      </c>
      <c r="S49" s="977">
        <v>11424</v>
      </c>
      <c r="T49" s="977">
        <v>0</v>
      </c>
      <c r="U49" s="977">
        <v>0</v>
      </c>
      <c r="V49" s="977">
        <v>0</v>
      </c>
      <c r="W49" s="977">
        <v>0</v>
      </c>
      <c r="X49" s="977">
        <v>0</v>
      </c>
      <c r="Y49" s="977">
        <v>0</v>
      </c>
      <c r="Z49" s="977">
        <v>335</v>
      </c>
    </row>
    <row r="50" spans="1:26">
      <c r="A50" s="2252"/>
      <c r="B50" s="973" t="s">
        <v>1451</v>
      </c>
      <c r="C50" s="974">
        <v>3037.4684931506849</v>
      </c>
      <c r="D50" s="974">
        <v>1108676</v>
      </c>
      <c r="E50" s="974">
        <v>1108676</v>
      </c>
      <c r="F50" s="974">
        <v>208130</v>
      </c>
      <c r="G50" s="974">
        <v>334111</v>
      </c>
      <c r="H50" s="974">
        <v>10611</v>
      </c>
      <c r="I50" s="974">
        <v>11242</v>
      </c>
      <c r="J50" s="974">
        <v>29312</v>
      </c>
      <c r="K50" s="974">
        <v>187278</v>
      </c>
      <c r="L50" s="974">
        <v>85207</v>
      </c>
      <c r="M50" s="974">
        <v>125118</v>
      </c>
      <c r="N50" s="974">
        <v>117667</v>
      </c>
      <c r="O50" s="974">
        <v>613.31506849315065</v>
      </c>
      <c r="P50" s="974">
        <v>223860</v>
      </c>
      <c r="Q50" s="974">
        <v>111930</v>
      </c>
      <c r="R50" s="977">
        <v>37071</v>
      </c>
      <c r="S50" s="977">
        <v>48859</v>
      </c>
      <c r="T50" s="977">
        <v>0</v>
      </c>
      <c r="U50" s="977">
        <v>0</v>
      </c>
      <c r="V50" s="977">
        <v>0</v>
      </c>
      <c r="W50" s="977">
        <v>5631</v>
      </c>
      <c r="X50" s="977">
        <v>2673</v>
      </c>
      <c r="Y50" s="977">
        <v>3130</v>
      </c>
      <c r="Z50" s="977">
        <v>14566</v>
      </c>
    </row>
    <row r="51" spans="1:26">
      <c r="A51" s="2252"/>
      <c r="B51" s="973" t="s">
        <v>1446</v>
      </c>
      <c r="C51" s="974">
        <v>499.14246575342463</v>
      </c>
      <c r="D51" s="974">
        <v>182187</v>
      </c>
      <c r="E51" s="974">
        <v>182187</v>
      </c>
      <c r="F51" s="974">
        <v>39867</v>
      </c>
      <c r="G51" s="974">
        <v>47394</v>
      </c>
      <c r="H51" s="974">
        <v>2694</v>
      </c>
      <c r="I51" s="974">
        <v>32934</v>
      </c>
      <c r="J51" s="974">
        <v>3045</v>
      </c>
      <c r="K51" s="974">
        <v>19003</v>
      </c>
      <c r="L51" s="974">
        <v>7691</v>
      </c>
      <c r="M51" s="974">
        <v>7733</v>
      </c>
      <c r="N51" s="974">
        <v>21826</v>
      </c>
      <c r="O51" s="974">
        <v>0</v>
      </c>
      <c r="P51" s="974">
        <v>0</v>
      </c>
      <c r="Q51" s="974">
        <v>0</v>
      </c>
      <c r="R51" s="977">
        <v>0</v>
      </c>
      <c r="S51" s="977">
        <v>0</v>
      </c>
      <c r="T51" s="977">
        <v>0</v>
      </c>
      <c r="U51" s="977">
        <v>0</v>
      </c>
      <c r="V51" s="977">
        <v>0</v>
      </c>
      <c r="W51" s="977">
        <v>0</v>
      </c>
      <c r="X51" s="977">
        <v>0</v>
      </c>
      <c r="Y51" s="977">
        <v>0</v>
      </c>
      <c r="Z51" s="977">
        <v>0</v>
      </c>
    </row>
    <row r="52" spans="1:26">
      <c r="A52" s="2252"/>
      <c r="B52" s="973" t="s">
        <v>1427</v>
      </c>
      <c r="C52" s="974">
        <v>0</v>
      </c>
      <c r="D52" s="974">
        <v>0</v>
      </c>
      <c r="E52" s="974">
        <v>0</v>
      </c>
      <c r="F52" s="974">
        <v>0</v>
      </c>
      <c r="G52" s="974">
        <v>0</v>
      </c>
      <c r="H52" s="974">
        <v>0</v>
      </c>
      <c r="I52" s="974">
        <v>0</v>
      </c>
      <c r="J52" s="974">
        <v>0</v>
      </c>
      <c r="K52" s="974">
        <v>0</v>
      </c>
      <c r="L52" s="974">
        <v>0</v>
      </c>
      <c r="M52" s="974">
        <v>0</v>
      </c>
      <c r="N52" s="974">
        <v>0</v>
      </c>
      <c r="O52" s="974">
        <v>0</v>
      </c>
      <c r="P52" s="974">
        <v>0</v>
      </c>
      <c r="Q52" s="974">
        <v>0</v>
      </c>
      <c r="R52" s="977">
        <v>0</v>
      </c>
      <c r="S52" s="977">
        <v>0</v>
      </c>
      <c r="T52" s="977">
        <v>0</v>
      </c>
      <c r="U52" s="977">
        <v>0</v>
      </c>
      <c r="V52" s="977">
        <v>0</v>
      </c>
      <c r="W52" s="977">
        <v>0</v>
      </c>
      <c r="X52" s="977">
        <v>0</v>
      </c>
      <c r="Y52" s="977">
        <v>0</v>
      </c>
      <c r="Z52" s="977">
        <v>0</v>
      </c>
    </row>
    <row r="53" spans="1:26">
      <c r="A53" s="2252" t="s">
        <v>940</v>
      </c>
      <c r="B53" s="968" t="s">
        <v>552</v>
      </c>
      <c r="C53" s="969">
        <v>20548.663013698631</v>
      </c>
      <c r="D53" s="969">
        <v>7500262</v>
      </c>
      <c r="E53" s="970">
        <v>7500262</v>
      </c>
      <c r="F53" s="970">
        <v>1508242</v>
      </c>
      <c r="G53" s="970">
        <v>1768606</v>
      </c>
      <c r="H53" s="970">
        <v>149923</v>
      </c>
      <c r="I53" s="970">
        <v>186391</v>
      </c>
      <c r="J53" s="970">
        <v>620874</v>
      </c>
      <c r="K53" s="970">
        <v>1351285</v>
      </c>
      <c r="L53" s="970">
        <v>585410</v>
      </c>
      <c r="M53" s="970">
        <v>465544</v>
      </c>
      <c r="N53" s="970">
        <v>863987</v>
      </c>
      <c r="O53" s="969">
        <v>2447.9232876712331</v>
      </c>
      <c r="P53" s="971">
        <v>893492</v>
      </c>
      <c r="Q53" s="972">
        <v>446746</v>
      </c>
      <c r="R53" s="972">
        <v>135200</v>
      </c>
      <c r="S53" s="972">
        <v>186975</v>
      </c>
      <c r="T53" s="972">
        <v>0</v>
      </c>
      <c r="U53" s="972">
        <v>0</v>
      </c>
      <c r="V53" s="972">
        <v>0</v>
      </c>
      <c r="W53" s="972">
        <v>46769</v>
      </c>
      <c r="X53" s="972">
        <v>3839</v>
      </c>
      <c r="Y53" s="972">
        <v>8229</v>
      </c>
      <c r="Z53" s="972">
        <v>65734</v>
      </c>
    </row>
    <row r="54" spans="1:26">
      <c r="A54" s="2252"/>
      <c r="B54" s="973" t="s">
        <v>1426</v>
      </c>
      <c r="C54" s="974">
        <v>15292.142465753424</v>
      </c>
      <c r="D54" s="974">
        <v>5581632</v>
      </c>
      <c r="E54" s="974">
        <v>5581632</v>
      </c>
      <c r="F54" s="974">
        <v>1150185</v>
      </c>
      <c r="G54" s="974">
        <v>1303862</v>
      </c>
      <c r="H54" s="974">
        <v>128853</v>
      </c>
      <c r="I54" s="974">
        <v>130460</v>
      </c>
      <c r="J54" s="974">
        <v>477756</v>
      </c>
      <c r="K54" s="974">
        <v>1064087</v>
      </c>
      <c r="L54" s="974">
        <v>440506</v>
      </c>
      <c r="M54" s="974">
        <v>251729</v>
      </c>
      <c r="N54" s="974">
        <v>634194</v>
      </c>
      <c r="O54" s="974">
        <v>720.07671232876714</v>
      </c>
      <c r="P54" s="974">
        <v>262828</v>
      </c>
      <c r="Q54" s="974">
        <v>131414</v>
      </c>
      <c r="R54" s="977">
        <v>41105</v>
      </c>
      <c r="S54" s="977">
        <v>58973</v>
      </c>
      <c r="T54" s="977">
        <v>0</v>
      </c>
      <c r="U54" s="977">
        <v>0</v>
      </c>
      <c r="V54" s="977">
        <v>0</v>
      </c>
      <c r="W54" s="977">
        <v>9607</v>
      </c>
      <c r="X54" s="977">
        <v>1524</v>
      </c>
      <c r="Y54" s="977">
        <v>4146</v>
      </c>
      <c r="Z54" s="977">
        <v>16059</v>
      </c>
    </row>
    <row r="55" spans="1:26">
      <c r="A55" s="2252"/>
      <c r="B55" s="973" t="s">
        <v>1449</v>
      </c>
      <c r="C55" s="974">
        <v>0</v>
      </c>
      <c r="D55" s="974">
        <v>0</v>
      </c>
      <c r="E55" s="974">
        <v>0</v>
      </c>
      <c r="F55" s="974">
        <v>0</v>
      </c>
      <c r="G55" s="974">
        <v>0</v>
      </c>
      <c r="H55" s="974">
        <v>0</v>
      </c>
      <c r="I55" s="974">
        <v>0</v>
      </c>
      <c r="J55" s="974">
        <v>0</v>
      </c>
      <c r="K55" s="974">
        <v>0</v>
      </c>
      <c r="L55" s="974">
        <v>0</v>
      </c>
      <c r="M55" s="974">
        <v>0</v>
      </c>
      <c r="N55" s="974">
        <v>0</v>
      </c>
      <c r="O55" s="974">
        <v>0</v>
      </c>
      <c r="P55" s="974">
        <v>0</v>
      </c>
      <c r="Q55" s="974">
        <v>0</v>
      </c>
      <c r="R55" s="977">
        <v>0</v>
      </c>
      <c r="S55" s="977">
        <v>0</v>
      </c>
      <c r="T55" s="977">
        <v>0</v>
      </c>
      <c r="U55" s="977">
        <v>0</v>
      </c>
      <c r="V55" s="977">
        <v>0</v>
      </c>
      <c r="W55" s="977">
        <v>0</v>
      </c>
      <c r="X55" s="977">
        <v>0</v>
      </c>
      <c r="Y55" s="977">
        <v>0</v>
      </c>
      <c r="Z55" s="977">
        <v>0</v>
      </c>
    </row>
    <row r="56" spans="1:26" s="976" customFormat="1">
      <c r="A56" s="2252"/>
      <c r="B56" s="973" t="s">
        <v>1486</v>
      </c>
      <c r="C56" s="974">
        <v>75.835616438356169</v>
      </c>
      <c r="D56" s="974">
        <v>27680</v>
      </c>
      <c r="E56" s="974">
        <v>27680</v>
      </c>
      <c r="F56" s="974">
        <v>25758</v>
      </c>
      <c r="G56" s="974">
        <v>440</v>
      </c>
      <c r="H56" s="974">
        <v>0</v>
      </c>
      <c r="I56" s="974">
        <v>0</v>
      </c>
      <c r="J56" s="974">
        <v>0</v>
      </c>
      <c r="K56" s="974">
        <v>1482</v>
      </c>
      <c r="L56" s="974">
        <v>0</v>
      </c>
      <c r="M56" s="974">
        <v>0</v>
      </c>
      <c r="N56" s="974">
        <v>0</v>
      </c>
      <c r="O56" s="974">
        <v>56.663013698630138</v>
      </c>
      <c r="P56" s="974">
        <v>20682</v>
      </c>
      <c r="Q56" s="974">
        <v>10341</v>
      </c>
      <c r="R56" s="977">
        <v>0</v>
      </c>
      <c r="S56" s="977">
        <v>0</v>
      </c>
      <c r="T56" s="977">
        <v>0</v>
      </c>
      <c r="U56" s="977">
        <v>0</v>
      </c>
      <c r="V56" s="977">
        <v>0</v>
      </c>
      <c r="W56" s="977">
        <v>10341</v>
      </c>
      <c r="X56" s="977">
        <v>0</v>
      </c>
      <c r="Y56" s="977">
        <v>0</v>
      </c>
      <c r="Z56" s="977">
        <v>0</v>
      </c>
    </row>
    <row r="57" spans="1:26">
      <c r="A57" s="2252"/>
      <c r="B57" s="973" t="s">
        <v>1440</v>
      </c>
      <c r="C57" s="974">
        <v>90.854794520547941</v>
      </c>
      <c r="D57" s="974">
        <v>33162</v>
      </c>
      <c r="E57" s="974">
        <v>33162</v>
      </c>
      <c r="F57" s="974">
        <v>6803</v>
      </c>
      <c r="G57" s="974">
        <v>8737</v>
      </c>
      <c r="H57" s="974">
        <v>0</v>
      </c>
      <c r="I57" s="974">
        <v>643</v>
      </c>
      <c r="J57" s="974">
        <v>1562</v>
      </c>
      <c r="K57" s="974">
        <v>5767</v>
      </c>
      <c r="L57" s="974">
        <v>1680</v>
      </c>
      <c r="M57" s="974">
        <v>1524</v>
      </c>
      <c r="N57" s="974">
        <v>6446</v>
      </c>
      <c r="O57" s="974">
        <v>0</v>
      </c>
      <c r="P57" s="974">
        <v>0</v>
      </c>
      <c r="Q57" s="974">
        <v>0</v>
      </c>
      <c r="R57" s="977">
        <v>0</v>
      </c>
      <c r="S57" s="977">
        <v>0</v>
      </c>
      <c r="T57" s="977">
        <v>0</v>
      </c>
      <c r="U57" s="977">
        <v>0</v>
      </c>
      <c r="V57" s="977">
        <v>0</v>
      </c>
      <c r="W57" s="977">
        <v>0</v>
      </c>
      <c r="X57" s="977">
        <v>0</v>
      </c>
      <c r="Y57" s="977">
        <v>0</v>
      </c>
      <c r="Z57" s="977">
        <v>0</v>
      </c>
    </row>
    <row r="58" spans="1:26">
      <c r="A58" s="2252"/>
      <c r="B58" s="973" t="s">
        <v>1441</v>
      </c>
      <c r="C58" s="974">
        <v>2.1917808219178082E-2</v>
      </c>
      <c r="D58" s="974">
        <v>8</v>
      </c>
      <c r="E58" s="974">
        <v>8</v>
      </c>
      <c r="F58" s="974">
        <v>0</v>
      </c>
      <c r="G58" s="974">
        <v>8</v>
      </c>
      <c r="H58" s="974">
        <v>0</v>
      </c>
      <c r="I58" s="974">
        <v>0</v>
      </c>
      <c r="J58" s="974">
        <v>0</v>
      </c>
      <c r="K58" s="974">
        <v>0</v>
      </c>
      <c r="L58" s="974">
        <v>0</v>
      </c>
      <c r="M58" s="974">
        <v>0</v>
      </c>
      <c r="N58" s="974">
        <v>0</v>
      </c>
      <c r="O58" s="974">
        <v>1020.158904109589</v>
      </c>
      <c r="P58" s="974">
        <v>372358</v>
      </c>
      <c r="Q58" s="974">
        <v>186179</v>
      </c>
      <c r="R58" s="977">
        <v>59950</v>
      </c>
      <c r="S58" s="977">
        <v>71698</v>
      </c>
      <c r="T58" s="977">
        <v>0</v>
      </c>
      <c r="U58" s="977">
        <v>0</v>
      </c>
      <c r="V58" s="977">
        <v>0</v>
      </c>
      <c r="W58" s="977">
        <v>20897</v>
      </c>
      <c r="X58" s="977">
        <v>0</v>
      </c>
      <c r="Y58" s="977">
        <v>0</v>
      </c>
      <c r="Z58" s="977">
        <v>33634</v>
      </c>
    </row>
    <row r="59" spans="1:26">
      <c r="A59" s="2252"/>
      <c r="B59" s="973" t="s">
        <v>1477</v>
      </c>
      <c r="C59" s="974">
        <v>0.30684931506849317</v>
      </c>
      <c r="D59" s="974">
        <v>112</v>
      </c>
      <c r="E59" s="974">
        <v>112</v>
      </c>
      <c r="F59" s="974">
        <v>112</v>
      </c>
      <c r="G59" s="974">
        <v>0</v>
      </c>
      <c r="H59" s="974">
        <v>0</v>
      </c>
      <c r="I59" s="974">
        <v>0</v>
      </c>
      <c r="J59" s="974">
        <v>0</v>
      </c>
      <c r="K59" s="974">
        <v>0</v>
      </c>
      <c r="L59" s="974">
        <v>0</v>
      </c>
      <c r="M59" s="974">
        <v>0</v>
      </c>
      <c r="N59" s="974">
        <v>0</v>
      </c>
      <c r="O59" s="974">
        <v>0</v>
      </c>
      <c r="P59" s="974">
        <v>0</v>
      </c>
      <c r="Q59" s="974">
        <v>0</v>
      </c>
      <c r="R59" s="977">
        <v>0</v>
      </c>
      <c r="S59" s="977">
        <v>0</v>
      </c>
      <c r="T59" s="977">
        <v>0</v>
      </c>
      <c r="U59" s="977">
        <v>0</v>
      </c>
      <c r="V59" s="977">
        <v>0</v>
      </c>
      <c r="W59" s="977">
        <v>0</v>
      </c>
      <c r="X59" s="977">
        <v>0</v>
      </c>
      <c r="Y59" s="977">
        <v>0</v>
      </c>
      <c r="Z59" s="977">
        <v>0</v>
      </c>
    </row>
    <row r="60" spans="1:26">
      <c r="A60" s="2252"/>
      <c r="B60" s="973" t="s">
        <v>1478</v>
      </c>
      <c r="C60" s="974">
        <v>0</v>
      </c>
      <c r="D60" s="974">
        <v>0</v>
      </c>
      <c r="E60" s="974">
        <v>0</v>
      </c>
      <c r="F60" s="974">
        <v>0</v>
      </c>
      <c r="G60" s="974">
        <v>0</v>
      </c>
      <c r="H60" s="974">
        <v>0</v>
      </c>
      <c r="I60" s="974">
        <v>0</v>
      </c>
      <c r="J60" s="974">
        <v>0</v>
      </c>
      <c r="K60" s="974">
        <v>0</v>
      </c>
      <c r="L60" s="974">
        <v>0</v>
      </c>
      <c r="M60" s="974">
        <v>0</v>
      </c>
      <c r="N60" s="974">
        <v>0</v>
      </c>
      <c r="O60" s="974">
        <v>0</v>
      </c>
      <c r="P60" s="974">
        <v>0</v>
      </c>
      <c r="Q60" s="974">
        <v>0</v>
      </c>
      <c r="R60" s="977">
        <v>0</v>
      </c>
      <c r="S60" s="977">
        <v>0</v>
      </c>
      <c r="T60" s="977">
        <v>0</v>
      </c>
      <c r="U60" s="977">
        <v>0</v>
      </c>
      <c r="V60" s="977">
        <v>0</v>
      </c>
      <c r="W60" s="977">
        <v>0</v>
      </c>
      <c r="X60" s="977">
        <v>0</v>
      </c>
      <c r="Y60" s="977">
        <v>0</v>
      </c>
      <c r="Z60" s="977">
        <v>0</v>
      </c>
    </row>
    <row r="61" spans="1:26">
      <c r="A61" s="2252"/>
      <c r="B61" s="973" t="s">
        <v>1479</v>
      </c>
      <c r="C61" s="974">
        <v>1109.4191780821918</v>
      </c>
      <c r="D61" s="974">
        <v>404938</v>
      </c>
      <c r="E61" s="974">
        <v>404938</v>
      </c>
      <c r="F61" s="974">
        <v>48853</v>
      </c>
      <c r="G61" s="974">
        <v>47468</v>
      </c>
      <c r="H61" s="974">
        <v>8271</v>
      </c>
      <c r="I61" s="974">
        <v>5724</v>
      </c>
      <c r="J61" s="974">
        <v>66672</v>
      </c>
      <c r="K61" s="974">
        <v>41735</v>
      </c>
      <c r="L61" s="974">
        <v>9132</v>
      </c>
      <c r="M61" s="974">
        <v>96717</v>
      </c>
      <c r="N61" s="974">
        <v>80366</v>
      </c>
      <c r="O61" s="974">
        <v>37.698630136986303</v>
      </c>
      <c r="P61" s="974">
        <v>13760</v>
      </c>
      <c r="Q61" s="974">
        <v>6880</v>
      </c>
      <c r="R61" s="977">
        <v>594</v>
      </c>
      <c r="S61" s="977">
        <v>5713</v>
      </c>
      <c r="T61" s="977">
        <v>0</v>
      </c>
      <c r="U61" s="977">
        <v>0</v>
      </c>
      <c r="V61" s="977">
        <v>0</v>
      </c>
      <c r="W61" s="977">
        <v>0</v>
      </c>
      <c r="X61" s="977">
        <v>0</v>
      </c>
      <c r="Y61" s="977">
        <v>0</v>
      </c>
      <c r="Z61" s="977">
        <v>573</v>
      </c>
    </row>
    <row r="62" spans="1:26">
      <c r="A62" s="2252"/>
      <c r="B62" s="973" t="s">
        <v>1445</v>
      </c>
      <c r="C62" s="974">
        <v>3433.654794520548</v>
      </c>
      <c r="D62" s="974">
        <v>1253284</v>
      </c>
      <c r="E62" s="974">
        <v>1253284</v>
      </c>
      <c r="F62" s="974">
        <v>231341</v>
      </c>
      <c r="G62" s="974">
        <v>358982</v>
      </c>
      <c r="H62" s="974">
        <v>10549</v>
      </c>
      <c r="I62" s="974">
        <v>16447</v>
      </c>
      <c r="J62" s="974">
        <v>68143</v>
      </c>
      <c r="K62" s="974">
        <v>216400</v>
      </c>
      <c r="L62" s="974">
        <v>125061</v>
      </c>
      <c r="M62" s="974">
        <v>107099</v>
      </c>
      <c r="N62" s="974">
        <v>119262</v>
      </c>
      <c r="O62" s="974">
        <v>613.3260273972603</v>
      </c>
      <c r="P62" s="974">
        <v>223864</v>
      </c>
      <c r="Q62" s="974">
        <v>111932</v>
      </c>
      <c r="R62" s="977">
        <v>33551</v>
      </c>
      <c r="S62" s="977">
        <v>50591</v>
      </c>
      <c r="T62" s="977">
        <v>0</v>
      </c>
      <c r="U62" s="977">
        <v>0</v>
      </c>
      <c r="V62" s="977">
        <v>0</v>
      </c>
      <c r="W62" s="977">
        <v>5924</v>
      </c>
      <c r="X62" s="977">
        <v>2315</v>
      </c>
      <c r="Y62" s="977">
        <v>4083</v>
      </c>
      <c r="Z62" s="977">
        <v>15468</v>
      </c>
    </row>
    <row r="63" spans="1:26">
      <c r="A63" s="2252"/>
      <c r="B63" s="973" t="s">
        <v>1480</v>
      </c>
      <c r="C63" s="974">
        <v>546.42739726027401</v>
      </c>
      <c r="D63" s="974">
        <v>199446</v>
      </c>
      <c r="E63" s="974">
        <v>199446</v>
      </c>
      <c r="F63" s="974">
        <v>45190</v>
      </c>
      <c r="G63" s="974">
        <v>49109</v>
      </c>
      <c r="H63" s="974">
        <v>2250</v>
      </c>
      <c r="I63" s="974">
        <v>33117</v>
      </c>
      <c r="J63" s="974">
        <v>6741</v>
      </c>
      <c r="K63" s="974">
        <v>21814</v>
      </c>
      <c r="L63" s="974">
        <v>9031</v>
      </c>
      <c r="M63" s="974">
        <v>8475</v>
      </c>
      <c r="N63" s="974">
        <v>23719</v>
      </c>
      <c r="O63" s="974">
        <v>0</v>
      </c>
      <c r="P63" s="974">
        <v>0</v>
      </c>
      <c r="Q63" s="974">
        <v>0</v>
      </c>
      <c r="R63" s="977">
        <v>0</v>
      </c>
      <c r="S63" s="977">
        <v>0</v>
      </c>
      <c r="T63" s="977">
        <v>0</v>
      </c>
      <c r="U63" s="977">
        <v>0</v>
      </c>
      <c r="V63" s="977">
        <v>0</v>
      </c>
      <c r="W63" s="977">
        <v>0</v>
      </c>
      <c r="X63" s="977">
        <v>0</v>
      </c>
      <c r="Y63" s="977">
        <v>0</v>
      </c>
      <c r="Z63" s="977">
        <v>0</v>
      </c>
    </row>
    <row r="64" spans="1:26">
      <c r="A64" s="2252"/>
      <c r="B64" s="973" t="s">
        <v>1430</v>
      </c>
      <c r="C64" s="974">
        <v>0</v>
      </c>
      <c r="D64" s="974">
        <v>0</v>
      </c>
      <c r="E64" s="974">
        <v>0</v>
      </c>
      <c r="F64" s="974">
        <v>0</v>
      </c>
      <c r="G64" s="974">
        <v>0</v>
      </c>
      <c r="H64" s="974">
        <v>0</v>
      </c>
      <c r="I64" s="974">
        <v>0</v>
      </c>
      <c r="J64" s="974">
        <v>0</v>
      </c>
      <c r="K64" s="974">
        <v>0</v>
      </c>
      <c r="L64" s="974">
        <v>0</v>
      </c>
      <c r="M64" s="974">
        <v>0</v>
      </c>
      <c r="N64" s="974">
        <v>0</v>
      </c>
      <c r="O64" s="974">
        <v>0</v>
      </c>
      <c r="P64" s="974">
        <v>0</v>
      </c>
      <c r="Q64" s="974">
        <v>0</v>
      </c>
      <c r="R64" s="977">
        <v>0</v>
      </c>
      <c r="S64" s="977">
        <v>0</v>
      </c>
      <c r="T64" s="977">
        <v>0</v>
      </c>
      <c r="U64" s="977">
        <v>0</v>
      </c>
      <c r="V64" s="977">
        <v>0</v>
      </c>
      <c r="W64" s="977">
        <v>0</v>
      </c>
      <c r="X64" s="977">
        <v>0</v>
      </c>
      <c r="Y64" s="977">
        <v>0</v>
      </c>
      <c r="Z64" s="977">
        <v>0</v>
      </c>
    </row>
    <row r="65" spans="1:26">
      <c r="A65" s="2252" t="s">
        <v>1487</v>
      </c>
      <c r="B65" s="968" t="s">
        <v>1432</v>
      </c>
      <c r="C65" s="969">
        <v>22700.331506849318</v>
      </c>
      <c r="D65" s="969">
        <v>8285621</v>
      </c>
      <c r="E65" s="970">
        <v>8285621</v>
      </c>
      <c r="F65" s="970">
        <v>1559295</v>
      </c>
      <c r="G65" s="970">
        <v>1891437</v>
      </c>
      <c r="H65" s="970">
        <v>185635</v>
      </c>
      <c r="I65" s="970">
        <v>233493</v>
      </c>
      <c r="J65" s="970">
        <v>935216</v>
      </c>
      <c r="K65" s="970">
        <v>1453507</v>
      </c>
      <c r="L65" s="970">
        <v>620777</v>
      </c>
      <c r="M65" s="970">
        <v>491091</v>
      </c>
      <c r="N65" s="970">
        <v>915170</v>
      </c>
      <c r="O65" s="969">
        <v>2251.3205479452054</v>
      </c>
      <c r="P65" s="971">
        <v>821732</v>
      </c>
      <c r="Q65" s="972">
        <v>410866</v>
      </c>
      <c r="R65" s="972">
        <v>138039</v>
      </c>
      <c r="S65" s="972">
        <v>168466</v>
      </c>
      <c r="T65" s="972">
        <v>0</v>
      </c>
      <c r="U65" s="972">
        <v>0</v>
      </c>
      <c r="V65" s="972">
        <v>0</v>
      </c>
      <c r="W65" s="972">
        <v>43594</v>
      </c>
      <c r="X65" s="972">
        <v>4650</v>
      </c>
      <c r="Y65" s="972">
        <v>7904</v>
      </c>
      <c r="Z65" s="972">
        <v>48213</v>
      </c>
    </row>
    <row r="66" spans="1:26">
      <c r="A66" s="2252"/>
      <c r="B66" s="973" t="s">
        <v>1481</v>
      </c>
      <c r="C66" s="974">
        <v>16430.994520547945</v>
      </c>
      <c r="D66" s="974">
        <v>5997313</v>
      </c>
      <c r="E66" s="974">
        <v>5997313</v>
      </c>
      <c r="F66" s="974">
        <v>1183894</v>
      </c>
      <c r="G66" s="974">
        <v>1355225</v>
      </c>
      <c r="H66" s="974">
        <v>141250</v>
      </c>
      <c r="I66" s="974">
        <v>149002</v>
      </c>
      <c r="J66" s="974">
        <v>673012</v>
      </c>
      <c r="K66" s="974">
        <v>1120171</v>
      </c>
      <c r="L66" s="974">
        <v>459822</v>
      </c>
      <c r="M66" s="974">
        <v>264414</v>
      </c>
      <c r="N66" s="974">
        <v>650523</v>
      </c>
      <c r="O66" s="974">
        <v>709.88493150684928</v>
      </c>
      <c r="P66" s="974">
        <v>259108</v>
      </c>
      <c r="Q66" s="974">
        <v>129554</v>
      </c>
      <c r="R66" s="977">
        <v>39362</v>
      </c>
      <c r="S66" s="977">
        <v>59264</v>
      </c>
      <c r="T66" s="977">
        <v>0</v>
      </c>
      <c r="U66" s="977">
        <v>0</v>
      </c>
      <c r="V66" s="977">
        <v>0</v>
      </c>
      <c r="W66" s="977">
        <v>10481</v>
      </c>
      <c r="X66" s="977">
        <v>823</v>
      </c>
      <c r="Y66" s="977">
        <v>4223</v>
      </c>
      <c r="Z66" s="977">
        <v>15401</v>
      </c>
    </row>
    <row r="67" spans="1:26">
      <c r="A67" s="2252"/>
      <c r="B67" s="973" t="s">
        <v>1482</v>
      </c>
      <c r="C67" s="974">
        <v>0</v>
      </c>
      <c r="D67" s="974">
        <v>0</v>
      </c>
      <c r="E67" s="974">
        <v>0</v>
      </c>
      <c r="F67" s="974">
        <v>0</v>
      </c>
      <c r="G67" s="974">
        <v>0</v>
      </c>
      <c r="H67" s="974">
        <v>0</v>
      </c>
      <c r="I67" s="974">
        <v>0</v>
      </c>
      <c r="J67" s="974">
        <v>0</v>
      </c>
      <c r="K67" s="974">
        <v>0</v>
      </c>
      <c r="L67" s="974">
        <v>0</v>
      </c>
      <c r="M67" s="974">
        <v>0</v>
      </c>
      <c r="N67" s="974">
        <v>0</v>
      </c>
      <c r="O67" s="974">
        <v>0</v>
      </c>
      <c r="P67" s="974">
        <v>0</v>
      </c>
      <c r="Q67" s="974">
        <v>0</v>
      </c>
      <c r="R67" s="977">
        <v>0</v>
      </c>
      <c r="S67" s="977">
        <v>0</v>
      </c>
      <c r="T67" s="977">
        <v>0</v>
      </c>
      <c r="U67" s="977">
        <v>0</v>
      </c>
      <c r="V67" s="977">
        <v>0</v>
      </c>
      <c r="W67" s="977">
        <v>0</v>
      </c>
      <c r="X67" s="977">
        <v>0</v>
      </c>
      <c r="Y67" s="977">
        <v>0</v>
      </c>
      <c r="Z67" s="977">
        <v>0</v>
      </c>
    </row>
    <row r="68" spans="1:26" s="976" customFormat="1">
      <c r="A68" s="2252"/>
      <c r="B68" s="973" t="s">
        <v>1439</v>
      </c>
      <c r="C68" s="974">
        <v>91.635616438356166</v>
      </c>
      <c r="D68" s="974">
        <v>33447</v>
      </c>
      <c r="E68" s="974">
        <v>33447</v>
      </c>
      <c r="F68" s="974">
        <v>28236</v>
      </c>
      <c r="G68" s="974">
        <v>1148</v>
      </c>
      <c r="H68" s="974">
        <v>0</v>
      </c>
      <c r="I68" s="974">
        <v>0</v>
      </c>
      <c r="J68" s="974">
        <v>0</v>
      </c>
      <c r="K68" s="974">
        <v>4063</v>
      </c>
      <c r="L68" s="974">
        <v>0</v>
      </c>
      <c r="M68" s="974">
        <v>0</v>
      </c>
      <c r="N68" s="974">
        <v>0</v>
      </c>
      <c r="O68" s="974">
        <v>50.624657534246573</v>
      </c>
      <c r="P68" s="974">
        <v>18478</v>
      </c>
      <c r="Q68" s="974">
        <v>9239</v>
      </c>
      <c r="R68" s="977">
        <v>0</v>
      </c>
      <c r="S68" s="977">
        <v>0</v>
      </c>
      <c r="T68" s="977">
        <v>0</v>
      </c>
      <c r="U68" s="977">
        <v>0</v>
      </c>
      <c r="V68" s="977">
        <v>0</v>
      </c>
      <c r="W68" s="977">
        <v>9239</v>
      </c>
      <c r="X68" s="977">
        <v>0</v>
      </c>
      <c r="Y68" s="977">
        <v>0</v>
      </c>
      <c r="Z68" s="977">
        <v>0</v>
      </c>
    </row>
    <row r="69" spans="1:26">
      <c r="A69" s="2252"/>
      <c r="B69" s="973" t="s">
        <v>1440</v>
      </c>
      <c r="C69" s="974">
        <v>93.947945205479456</v>
      </c>
      <c r="D69" s="974">
        <v>34291</v>
      </c>
      <c r="E69" s="974">
        <v>34291</v>
      </c>
      <c r="F69" s="974">
        <v>7428</v>
      </c>
      <c r="G69" s="974">
        <v>9414</v>
      </c>
      <c r="H69" s="974">
        <v>0</v>
      </c>
      <c r="I69" s="974">
        <v>587</v>
      </c>
      <c r="J69" s="974">
        <v>2576</v>
      </c>
      <c r="K69" s="974">
        <v>5269</v>
      </c>
      <c r="L69" s="974">
        <v>1563</v>
      </c>
      <c r="M69" s="974">
        <v>1907</v>
      </c>
      <c r="N69" s="974">
        <v>5547</v>
      </c>
      <c r="O69" s="974">
        <v>0</v>
      </c>
      <c r="P69" s="974">
        <v>0</v>
      </c>
      <c r="Q69" s="974">
        <v>0</v>
      </c>
      <c r="R69" s="977">
        <v>0</v>
      </c>
      <c r="S69" s="977">
        <v>0</v>
      </c>
      <c r="T69" s="977">
        <v>0</v>
      </c>
      <c r="U69" s="977">
        <v>0</v>
      </c>
      <c r="V69" s="977">
        <v>0</v>
      </c>
      <c r="W69" s="977">
        <v>0</v>
      </c>
      <c r="X69" s="977">
        <v>0</v>
      </c>
      <c r="Y69" s="977">
        <v>0</v>
      </c>
      <c r="Z69" s="977">
        <v>0</v>
      </c>
    </row>
    <row r="70" spans="1:26">
      <c r="A70" s="2252"/>
      <c r="B70" s="973" t="s">
        <v>1441</v>
      </c>
      <c r="C70" s="974">
        <v>1.9589041095890412</v>
      </c>
      <c r="D70" s="974">
        <v>715</v>
      </c>
      <c r="E70" s="974">
        <v>715</v>
      </c>
      <c r="F70" s="974">
        <v>0</v>
      </c>
      <c r="G70" s="974">
        <v>0</v>
      </c>
      <c r="H70" s="974">
        <v>0</v>
      </c>
      <c r="I70" s="974">
        <v>0</v>
      </c>
      <c r="J70" s="974">
        <v>0</v>
      </c>
      <c r="K70" s="974">
        <v>0</v>
      </c>
      <c r="L70" s="974">
        <v>0</v>
      </c>
      <c r="M70" s="974">
        <v>0</v>
      </c>
      <c r="N70" s="974">
        <v>715</v>
      </c>
      <c r="O70" s="974">
        <v>545.85753424657537</v>
      </c>
      <c r="P70" s="974">
        <v>199238</v>
      </c>
      <c r="Q70" s="974">
        <v>99619</v>
      </c>
      <c r="R70" s="977">
        <v>41360</v>
      </c>
      <c r="S70" s="977">
        <v>37085</v>
      </c>
      <c r="T70" s="977">
        <v>0</v>
      </c>
      <c r="U70" s="977">
        <v>0</v>
      </c>
      <c r="V70" s="977">
        <v>0</v>
      </c>
      <c r="W70" s="977">
        <v>10867</v>
      </c>
      <c r="X70" s="977">
        <v>0</v>
      </c>
      <c r="Y70" s="977">
        <v>0</v>
      </c>
      <c r="Z70" s="977">
        <v>10307</v>
      </c>
    </row>
    <row r="71" spans="1:26">
      <c r="A71" s="2252"/>
      <c r="B71" s="973" t="s">
        <v>1442</v>
      </c>
      <c r="C71" s="974">
        <v>0.81369863013698629</v>
      </c>
      <c r="D71" s="974">
        <v>297</v>
      </c>
      <c r="E71" s="974">
        <v>297</v>
      </c>
      <c r="F71" s="974">
        <v>297</v>
      </c>
      <c r="G71" s="974">
        <v>0</v>
      </c>
      <c r="H71" s="974">
        <v>0</v>
      </c>
      <c r="I71" s="974">
        <v>0</v>
      </c>
      <c r="J71" s="974">
        <v>0</v>
      </c>
      <c r="K71" s="974">
        <v>0</v>
      </c>
      <c r="L71" s="974">
        <v>0</v>
      </c>
      <c r="M71" s="974">
        <v>0</v>
      </c>
      <c r="N71" s="974">
        <v>0</v>
      </c>
      <c r="O71" s="974">
        <v>0</v>
      </c>
      <c r="P71" s="974">
        <v>0</v>
      </c>
      <c r="Q71" s="974">
        <v>0</v>
      </c>
      <c r="R71" s="977">
        <v>0</v>
      </c>
      <c r="S71" s="977">
        <v>0</v>
      </c>
      <c r="T71" s="977">
        <v>0</v>
      </c>
      <c r="U71" s="977">
        <v>0</v>
      </c>
      <c r="V71" s="977">
        <v>0</v>
      </c>
      <c r="W71" s="977">
        <v>0</v>
      </c>
      <c r="X71" s="977">
        <v>0</v>
      </c>
      <c r="Y71" s="977">
        <v>0</v>
      </c>
      <c r="Z71" s="977">
        <v>0</v>
      </c>
    </row>
    <row r="72" spans="1:26">
      <c r="A72" s="2252"/>
      <c r="B72" s="973" t="s">
        <v>1443</v>
      </c>
      <c r="C72" s="974">
        <v>3.1342465753424658</v>
      </c>
      <c r="D72" s="974">
        <v>1144</v>
      </c>
      <c r="E72" s="974">
        <v>1144</v>
      </c>
      <c r="F72" s="974">
        <v>76</v>
      </c>
      <c r="G72" s="974">
        <v>0</v>
      </c>
      <c r="H72" s="974">
        <v>0</v>
      </c>
      <c r="I72" s="974">
        <v>0</v>
      </c>
      <c r="J72" s="974">
        <v>0</v>
      </c>
      <c r="K72" s="974">
        <v>0</v>
      </c>
      <c r="L72" s="974">
        <v>0</v>
      </c>
      <c r="M72" s="974">
        <v>0</v>
      </c>
      <c r="N72" s="974">
        <v>1068</v>
      </c>
      <c r="O72" s="974">
        <v>382.7178082191781</v>
      </c>
      <c r="P72" s="974">
        <v>139692</v>
      </c>
      <c r="Q72" s="974">
        <v>69846</v>
      </c>
      <c r="R72" s="977">
        <v>29210</v>
      </c>
      <c r="S72" s="977">
        <v>26591</v>
      </c>
      <c r="T72" s="977">
        <v>0</v>
      </c>
      <c r="U72" s="977">
        <v>0</v>
      </c>
      <c r="V72" s="977">
        <v>0</v>
      </c>
      <c r="W72" s="977">
        <v>7376</v>
      </c>
      <c r="X72" s="977">
        <v>0</v>
      </c>
      <c r="Y72" s="977">
        <v>0</v>
      </c>
      <c r="Z72" s="977">
        <v>6669</v>
      </c>
    </row>
    <row r="73" spans="1:26">
      <c r="A73" s="2252"/>
      <c r="B73" s="973" t="s">
        <v>1444</v>
      </c>
      <c r="C73" s="974">
        <v>657.52876712328771</v>
      </c>
      <c r="D73" s="974">
        <v>239998</v>
      </c>
      <c r="E73" s="974">
        <v>239998</v>
      </c>
      <c r="F73" s="974">
        <v>23957</v>
      </c>
      <c r="G73" s="974">
        <v>22501</v>
      </c>
      <c r="H73" s="974">
        <v>12054</v>
      </c>
      <c r="I73" s="974">
        <v>3411</v>
      </c>
      <c r="J73" s="974">
        <v>49359</v>
      </c>
      <c r="K73" s="974">
        <v>20263</v>
      </c>
      <c r="L73" s="974">
        <v>4965</v>
      </c>
      <c r="M73" s="974">
        <v>50855</v>
      </c>
      <c r="N73" s="974">
        <v>52633</v>
      </c>
      <c r="O73" s="974">
        <v>11.643835616438356</v>
      </c>
      <c r="P73" s="974">
        <v>4250</v>
      </c>
      <c r="Q73" s="974">
        <v>2125</v>
      </c>
      <c r="R73" s="977">
        <v>269</v>
      </c>
      <c r="S73" s="977">
        <v>1579</v>
      </c>
      <c r="T73" s="977">
        <v>0</v>
      </c>
      <c r="U73" s="977">
        <v>0</v>
      </c>
      <c r="V73" s="977">
        <v>0</v>
      </c>
      <c r="W73" s="977">
        <v>0</v>
      </c>
      <c r="X73" s="977">
        <v>0</v>
      </c>
      <c r="Y73" s="977">
        <v>0</v>
      </c>
      <c r="Z73" s="977">
        <v>277</v>
      </c>
    </row>
    <row r="74" spans="1:26">
      <c r="A74" s="2252"/>
      <c r="B74" s="973" t="s">
        <v>1451</v>
      </c>
      <c r="C74" s="974">
        <v>1801.3095890410959</v>
      </c>
      <c r="D74" s="974">
        <v>657478</v>
      </c>
      <c r="E74" s="974">
        <v>657478</v>
      </c>
      <c r="F74" s="974">
        <v>115377</v>
      </c>
      <c r="G74" s="974">
        <v>188209</v>
      </c>
      <c r="H74" s="974">
        <v>5301</v>
      </c>
      <c r="I74" s="974">
        <v>15733</v>
      </c>
      <c r="J74" s="974">
        <v>52094</v>
      </c>
      <c r="K74" s="974">
        <v>118239</v>
      </c>
      <c r="L74" s="974">
        <v>66535</v>
      </c>
      <c r="M74" s="974">
        <v>34205</v>
      </c>
      <c r="N74" s="974">
        <v>61785</v>
      </c>
      <c r="O74" s="974">
        <v>265.24931506849316</v>
      </c>
      <c r="P74" s="974">
        <v>96816</v>
      </c>
      <c r="Q74" s="974">
        <v>48408</v>
      </c>
      <c r="R74" s="977">
        <v>13639</v>
      </c>
      <c r="S74" s="977">
        <v>20866</v>
      </c>
      <c r="T74" s="977">
        <v>0</v>
      </c>
      <c r="U74" s="977">
        <v>0</v>
      </c>
      <c r="V74" s="977">
        <v>0</v>
      </c>
      <c r="W74" s="977">
        <v>2739</v>
      </c>
      <c r="X74" s="977">
        <v>1499</v>
      </c>
      <c r="Y74" s="977">
        <v>2116</v>
      </c>
      <c r="Z74" s="977">
        <v>7549</v>
      </c>
    </row>
    <row r="75" spans="1:26">
      <c r="A75" s="2252"/>
      <c r="B75" s="973" t="s">
        <v>1446</v>
      </c>
      <c r="C75" s="974">
        <v>583.49041095890414</v>
      </c>
      <c r="D75" s="974">
        <v>212974</v>
      </c>
      <c r="E75" s="974">
        <v>212974</v>
      </c>
      <c r="F75" s="974">
        <v>47109</v>
      </c>
      <c r="G75" s="974">
        <v>56450</v>
      </c>
      <c r="H75" s="974">
        <v>5590</v>
      </c>
      <c r="I75" s="974">
        <v>35837</v>
      </c>
      <c r="J75" s="974">
        <v>6992</v>
      </c>
      <c r="K75" s="974">
        <v>17560</v>
      </c>
      <c r="L75" s="974">
        <v>9782</v>
      </c>
      <c r="M75" s="974">
        <v>7830</v>
      </c>
      <c r="N75" s="974">
        <v>25824</v>
      </c>
      <c r="O75" s="974">
        <v>0</v>
      </c>
      <c r="P75" s="974">
        <v>0</v>
      </c>
      <c r="Q75" s="974">
        <v>0</v>
      </c>
      <c r="R75" s="977">
        <v>0</v>
      </c>
      <c r="S75" s="977">
        <v>0</v>
      </c>
      <c r="T75" s="977">
        <v>0</v>
      </c>
      <c r="U75" s="977">
        <v>0</v>
      </c>
      <c r="V75" s="977">
        <v>0</v>
      </c>
      <c r="W75" s="977">
        <v>0</v>
      </c>
      <c r="X75" s="977">
        <v>0</v>
      </c>
      <c r="Y75" s="977">
        <v>0</v>
      </c>
      <c r="Z75" s="977">
        <v>0</v>
      </c>
    </row>
    <row r="76" spans="1:26">
      <c r="A76" s="2252"/>
      <c r="B76" s="973" t="s">
        <v>1427</v>
      </c>
      <c r="C76" s="974">
        <v>3035.5178082191783</v>
      </c>
      <c r="D76" s="974">
        <v>1107964</v>
      </c>
      <c r="E76" s="974">
        <v>1107964</v>
      </c>
      <c r="F76" s="974">
        <v>152921</v>
      </c>
      <c r="G76" s="974">
        <v>258490</v>
      </c>
      <c r="H76" s="974">
        <v>21440</v>
      </c>
      <c r="I76" s="974">
        <v>28923</v>
      </c>
      <c r="J76" s="974">
        <v>151183</v>
      </c>
      <c r="K76" s="974">
        <v>167942</v>
      </c>
      <c r="L76" s="974">
        <v>78110</v>
      </c>
      <c r="M76" s="974">
        <v>131880</v>
      </c>
      <c r="N76" s="974">
        <v>117075</v>
      </c>
      <c r="O76" s="974">
        <v>285.34246575342468</v>
      </c>
      <c r="P76" s="974">
        <v>104150</v>
      </c>
      <c r="Q76" s="974">
        <v>52075</v>
      </c>
      <c r="R76" s="977">
        <v>14199</v>
      </c>
      <c r="S76" s="977">
        <v>23081</v>
      </c>
      <c r="T76" s="977">
        <v>0</v>
      </c>
      <c r="U76" s="977">
        <v>0</v>
      </c>
      <c r="V76" s="977">
        <v>0</v>
      </c>
      <c r="W76" s="977">
        <v>2892</v>
      </c>
      <c r="X76" s="977">
        <v>2328</v>
      </c>
      <c r="Y76" s="977">
        <v>1565</v>
      </c>
      <c r="Z76" s="977">
        <v>8010</v>
      </c>
    </row>
  </sheetData>
  <mergeCells count="13">
    <mergeCell ref="A65:A76"/>
    <mergeCell ref="A2:B4"/>
    <mergeCell ref="C2:N2"/>
    <mergeCell ref="O2:Z2"/>
    <mergeCell ref="C3:C4"/>
    <mergeCell ref="D3:D4"/>
    <mergeCell ref="O3:O4"/>
    <mergeCell ref="P3:P4"/>
    <mergeCell ref="A5:A16"/>
    <mergeCell ref="A17:A28"/>
    <mergeCell ref="A29:A40"/>
    <mergeCell ref="A41:A52"/>
    <mergeCell ref="A53:A64"/>
  </mergeCells>
  <phoneticPr fontId="7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/>
  </sheetViews>
  <sheetFormatPr defaultRowHeight="13.5"/>
  <sheetData/>
  <phoneticPr fontId="7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topLeftCell="A4"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1531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924" t="s">
        <v>501</v>
      </c>
      <c r="D4" s="924" t="s">
        <v>20</v>
      </c>
      <c r="E4" s="924" t="s">
        <v>514</v>
      </c>
      <c r="F4" s="924" t="s">
        <v>515</v>
      </c>
      <c r="G4" s="924" t="s">
        <v>516</v>
      </c>
      <c r="H4" s="924" t="s">
        <v>517</v>
      </c>
      <c r="I4" s="924" t="s">
        <v>518</v>
      </c>
      <c r="J4" s="476" t="s">
        <v>519</v>
      </c>
      <c r="K4" s="477" t="s">
        <v>17</v>
      </c>
      <c r="L4" s="477" t="s">
        <v>501</v>
      </c>
      <c r="M4" s="477" t="s">
        <v>20</v>
      </c>
      <c r="N4" s="477" t="s">
        <v>13</v>
      </c>
      <c r="O4" s="477" t="s">
        <v>522</v>
      </c>
      <c r="P4" s="477" t="s">
        <v>523</v>
      </c>
      <c r="R4" s="477" t="s">
        <v>454</v>
      </c>
    </row>
    <row r="5" spans="1:18" s="472" customFormat="1" ht="12">
      <c r="A5" s="2265" t="s">
        <v>1525</v>
      </c>
      <c r="B5" s="2266"/>
      <c r="C5" s="478">
        <f t="shared" ref="C5:C10" si="0">SUM(D5:J5)</f>
        <v>53.778082191780825</v>
      </c>
      <c r="D5" s="478">
        <f t="shared" ref="D5:J10" si="1">+D15/365</f>
        <v>31.298630136986301</v>
      </c>
      <c r="E5" s="478">
        <f t="shared" si="1"/>
        <v>6.5671232876712331</v>
      </c>
      <c r="F5" s="478">
        <f t="shared" si="1"/>
        <v>0</v>
      </c>
      <c r="G5" s="478">
        <f t="shared" si="1"/>
        <v>0</v>
      </c>
      <c r="H5" s="478">
        <f t="shared" si="1"/>
        <v>15.912328767123288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53.778082191780825</v>
      </c>
      <c r="M5" s="481">
        <f t="shared" ref="M5:M10" si="3">D5</f>
        <v>31.298630136986301</v>
      </c>
      <c r="N5" s="481">
        <f t="shared" ref="N5:N10" si="4">L5-M5</f>
        <v>22.479452054794525</v>
      </c>
      <c r="O5" s="482" t="e">
        <f t="shared" ref="O5:O10" si="5">ROUND(L5/K5*1000,0)</f>
        <v>#DIV/0!</v>
      </c>
      <c r="P5" s="483">
        <f t="shared" ref="P5:P10" si="6">ROUND(N5/L5*100,1)</f>
        <v>41.8</v>
      </c>
      <c r="R5" s="481">
        <f t="shared" ref="R5:R10" si="7">C5-L5</f>
        <v>0</v>
      </c>
    </row>
    <row r="6" spans="1:18" s="472" customFormat="1" ht="12">
      <c r="A6" s="2265" t="s">
        <v>1526</v>
      </c>
      <c r="B6" s="2266"/>
      <c r="C6" s="478">
        <f t="shared" si="0"/>
        <v>51.884931506849313</v>
      </c>
      <c r="D6" s="478">
        <f t="shared" si="1"/>
        <v>29.158904109589042</v>
      </c>
      <c r="E6" s="478">
        <f t="shared" si="1"/>
        <v>9.3178082191780813</v>
      </c>
      <c r="F6" s="478">
        <f t="shared" si="1"/>
        <v>0</v>
      </c>
      <c r="G6" s="478">
        <f t="shared" si="1"/>
        <v>0</v>
      </c>
      <c r="H6" s="478">
        <f t="shared" si="1"/>
        <v>13.408219178082192</v>
      </c>
      <c r="I6" s="478">
        <f t="shared" si="1"/>
        <v>0</v>
      </c>
      <c r="J6" s="479">
        <f t="shared" si="1"/>
        <v>0</v>
      </c>
      <c r="K6" s="480"/>
      <c r="L6" s="481">
        <f t="shared" si="2"/>
        <v>51.884931506849313</v>
      </c>
      <c r="M6" s="481">
        <f t="shared" si="3"/>
        <v>29.158904109589042</v>
      </c>
      <c r="N6" s="481">
        <f t="shared" si="4"/>
        <v>22.726027397260271</v>
      </c>
      <c r="O6" s="482" t="e">
        <f t="shared" si="5"/>
        <v>#DIV/0!</v>
      </c>
      <c r="P6" s="483">
        <f t="shared" si="6"/>
        <v>43.8</v>
      </c>
      <c r="R6" s="481">
        <f t="shared" si="7"/>
        <v>0</v>
      </c>
    </row>
    <row r="7" spans="1:18" s="472" customFormat="1" ht="12">
      <c r="A7" s="2261" t="s">
        <v>1527</v>
      </c>
      <c r="B7" s="2262"/>
      <c r="C7" s="479">
        <f t="shared" si="0"/>
        <v>61.065753424657537</v>
      </c>
      <c r="D7" s="484">
        <f t="shared" si="1"/>
        <v>33.5013698630137</v>
      </c>
      <c r="E7" s="484">
        <f t="shared" si="1"/>
        <v>9.9369863013698634</v>
      </c>
      <c r="F7" s="484">
        <f t="shared" si="1"/>
        <v>0</v>
      </c>
      <c r="G7" s="484">
        <f t="shared" si="1"/>
        <v>0</v>
      </c>
      <c r="H7" s="484">
        <f t="shared" si="1"/>
        <v>17.627397260273973</v>
      </c>
      <c r="I7" s="484">
        <f t="shared" si="1"/>
        <v>0</v>
      </c>
      <c r="J7" s="485">
        <f t="shared" si="1"/>
        <v>0</v>
      </c>
      <c r="K7" s="480"/>
      <c r="L7" s="481">
        <f t="shared" si="2"/>
        <v>61.065753424657537</v>
      </c>
      <c r="M7" s="481">
        <f t="shared" si="3"/>
        <v>33.5013698630137</v>
      </c>
      <c r="N7" s="481">
        <f t="shared" si="4"/>
        <v>27.564383561643837</v>
      </c>
      <c r="O7" s="482" t="e">
        <f t="shared" si="5"/>
        <v>#DIV/0!</v>
      </c>
      <c r="P7" s="483">
        <f t="shared" si="6"/>
        <v>45.1</v>
      </c>
      <c r="R7" s="481">
        <f t="shared" si="7"/>
        <v>0</v>
      </c>
    </row>
    <row r="8" spans="1:18" s="472" customFormat="1" ht="12">
      <c r="A8" s="2261" t="s">
        <v>1528</v>
      </c>
      <c r="B8" s="2262"/>
      <c r="C8" s="479">
        <f t="shared" si="0"/>
        <v>54.893150684931506</v>
      </c>
      <c r="D8" s="484">
        <f t="shared" si="1"/>
        <v>27.520547945205479</v>
      </c>
      <c r="E8" s="484">
        <f t="shared" si="1"/>
        <v>11.92876712328767</v>
      </c>
      <c r="F8" s="484">
        <f t="shared" si="1"/>
        <v>0</v>
      </c>
      <c r="G8" s="484">
        <f t="shared" si="1"/>
        <v>0</v>
      </c>
      <c r="H8" s="484">
        <f t="shared" si="1"/>
        <v>15.443835616438356</v>
      </c>
      <c r="I8" s="484">
        <f t="shared" si="1"/>
        <v>0</v>
      </c>
      <c r="J8" s="485">
        <f t="shared" si="1"/>
        <v>0</v>
      </c>
      <c r="K8" s="480"/>
      <c r="L8" s="481">
        <f t="shared" si="2"/>
        <v>54.893150684931506</v>
      </c>
      <c r="M8" s="481">
        <f t="shared" si="3"/>
        <v>27.520547945205479</v>
      </c>
      <c r="N8" s="481">
        <f t="shared" si="4"/>
        <v>27.372602739726027</v>
      </c>
      <c r="O8" s="482" t="e">
        <f t="shared" si="5"/>
        <v>#DIV/0!</v>
      </c>
      <c r="P8" s="483">
        <f t="shared" si="6"/>
        <v>49.9</v>
      </c>
      <c r="R8" s="481">
        <f t="shared" si="7"/>
        <v>0</v>
      </c>
    </row>
    <row r="9" spans="1:18" s="472" customFormat="1" ht="12">
      <c r="A9" s="2261" t="s">
        <v>1529</v>
      </c>
      <c r="B9" s="2262"/>
      <c r="C9" s="479">
        <f t="shared" si="0"/>
        <v>57.041095890410958</v>
      </c>
      <c r="D9" s="484">
        <f t="shared" si="1"/>
        <v>28.079452054794519</v>
      </c>
      <c r="E9" s="484">
        <f t="shared" si="1"/>
        <v>13.145205479452056</v>
      </c>
      <c r="F9" s="484">
        <f t="shared" si="1"/>
        <v>0</v>
      </c>
      <c r="G9" s="484">
        <f t="shared" si="1"/>
        <v>0</v>
      </c>
      <c r="H9" s="484">
        <f t="shared" si="1"/>
        <v>15.816438356164383</v>
      </c>
      <c r="I9" s="484">
        <f t="shared" si="1"/>
        <v>0</v>
      </c>
      <c r="J9" s="485">
        <f t="shared" si="1"/>
        <v>0</v>
      </c>
      <c r="K9" s="480"/>
      <c r="L9" s="481">
        <f t="shared" si="2"/>
        <v>57.041095890410958</v>
      </c>
      <c r="M9" s="481">
        <f t="shared" si="3"/>
        <v>28.079452054794519</v>
      </c>
      <c r="N9" s="481">
        <f t="shared" si="4"/>
        <v>28.961643835616439</v>
      </c>
      <c r="O9" s="482" t="e">
        <f t="shared" si="5"/>
        <v>#DIV/0!</v>
      </c>
      <c r="P9" s="483">
        <f t="shared" si="6"/>
        <v>50.8</v>
      </c>
      <c r="R9" s="481">
        <f t="shared" si="7"/>
        <v>0</v>
      </c>
    </row>
    <row r="10" spans="1:18" s="472" customFormat="1" ht="12">
      <c r="A10" s="2261" t="s">
        <v>1530</v>
      </c>
      <c r="B10" s="2262"/>
      <c r="C10" s="479">
        <f t="shared" si="0"/>
        <v>45.88219178082192</v>
      </c>
      <c r="D10" s="484">
        <f>+D20/365</f>
        <v>29.156164383561645</v>
      </c>
      <c r="E10" s="484">
        <f t="shared" si="1"/>
        <v>9.1999999999999993</v>
      </c>
      <c r="F10" s="484">
        <f t="shared" si="1"/>
        <v>0</v>
      </c>
      <c r="G10" s="484">
        <f t="shared" si="1"/>
        <v>0</v>
      </c>
      <c r="H10" s="484">
        <f>+H20/365</f>
        <v>7.5260273972602736</v>
      </c>
      <c r="I10" s="484">
        <f>+I20/365</f>
        <v>0</v>
      </c>
      <c r="J10" s="485">
        <f>+J20/365</f>
        <v>0</v>
      </c>
      <c r="K10" s="480"/>
      <c r="L10" s="481">
        <f t="shared" si="2"/>
        <v>45.88219178082192</v>
      </c>
      <c r="M10" s="481">
        <f t="shared" si="3"/>
        <v>29.156164383561645</v>
      </c>
      <c r="N10" s="481">
        <f t="shared" si="4"/>
        <v>16.726027397260275</v>
      </c>
      <c r="O10" s="482" t="e">
        <f t="shared" si="5"/>
        <v>#DIV/0!</v>
      </c>
      <c r="P10" s="483">
        <f t="shared" si="6"/>
        <v>36.5</v>
      </c>
      <c r="R10" s="481">
        <f t="shared" si="7"/>
        <v>0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525</v>
      </c>
      <c r="C13" s="473"/>
      <c r="D13" s="473"/>
      <c r="E13" s="473"/>
      <c r="F13" s="473"/>
      <c r="G13" s="473"/>
      <c r="H13" s="473"/>
      <c r="I13" s="473"/>
      <c r="J13" s="474" t="s">
        <v>281</v>
      </c>
    </row>
    <row r="14" spans="1:18" s="472" customFormat="1" ht="12.75" thickBot="1">
      <c r="A14" s="2263" t="s">
        <v>511</v>
      </c>
      <c r="B14" s="2264"/>
      <c r="C14" s="924" t="s">
        <v>501</v>
      </c>
      <c r="D14" s="924" t="s">
        <v>20</v>
      </c>
      <c r="E14" s="924" t="s">
        <v>514</v>
      </c>
      <c r="F14" s="924" t="s">
        <v>515</v>
      </c>
      <c r="G14" s="924" t="s">
        <v>516</v>
      </c>
      <c r="H14" s="924" t="s">
        <v>517</v>
      </c>
      <c r="I14" s="924" t="s">
        <v>518</v>
      </c>
      <c r="J14" s="489" t="s">
        <v>519</v>
      </c>
      <c r="L14" s="490"/>
      <c r="M14" s="490"/>
      <c r="N14" s="490"/>
      <c r="O14" s="490"/>
      <c r="P14" s="490"/>
    </row>
    <row r="15" spans="1:18" s="472" customFormat="1" ht="12">
      <c r="A15" s="2265" t="s">
        <v>1525</v>
      </c>
      <c r="B15" s="2266"/>
      <c r="C15" s="478">
        <f t="shared" ref="C15:C20" si="8">SUM(D15:J15)</f>
        <v>19629</v>
      </c>
      <c r="D15" s="478">
        <f>+D37</f>
        <v>11424</v>
      </c>
      <c r="E15" s="478">
        <f t="shared" ref="E15:J15" si="9">+E37</f>
        <v>2397</v>
      </c>
      <c r="F15" s="478">
        <f t="shared" si="9"/>
        <v>0</v>
      </c>
      <c r="G15" s="478">
        <f t="shared" si="9"/>
        <v>0</v>
      </c>
      <c r="H15" s="478">
        <f t="shared" si="9"/>
        <v>5808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1526</v>
      </c>
      <c r="B16" s="2266"/>
      <c r="C16" s="478">
        <f t="shared" si="8"/>
        <v>18938</v>
      </c>
      <c r="D16" s="478">
        <f t="shared" ref="D16:J16" si="10">+D50</f>
        <v>10643</v>
      </c>
      <c r="E16" s="478">
        <f t="shared" si="10"/>
        <v>3401</v>
      </c>
      <c r="F16" s="478">
        <f t="shared" si="10"/>
        <v>0</v>
      </c>
      <c r="G16" s="478">
        <f t="shared" si="10"/>
        <v>0</v>
      </c>
      <c r="H16" s="478">
        <f t="shared" si="10"/>
        <v>4894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1527</v>
      </c>
      <c r="B17" s="2262"/>
      <c r="C17" s="478">
        <f t="shared" si="8"/>
        <v>22289</v>
      </c>
      <c r="D17" s="478">
        <f t="shared" ref="D17:J17" si="11">+D63</f>
        <v>12228</v>
      </c>
      <c r="E17" s="478">
        <f t="shared" si="11"/>
        <v>3627</v>
      </c>
      <c r="F17" s="478">
        <f t="shared" si="11"/>
        <v>0</v>
      </c>
      <c r="G17" s="478">
        <f t="shared" si="11"/>
        <v>0</v>
      </c>
      <c r="H17" s="478">
        <f t="shared" si="11"/>
        <v>6434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1528</v>
      </c>
      <c r="B18" s="2262"/>
      <c r="C18" s="478">
        <f t="shared" si="8"/>
        <v>20036</v>
      </c>
      <c r="D18" s="478">
        <f t="shared" ref="D18:J18" si="12">+D76</f>
        <v>10045</v>
      </c>
      <c r="E18" s="478">
        <f t="shared" si="12"/>
        <v>4354</v>
      </c>
      <c r="F18" s="478">
        <f t="shared" si="12"/>
        <v>0</v>
      </c>
      <c r="G18" s="478">
        <f t="shared" si="12"/>
        <v>0</v>
      </c>
      <c r="H18" s="478">
        <f t="shared" si="12"/>
        <v>5637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1529</v>
      </c>
      <c r="B19" s="2262"/>
      <c r="C19" s="478">
        <f t="shared" si="8"/>
        <v>20820</v>
      </c>
      <c r="D19" s="478">
        <f t="shared" ref="D19:J19" si="13">+D89</f>
        <v>10249</v>
      </c>
      <c r="E19" s="478">
        <f t="shared" si="13"/>
        <v>4798</v>
      </c>
      <c r="F19" s="478">
        <f t="shared" si="13"/>
        <v>0</v>
      </c>
      <c r="G19" s="478">
        <f t="shared" si="13"/>
        <v>0</v>
      </c>
      <c r="H19" s="478">
        <f t="shared" si="13"/>
        <v>5773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1530</v>
      </c>
      <c r="B20" s="2262"/>
      <c r="C20" s="478">
        <f t="shared" si="8"/>
        <v>16747</v>
      </c>
      <c r="D20" s="478">
        <f t="shared" ref="D20:J20" si="14">+D102</f>
        <v>10642</v>
      </c>
      <c r="E20" s="478">
        <f t="shared" si="14"/>
        <v>3358</v>
      </c>
      <c r="F20" s="478">
        <f t="shared" si="14"/>
        <v>0</v>
      </c>
      <c r="G20" s="478">
        <f t="shared" si="14"/>
        <v>0</v>
      </c>
      <c r="H20" s="478">
        <f t="shared" si="14"/>
        <v>2747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927" t="s">
        <v>501</v>
      </c>
      <c r="D24" s="924" t="s">
        <v>20</v>
      </c>
      <c r="E24" s="924" t="s">
        <v>514</v>
      </c>
      <c r="F24" s="924" t="s">
        <v>515</v>
      </c>
      <c r="G24" s="924" t="s">
        <v>516</v>
      </c>
      <c r="H24" s="924" t="s">
        <v>517</v>
      </c>
      <c r="I24" s="924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540</v>
      </c>
      <c r="B25" s="926" t="s">
        <v>538</v>
      </c>
      <c r="C25" s="497">
        <f t="shared" ref="C25:C36" si="15">SUM(D25:J25)</f>
        <v>1429</v>
      </c>
      <c r="D25" s="497">
        <v>865</v>
      </c>
      <c r="E25" s="497">
        <v>0</v>
      </c>
      <c r="F25" s="497">
        <v>0</v>
      </c>
      <c r="G25" s="497">
        <v>0</v>
      </c>
      <c r="H25" s="497">
        <v>564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925" t="s">
        <v>539</v>
      </c>
      <c r="C26" s="501">
        <f t="shared" si="15"/>
        <v>1152</v>
      </c>
      <c r="D26" s="501">
        <v>784</v>
      </c>
      <c r="E26" s="501">
        <v>98</v>
      </c>
      <c r="F26" s="501">
        <v>0</v>
      </c>
      <c r="G26" s="501">
        <v>0</v>
      </c>
      <c r="H26" s="501">
        <v>270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925" t="s">
        <v>39</v>
      </c>
      <c r="C27" s="501">
        <f t="shared" si="15"/>
        <v>1914</v>
      </c>
      <c r="D27" s="501">
        <v>1115</v>
      </c>
      <c r="E27" s="501">
        <v>163</v>
      </c>
      <c r="F27" s="501">
        <v>0</v>
      </c>
      <c r="G27" s="501">
        <v>0</v>
      </c>
      <c r="H27" s="501">
        <v>636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925" t="s">
        <v>40</v>
      </c>
      <c r="C28" s="501">
        <f t="shared" si="15"/>
        <v>1421</v>
      </c>
      <c r="D28" s="501">
        <v>911</v>
      </c>
      <c r="E28" s="501">
        <v>185</v>
      </c>
      <c r="F28" s="501">
        <v>0</v>
      </c>
      <c r="G28" s="501">
        <v>0</v>
      </c>
      <c r="H28" s="501">
        <v>325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925" t="s">
        <v>41</v>
      </c>
      <c r="C29" s="501">
        <f t="shared" si="15"/>
        <v>1806</v>
      </c>
      <c r="D29" s="501">
        <v>809</v>
      </c>
      <c r="E29" s="501">
        <v>646</v>
      </c>
      <c r="F29" s="501">
        <v>0</v>
      </c>
      <c r="G29" s="501">
        <v>0</v>
      </c>
      <c r="H29" s="501">
        <v>351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925" t="s">
        <v>28</v>
      </c>
      <c r="C30" s="501">
        <f t="shared" si="15"/>
        <v>1607</v>
      </c>
      <c r="D30" s="501">
        <v>858</v>
      </c>
      <c r="E30" s="501">
        <v>214</v>
      </c>
      <c r="F30" s="501">
        <v>0</v>
      </c>
      <c r="G30" s="501">
        <v>0</v>
      </c>
      <c r="H30" s="501">
        <v>535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925" t="s">
        <v>29</v>
      </c>
      <c r="C31" s="501">
        <f t="shared" si="15"/>
        <v>1713</v>
      </c>
      <c r="D31" s="501">
        <v>905</v>
      </c>
      <c r="E31" s="501">
        <v>229</v>
      </c>
      <c r="F31" s="501">
        <v>0</v>
      </c>
      <c r="G31" s="501">
        <v>0</v>
      </c>
      <c r="H31" s="501">
        <v>579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925" t="s">
        <v>30</v>
      </c>
      <c r="C32" s="501">
        <f t="shared" si="15"/>
        <v>1859</v>
      </c>
      <c r="D32" s="501">
        <v>1039</v>
      </c>
      <c r="E32" s="501">
        <v>240</v>
      </c>
      <c r="F32" s="501">
        <v>0</v>
      </c>
      <c r="G32" s="501">
        <v>0</v>
      </c>
      <c r="H32" s="501">
        <v>580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925" t="s">
        <v>31</v>
      </c>
      <c r="C33" s="501">
        <f t="shared" si="15"/>
        <v>1730</v>
      </c>
      <c r="D33" s="501">
        <v>1132</v>
      </c>
      <c r="E33" s="501">
        <v>79</v>
      </c>
      <c r="F33" s="501">
        <v>0</v>
      </c>
      <c r="G33" s="501">
        <v>0</v>
      </c>
      <c r="H33" s="501">
        <v>519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925" t="s">
        <v>32</v>
      </c>
      <c r="C34" s="501">
        <f t="shared" si="15"/>
        <v>2367</v>
      </c>
      <c r="D34" s="501">
        <v>1494</v>
      </c>
      <c r="E34" s="501">
        <v>197</v>
      </c>
      <c r="F34" s="501">
        <v>0</v>
      </c>
      <c r="G34" s="501">
        <v>0</v>
      </c>
      <c r="H34" s="501">
        <v>676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925" t="s">
        <v>33</v>
      </c>
      <c r="C35" s="501">
        <f t="shared" si="15"/>
        <v>1248</v>
      </c>
      <c r="D35" s="501">
        <v>681</v>
      </c>
      <c r="E35" s="501">
        <v>152</v>
      </c>
      <c r="F35" s="501">
        <v>0</v>
      </c>
      <c r="G35" s="501">
        <v>0</v>
      </c>
      <c r="H35" s="501">
        <v>415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925" t="s">
        <v>34</v>
      </c>
      <c r="C36" s="501">
        <f t="shared" si="15"/>
        <v>1383</v>
      </c>
      <c r="D36" s="501">
        <v>831</v>
      </c>
      <c r="E36" s="501">
        <v>194</v>
      </c>
      <c r="F36" s="501">
        <v>0</v>
      </c>
      <c r="G36" s="501">
        <v>0</v>
      </c>
      <c r="H36" s="501">
        <v>358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501</v>
      </c>
      <c r="C37" s="507">
        <f t="shared" ref="C37:J37" si="16">SUM(C25:C36)</f>
        <v>19629</v>
      </c>
      <c r="D37" s="507">
        <f t="shared" si="16"/>
        <v>11424</v>
      </c>
      <c r="E37" s="507">
        <f t="shared" si="16"/>
        <v>2397</v>
      </c>
      <c r="F37" s="507">
        <f t="shared" si="16"/>
        <v>0</v>
      </c>
      <c r="G37" s="507">
        <f t="shared" si="16"/>
        <v>0</v>
      </c>
      <c r="H37" s="507">
        <f t="shared" si="16"/>
        <v>5808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926" t="s">
        <v>538</v>
      </c>
      <c r="C38" s="497">
        <f t="shared" ref="C38:C49" si="17">SUM(D38:J38)</f>
        <v>1460</v>
      </c>
      <c r="D38" s="497">
        <v>760</v>
      </c>
      <c r="E38" s="497">
        <v>225</v>
      </c>
      <c r="F38" s="497">
        <v>0</v>
      </c>
      <c r="G38" s="497">
        <v>0</v>
      </c>
      <c r="H38" s="497">
        <v>475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925" t="s">
        <v>539</v>
      </c>
      <c r="C39" s="501">
        <f t="shared" si="17"/>
        <v>1295</v>
      </c>
      <c r="D39" s="501">
        <v>705</v>
      </c>
      <c r="E39" s="501">
        <v>220</v>
      </c>
      <c r="F39" s="501">
        <v>0</v>
      </c>
      <c r="G39" s="501">
        <v>0</v>
      </c>
      <c r="H39" s="501">
        <v>370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925" t="s">
        <v>39</v>
      </c>
      <c r="C40" s="501">
        <f t="shared" si="17"/>
        <v>2466</v>
      </c>
      <c r="D40" s="501">
        <v>1100</v>
      </c>
      <c r="E40" s="501">
        <v>815</v>
      </c>
      <c r="F40" s="501">
        <v>0</v>
      </c>
      <c r="G40" s="501">
        <v>0</v>
      </c>
      <c r="H40" s="501">
        <v>551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925" t="s">
        <v>40</v>
      </c>
      <c r="C41" s="501">
        <f t="shared" si="17"/>
        <v>1575</v>
      </c>
      <c r="D41" s="501">
        <v>706</v>
      </c>
      <c r="E41" s="501">
        <v>556</v>
      </c>
      <c r="F41" s="501">
        <v>0</v>
      </c>
      <c r="G41" s="501">
        <v>0</v>
      </c>
      <c r="H41" s="501">
        <v>313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925" t="s">
        <v>41</v>
      </c>
      <c r="C42" s="501">
        <f t="shared" si="17"/>
        <v>1147</v>
      </c>
      <c r="D42" s="501">
        <v>657</v>
      </c>
      <c r="E42" s="501">
        <v>158</v>
      </c>
      <c r="F42" s="501">
        <v>0</v>
      </c>
      <c r="G42" s="501">
        <v>0</v>
      </c>
      <c r="H42" s="501">
        <v>332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925" t="s">
        <v>28</v>
      </c>
      <c r="C43" s="501">
        <f t="shared" si="17"/>
        <v>1496</v>
      </c>
      <c r="D43" s="501">
        <v>852</v>
      </c>
      <c r="E43" s="501">
        <v>215</v>
      </c>
      <c r="F43" s="501">
        <v>0</v>
      </c>
      <c r="G43" s="501">
        <v>0</v>
      </c>
      <c r="H43" s="501">
        <v>429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925" t="s">
        <v>29</v>
      </c>
      <c r="C44" s="501">
        <f t="shared" si="17"/>
        <v>1843</v>
      </c>
      <c r="D44" s="501">
        <v>1180</v>
      </c>
      <c r="E44" s="501">
        <v>196</v>
      </c>
      <c r="F44" s="501">
        <v>0</v>
      </c>
      <c r="G44" s="501">
        <v>0</v>
      </c>
      <c r="H44" s="501">
        <v>467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925" t="s">
        <v>30</v>
      </c>
      <c r="C45" s="501">
        <f t="shared" si="17"/>
        <v>1544</v>
      </c>
      <c r="D45" s="501">
        <v>1009</v>
      </c>
      <c r="E45" s="501">
        <v>171</v>
      </c>
      <c r="F45" s="501">
        <v>0</v>
      </c>
      <c r="G45" s="501">
        <v>0</v>
      </c>
      <c r="H45" s="501">
        <v>364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925" t="s">
        <v>31</v>
      </c>
      <c r="C46" s="501">
        <f t="shared" si="17"/>
        <v>1638</v>
      </c>
      <c r="D46" s="501">
        <v>1136</v>
      </c>
      <c r="E46" s="501">
        <v>62</v>
      </c>
      <c r="F46" s="501">
        <v>0</v>
      </c>
      <c r="G46" s="501">
        <v>0</v>
      </c>
      <c r="H46" s="501">
        <v>440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925" t="s">
        <v>32</v>
      </c>
      <c r="C47" s="501">
        <f t="shared" si="17"/>
        <v>1471</v>
      </c>
      <c r="D47" s="501">
        <v>808</v>
      </c>
      <c r="E47" s="501">
        <v>303</v>
      </c>
      <c r="F47" s="501">
        <v>0</v>
      </c>
      <c r="G47" s="501">
        <v>0</v>
      </c>
      <c r="H47" s="501">
        <v>360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925" t="s">
        <v>33</v>
      </c>
      <c r="C48" s="501">
        <f t="shared" si="17"/>
        <v>1436</v>
      </c>
      <c r="D48" s="501">
        <v>821</v>
      </c>
      <c r="E48" s="501">
        <v>240</v>
      </c>
      <c r="F48" s="501">
        <v>0</v>
      </c>
      <c r="G48" s="501">
        <v>0</v>
      </c>
      <c r="H48" s="501">
        <v>375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925" t="s">
        <v>34</v>
      </c>
      <c r="C49" s="501">
        <f t="shared" si="17"/>
        <v>1567</v>
      </c>
      <c r="D49" s="501">
        <v>909</v>
      </c>
      <c r="E49" s="501">
        <v>240</v>
      </c>
      <c r="F49" s="501">
        <v>0</v>
      </c>
      <c r="G49" s="501">
        <v>0</v>
      </c>
      <c r="H49" s="501">
        <v>418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501</v>
      </c>
      <c r="C50" s="507">
        <f>SUM(C38:C49)</f>
        <v>18938</v>
      </c>
      <c r="D50" s="507">
        <f t="shared" ref="D50" si="18">SUM(D38:D49)</f>
        <v>10643</v>
      </c>
      <c r="E50" s="507">
        <f t="shared" ref="E50:J50" si="19">SUM(E38:E49)</f>
        <v>3401</v>
      </c>
      <c r="F50" s="507">
        <f t="shared" si="19"/>
        <v>0</v>
      </c>
      <c r="G50" s="507">
        <f t="shared" si="19"/>
        <v>0</v>
      </c>
      <c r="H50" s="507">
        <f t="shared" si="19"/>
        <v>4894</v>
      </c>
      <c r="I50" s="507">
        <f t="shared" si="19"/>
        <v>0</v>
      </c>
      <c r="J50" s="508">
        <f t="shared" si="19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926" t="s">
        <v>538</v>
      </c>
      <c r="C51" s="497">
        <f t="shared" ref="C51:C62" si="20">SUM(D51:J51)</f>
        <v>1311</v>
      </c>
      <c r="D51" s="497">
        <v>716</v>
      </c>
      <c r="E51" s="497">
        <v>238</v>
      </c>
      <c r="F51" s="497">
        <v>0</v>
      </c>
      <c r="G51" s="497">
        <v>0</v>
      </c>
      <c r="H51" s="497">
        <v>357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925" t="s">
        <v>539</v>
      </c>
      <c r="C52" s="501">
        <f t="shared" si="20"/>
        <v>1528</v>
      </c>
      <c r="D52" s="501">
        <v>739</v>
      </c>
      <c r="E52" s="501">
        <v>265</v>
      </c>
      <c r="F52" s="501">
        <v>0</v>
      </c>
      <c r="G52" s="501">
        <v>0</v>
      </c>
      <c r="H52" s="501">
        <v>524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925" t="s">
        <v>39</v>
      </c>
      <c r="C53" s="501">
        <f t="shared" si="20"/>
        <v>1783</v>
      </c>
      <c r="D53" s="501">
        <v>840</v>
      </c>
      <c r="E53" s="501">
        <v>338</v>
      </c>
      <c r="F53" s="501">
        <v>0</v>
      </c>
      <c r="G53" s="501">
        <v>0</v>
      </c>
      <c r="H53" s="501">
        <v>605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925" t="s">
        <v>40</v>
      </c>
      <c r="C54" s="501">
        <f t="shared" si="20"/>
        <v>1202</v>
      </c>
      <c r="D54" s="501">
        <v>668</v>
      </c>
      <c r="E54" s="501">
        <v>148</v>
      </c>
      <c r="F54" s="501">
        <v>0</v>
      </c>
      <c r="G54" s="501">
        <v>0</v>
      </c>
      <c r="H54" s="501">
        <v>386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925" t="s">
        <v>41</v>
      </c>
      <c r="C55" s="501">
        <f t="shared" si="20"/>
        <v>1487</v>
      </c>
      <c r="D55" s="501">
        <v>807</v>
      </c>
      <c r="E55" s="501">
        <v>181</v>
      </c>
      <c r="F55" s="501">
        <v>0</v>
      </c>
      <c r="G55" s="501">
        <v>0</v>
      </c>
      <c r="H55" s="501">
        <v>499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925" t="s">
        <v>28</v>
      </c>
      <c r="C56" s="501">
        <f t="shared" si="20"/>
        <v>2193</v>
      </c>
      <c r="D56" s="501">
        <v>1290</v>
      </c>
      <c r="E56" s="501">
        <v>297</v>
      </c>
      <c r="F56" s="501">
        <v>0</v>
      </c>
      <c r="G56" s="501">
        <v>0</v>
      </c>
      <c r="H56" s="501">
        <v>606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925" t="s">
        <v>29</v>
      </c>
      <c r="C57" s="501">
        <f t="shared" si="20"/>
        <v>2016</v>
      </c>
      <c r="D57" s="501">
        <v>1204</v>
      </c>
      <c r="E57" s="501">
        <v>252</v>
      </c>
      <c r="F57" s="501">
        <v>0</v>
      </c>
      <c r="G57" s="501">
        <v>0</v>
      </c>
      <c r="H57" s="501">
        <v>560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925" t="s">
        <v>30</v>
      </c>
      <c r="C58" s="501">
        <f t="shared" si="20"/>
        <v>2044</v>
      </c>
      <c r="D58" s="501">
        <v>1210</v>
      </c>
      <c r="E58" s="501">
        <v>243</v>
      </c>
      <c r="F58" s="501">
        <v>0</v>
      </c>
      <c r="G58" s="501">
        <v>0</v>
      </c>
      <c r="H58" s="501">
        <v>591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925" t="s">
        <v>31</v>
      </c>
      <c r="C59" s="501">
        <f t="shared" si="20"/>
        <v>2022</v>
      </c>
      <c r="D59" s="501">
        <v>1182</v>
      </c>
      <c r="E59" s="501">
        <v>259</v>
      </c>
      <c r="F59" s="501">
        <v>0</v>
      </c>
      <c r="G59" s="501">
        <v>0</v>
      </c>
      <c r="H59" s="501">
        <v>581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925" t="s">
        <v>32</v>
      </c>
      <c r="C60" s="501">
        <f t="shared" si="20"/>
        <v>2076</v>
      </c>
      <c r="D60" s="501">
        <v>1239</v>
      </c>
      <c r="E60" s="501">
        <v>257</v>
      </c>
      <c r="F60" s="501">
        <v>0</v>
      </c>
      <c r="G60" s="501">
        <v>0</v>
      </c>
      <c r="H60" s="501">
        <v>580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925" t="s">
        <v>33</v>
      </c>
      <c r="C61" s="501">
        <f t="shared" si="20"/>
        <v>1915</v>
      </c>
      <c r="D61" s="501">
        <v>1124</v>
      </c>
      <c r="E61" s="501">
        <v>290</v>
      </c>
      <c r="F61" s="501">
        <v>0</v>
      </c>
      <c r="G61" s="501">
        <v>0</v>
      </c>
      <c r="H61" s="501">
        <v>501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925" t="s">
        <v>34</v>
      </c>
      <c r="C62" s="501">
        <f t="shared" si="20"/>
        <v>2712</v>
      </c>
      <c r="D62" s="501">
        <v>1209</v>
      </c>
      <c r="E62" s="501">
        <v>859</v>
      </c>
      <c r="F62" s="501">
        <v>0</v>
      </c>
      <c r="G62" s="501">
        <v>0</v>
      </c>
      <c r="H62" s="501">
        <v>644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501</v>
      </c>
      <c r="C63" s="507">
        <f t="shared" ref="C63:J63" si="21">SUM(C51:C62)</f>
        <v>22289</v>
      </c>
      <c r="D63" s="507">
        <f t="shared" si="21"/>
        <v>12228</v>
      </c>
      <c r="E63" s="507">
        <f t="shared" si="21"/>
        <v>3627</v>
      </c>
      <c r="F63" s="507">
        <f t="shared" si="21"/>
        <v>0</v>
      </c>
      <c r="G63" s="507">
        <f t="shared" si="21"/>
        <v>0</v>
      </c>
      <c r="H63" s="507">
        <f t="shared" si="21"/>
        <v>6434</v>
      </c>
      <c r="I63" s="507">
        <f t="shared" si="21"/>
        <v>0</v>
      </c>
      <c r="J63" s="508">
        <f t="shared" si="21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869</v>
      </c>
      <c r="B64" s="926" t="s">
        <v>538</v>
      </c>
      <c r="C64" s="497">
        <f t="shared" ref="C64:C75" si="22">SUM(D64:J64)</f>
        <v>2056</v>
      </c>
      <c r="D64" s="497">
        <v>764</v>
      </c>
      <c r="E64" s="497">
        <v>783</v>
      </c>
      <c r="F64" s="497">
        <v>0</v>
      </c>
      <c r="G64" s="497">
        <v>0</v>
      </c>
      <c r="H64" s="497">
        <v>509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925" t="s">
        <v>539</v>
      </c>
      <c r="C65" s="501">
        <f t="shared" si="22"/>
        <v>2124</v>
      </c>
      <c r="D65" s="501">
        <v>805</v>
      </c>
      <c r="E65" s="501">
        <v>905</v>
      </c>
      <c r="F65" s="501">
        <v>0</v>
      </c>
      <c r="G65" s="501">
        <v>0</v>
      </c>
      <c r="H65" s="501">
        <v>414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925" t="s">
        <v>39</v>
      </c>
      <c r="C66" s="501">
        <f t="shared" si="22"/>
        <v>1586</v>
      </c>
      <c r="D66" s="501">
        <v>909</v>
      </c>
      <c r="E66" s="501">
        <v>228</v>
      </c>
      <c r="F66" s="501">
        <v>0</v>
      </c>
      <c r="G66" s="501">
        <v>0</v>
      </c>
      <c r="H66" s="501">
        <v>449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925" t="s">
        <v>40</v>
      </c>
      <c r="C67" s="501">
        <f t="shared" si="22"/>
        <v>1269</v>
      </c>
      <c r="D67" s="501">
        <v>654</v>
      </c>
      <c r="E67" s="501">
        <v>189</v>
      </c>
      <c r="F67" s="501">
        <v>0</v>
      </c>
      <c r="G67" s="501">
        <v>0</v>
      </c>
      <c r="H67" s="501">
        <v>426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925" t="s">
        <v>41</v>
      </c>
      <c r="C68" s="501">
        <f t="shared" si="22"/>
        <v>1456</v>
      </c>
      <c r="D68" s="501">
        <v>694</v>
      </c>
      <c r="E68" s="501">
        <v>296</v>
      </c>
      <c r="F68" s="501">
        <v>0</v>
      </c>
      <c r="G68" s="501">
        <v>0</v>
      </c>
      <c r="H68" s="501">
        <v>466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925" t="s">
        <v>28</v>
      </c>
      <c r="C69" s="501">
        <f t="shared" si="22"/>
        <v>1896</v>
      </c>
      <c r="D69" s="501">
        <v>973</v>
      </c>
      <c r="E69" s="501">
        <v>346</v>
      </c>
      <c r="F69" s="501">
        <v>0</v>
      </c>
      <c r="G69" s="501">
        <v>0</v>
      </c>
      <c r="H69" s="501">
        <v>577</v>
      </c>
      <c r="I69" s="501">
        <v>0</v>
      </c>
      <c r="J69" s="501">
        <v>0</v>
      </c>
    </row>
    <row r="70" spans="1:22" s="472" customFormat="1" ht="12">
      <c r="A70" s="2270"/>
      <c r="B70" s="925" t="s">
        <v>29</v>
      </c>
      <c r="C70" s="501">
        <f t="shared" si="22"/>
        <v>1666</v>
      </c>
      <c r="D70" s="501">
        <v>877</v>
      </c>
      <c r="E70" s="501">
        <v>280</v>
      </c>
      <c r="F70" s="501">
        <v>0</v>
      </c>
      <c r="G70" s="501">
        <v>0</v>
      </c>
      <c r="H70" s="501">
        <v>509</v>
      </c>
      <c r="I70" s="501">
        <v>0</v>
      </c>
      <c r="J70" s="501">
        <v>0</v>
      </c>
    </row>
    <row r="71" spans="1:22" s="472" customFormat="1" ht="12">
      <c r="A71" s="2270"/>
      <c r="B71" s="925" t="s">
        <v>30</v>
      </c>
      <c r="C71" s="501">
        <f t="shared" si="22"/>
        <v>1517</v>
      </c>
      <c r="D71" s="501">
        <v>825</v>
      </c>
      <c r="E71" s="501">
        <v>245</v>
      </c>
      <c r="F71" s="501">
        <v>0</v>
      </c>
      <c r="G71" s="501">
        <v>0</v>
      </c>
      <c r="H71" s="501">
        <v>447</v>
      </c>
      <c r="I71" s="501">
        <v>0</v>
      </c>
      <c r="J71" s="501">
        <v>0</v>
      </c>
    </row>
    <row r="72" spans="1:22" s="472" customFormat="1" ht="12">
      <c r="A72" s="2270"/>
      <c r="B72" s="925" t="s">
        <v>31</v>
      </c>
      <c r="C72" s="501">
        <f t="shared" si="22"/>
        <v>1672</v>
      </c>
      <c r="D72" s="501">
        <v>971</v>
      </c>
      <c r="E72" s="501">
        <v>227</v>
      </c>
      <c r="F72" s="501">
        <v>0</v>
      </c>
      <c r="G72" s="501">
        <v>0</v>
      </c>
      <c r="H72" s="501">
        <v>474</v>
      </c>
      <c r="I72" s="501">
        <v>0</v>
      </c>
      <c r="J72" s="501">
        <v>0</v>
      </c>
    </row>
    <row r="73" spans="1:22" s="472" customFormat="1" ht="12">
      <c r="A73" s="2270"/>
      <c r="B73" s="925" t="s">
        <v>32</v>
      </c>
      <c r="C73" s="501">
        <f t="shared" si="22"/>
        <v>1541</v>
      </c>
      <c r="D73" s="501">
        <v>887</v>
      </c>
      <c r="E73" s="501">
        <v>223</v>
      </c>
      <c r="F73" s="501">
        <v>0</v>
      </c>
      <c r="G73" s="501">
        <v>0</v>
      </c>
      <c r="H73" s="501">
        <v>431</v>
      </c>
      <c r="I73" s="501">
        <v>0</v>
      </c>
      <c r="J73" s="501">
        <v>0</v>
      </c>
    </row>
    <row r="74" spans="1:22" s="472" customFormat="1" ht="12">
      <c r="A74" s="2270"/>
      <c r="B74" s="925" t="s">
        <v>33</v>
      </c>
      <c r="C74" s="501">
        <f t="shared" si="22"/>
        <v>1773</v>
      </c>
      <c r="D74" s="501">
        <v>898</v>
      </c>
      <c r="E74" s="501">
        <v>330</v>
      </c>
      <c r="F74" s="501">
        <v>0</v>
      </c>
      <c r="G74" s="501">
        <v>0</v>
      </c>
      <c r="H74" s="501">
        <v>545</v>
      </c>
      <c r="I74" s="501">
        <v>0</v>
      </c>
      <c r="J74" s="501">
        <v>0</v>
      </c>
    </row>
    <row r="75" spans="1:22" s="472" customFormat="1" ht="12">
      <c r="A75" s="2270"/>
      <c r="B75" s="925" t="s">
        <v>34</v>
      </c>
      <c r="C75" s="501">
        <f t="shared" si="22"/>
        <v>1480</v>
      </c>
      <c r="D75" s="501">
        <v>788</v>
      </c>
      <c r="E75" s="501">
        <v>302</v>
      </c>
      <c r="F75" s="501">
        <v>0</v>
      </c>
      <c r="G75" s="501">
        <v>0</v>
      </c>
      <c r="H75" s="501">
        <v>390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501</v>
      </c>
      <c r="C76" s="507">
        <f t="shared" ref="C76:J76" si="23">SUM(C64:C75)</f>
        <v>20036</v>
      </c>
      <c r="D76" s="507">
        <f t="shared" si="23"/>
        <v>10045</v>
      </c>
      <c r="E76" s="507">
        <f t="shared" si="23"/>
        <v>4354</v>
      </c>
      <c r="F76" s="507">
        <f t="shared" si="23"/>
        <v>0</v>
      </c>
      <c r="G76" s="507">
        <f t="shared" si="23"/>
        <v>0</v>
      </c>
      <c r="H76" s="507">
        <f t="shared" si="23"/>
        <v>5637</v>
      </c>
      <c r="I76" s="507">
        <f t="shared" si="23"/>
        <v>0</v>
      </c>
      <c r="J76" s="508">
        <f t="shared" si="23"/>
        <v>0</v>
      </c>
    </row>
    <row r="77" spans="1:22" s="472" customFormat="1" ht="12">
      <c r="A77" s="2269" t="s">
        <v>286</v>
      </c>
      <c r="B77" s="926" t="s">
        <v>538</v>
      </c>
      <c r="C77" s="497">
        <f t="shared" ref="C77:C88" si="24">SUM(D77:J77)</f>
        <v>1424</v>
      </c>
      <c r="D77" s="497">
        <v>754</v>
      </c>
      <c r="E77" s="497">
        <v>335</v>
      </c>
      <c r="F77" s="497">
        <v>0</v>
      </c>
      <c r="G77" s="497">
        <v>0</v>
      </c>
      <c r="H77" s="497">
        <v>335</v>
      </c>
      <c r="I77" s="497">
        <v>0</v>
      </c>
      <c r="J77" s="497">
        <v>0</v>
      </c>
    </row>
    <row r="78" spans="1:22" s="472" customFormat="1" ht="12">
      <c r="A78" s="2270"/>
      <c r="B78" s="925" t="s">
        <v>539</v>
      </c>
      <c r="C78" s="501">
        <f t="shared" si="24"/>
        <v>1534</v>
      </c>
      <c r="D78" s="501">
        <v>792</v>
      </c>
      <c r="E78" s="501">
        <v>304</v>
      </c>
      <c r="F78" s="501">
        <v>0</v>
      </c>
      <c r="G78" s="501">
        <v>0</v>
      </c>
      <c r="H78" s="501">
        <v>438</v>
      </c>
      <c r="I78" s="501">
        <v>0</v>
      </c>
      <c r="J78" s="501">
        <v>0</v>
      </c>
    </row>
    <row r="79" spans="1:22" s="472" customFormat="1" ht="12">
      <c r="A79" s="2270"/>
      <c r="B79" s="925" t="s">
        <v>39</v>
      </c>
      <c r="C79" s="501">
        <f t="shared" si="24"/>
        <v>1355</v>
      </c>
      <c r="D79" s="501">
        <v>638</v>
      </c>
      <c r="E79" s="501">
        <v>328</v>
      </c>
      <c r="F79" s="501">
        <v>0</v>
      </c>
      <c r="G79" s="501">
        <v>0</v>
      </c>
      <c r="H79" s="501">
        <v>389</v>
      </c>
      <c r="I79" s="501">
        <v>0</v>
      </c>
      <c r="J79" s="501">
        <v>0</v>
      </c>
    </row>
    <row r="80" spans="1:22" s="472" customFormat="1" ht="12">
      <c r="A80" s="2270"/>
      <c r="B80" s="925" t="s">
        <v>40</v>
      </c>
      <c r="C80" s="501">
        <f t="shared" si="24"/>
        <v>1592</v>
      </c>
      <c r="D80" s="501">
        <v>716</v>
      </c>
      <c r="E80" s="501">
        <v>541</v>
      </c>
      <c r="F80" s="501">
        <v>0</v>
      </c>
      <c r="G80" s="501">
        <v>0</v>
      </c>
      <c r="H80" s="501">
        <v>335</v>
      </c>
      <c r="I80" s="501">
        <v>0</v>
      </c>
      <c r="J80" s="501">
        <v>0</v>
      </c>
    </row>
    <row r="81" spans="1:10" s="472" customFormat="1" ht="12">
      <c r="A81" s="2270"/>
      <c r="B81" s="925" t="s">
        <v>41</v>
      </c>
      <c r="C81" s="501">
        <f t="shared" si="24"/>
        <v>1922</v>
      </c>
      <c r="D81" s="501">
        <v>792</v>
      </c>
      <c r="E81" s="501">
        <v>656</v>
      </c>
      <c r="F81" s="501">
        <v>0</v>
      </c>
      <c r="G81" s="501">
        <v>0</v>
      </c>
      <c r="H81" s="501">
        <v>474</v>
      </c>
      <c r="I81" s="501">
        <v>0</v>
      </c>
      <c r="J81" s="501">
        <v>0</v>
      </c>
    </row>
    <row r="82" spans="1:10" s="472" customFormat="1" ht="12">
      <c r="A82" s="2270"/>
      <c r="B82" s="925" t="s">
        <v>28</v>
      </c>
      <c r="C82" s="501">
        <f t="shared" si="24"/>
        <v>2044</v>
      </c>
      <c r="D82" s="501">
        <v>913</v>
      </c>
      <c r="E82" s="501">
        <v>601</v>
      </c>
      <c r="F82" s="501">
        <v>0</v>
      </c>
      <c r="G82" s="501">
        <v>0</v>
      </c>
      <c r="H82" s="501">
        <v>530</v>
      </c>
      <c r="I82" s="501">
        <v>0</v>
      </c>
      <c r="J82" s="501">
        <v>0</v>
      </c>
    </row>
    <row r="83" spans="1:10" s="472" customFormat="1" ht="12">
      <c r="A83" s="2270"/>
      <c r="B83" s="925" t="s">
        <v>29</v>
      </c>
      <c r="C83" s="501">
        <f t="shared" si="24"/>
        <v>1957</v>
      </c>
      <c r="D83" s="501">
        <v>995</v>
      </c>
      <c r="E83" s="501">
        <v>399</v>
      </c>
      <c r="F83" s="501">
        <v>0</v>
      </c>
      <c r="G83" s="501">
        <v>0</v>
      </c>
      <c r="H83" s="501">
        <v>563</v>
      </c>
      <c r="I83" s="501">
        <v>0</v>
      </c>
      <c r="J83" s="501">
        <v>0</v>
      </c>
    </row>
    <row r="84" spans="1:10" s="472" customFormat="1" ht="12">
      <c r="A84" s="2270"/>
      <c r="B84" s="925" t="s">
        <v>30</v>
      </c>
      <c r="C84" s="501">
        <f t="shared" si="24"/>
        <v>2357</v>
      </c>
      <c r="D84" s="501">
        <v>1074</v>
      </c>
      <c r="E84" s="501">
        <v>641</v>
      </c>
      <c r="F84" s="501">
        <v>0</v>
      </c>
      <c r="G84" s="501">
        <v>0</v>
      </c>
      <c r="H84" s="501">
        <v>642</v>
      </c>
      <c r="I84" s="501">
        <v>0</v>
      </c>
      <c r="J84" s="501">
        <v>0</v>
      </c>
    </row>
    <row r="85" spans="1:10" s="472" customFormat="1" ht="12">
      <c r="A85" s="2270"/>
      <c r="B85" s="925" t="s">
        <v>31</v>
      </c>
      <c r="C85" s="501">
        <f t="shared" si="24"/>
        <v>1585</v>
      </c>
      <c r="D85" s="501">
        <v>877</v>
      </c>
      <c r="E85" s="501">
        <v>193</v>
      </c>
      <c r="F85" s="501">
        <v>0</v>
      </c>
      <c r="G85" s="501">
        <v>0</v>
      </c>
      <c r="H85" s="501">
        <v>515</v>
      </c>
      <c r="I85" s="501">
        <v>0</v>
      </c>
      <c r="J85" s="501">
        <v>0</v>
      </c>
    </row>
    <row r="86" spans="1:10" s="472" customFormat="1" ht="12">
      <c r="A86" s="2270"/>
      <c r="B86" s="925" t="s">
        <v>32</v>
      </c>
      <c r="C86" s="501">
        <f t="shared" si="24"/>
        <v>1911</v>
      </c>
      <c r="D86" s="501">
        <v>982</v>
      </c>
      <c r="E86" s="501">
        <v>303</v>
      </c>
      <c r="F86" s="501">
        <v>0</v>
      </c>
      <c r="G86" s="501">
        <v>0</v>
      </c>
      <c r="H86" s="501">
        <v>626</v>
      </c>
      <c r="I86" s="501">
        <v>0</v>
      </c>
      <c r="J86" s="501">
        <v>0</v>
      </c>
    </row>
    <row r="87" spans="1:10" s="472" customFormat="1" ht="12">
      <c r="A87" s="2270"/>
      <c r="B87" s="925" t="s">
        <v>33</v>
      </c>
      <c r="C87" s="501">
        <f t="shared" si="24"/>
        <v>1632</v>
      </c>
      <c r="D87" s="501">
        <v>894</v>
      </c>
      <c r="E87" s="501">
        <v>256</v>
      </c>
      <c r="F87" s="501">
        <v>0</v>
      </c>
      <c r="G87" s="501">
        <v>0</v>
      </c>
      <c r="H87" s="501">
        <v>482</v>
      </c>
      <c r="I87" s="501">
        <v>0</v>
      </c>
      <c r="J87" s="501">
        <v>0</v>
      </c>
    </row>
    <row r="88" spans="1:10" s="472" customFormat="1" ht="12">
      <c r="A88" s="2270"/>
      <c r="B88" s="925" t="s">
        <v>34</v>
      </c>
      <c r="C88" s="501">
        <f t="shared" si="24"/>
        <v>1507</v>
      </c>
      <c r="D88" s="501">
        <v>822</v>
      </c>
      <c r="E88" s="501">
        <v>241</v>
      </c>
      <c r="F88" s="501">
        <v>0</v>
      </c>
      <c r="G88" s="501">
        <v>0</v>
      </c>
      <c r="H88" s="501">
        <v>444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501</v>
      </c>
      <c r="C89" s="507">
        <f t="shared" ref="C89:J89" si="25">SUM(C77:C88)</f>
        <v>20820</v>
      </c>
      <c r="D89" s="507">
        <f t="shared" si="25"/>
        <v>10249</v>
      </c>
      <c r="E89" s="507">
        <f t="shared" si="25"/>
        <v>4798</v>
      </c>
      <c r="F89" s="507">
        <f t="shared" si="25"/>
        <v>0</v>
      </c>
      <c r="G89" s="507">
        <f t="shared" si="25"/>
        <v>0</v>
      </c>
      <c r="H89" s="507">
        <f t="shared" si="25"/>
        <v>5773</v>
      </c>
      <c r="I89" s="507">
        <f t="shared" si="25"/>
        <v>0</v>
      </c>
      <c r="J89" s="508">
        <f t="shared" si="25"/>
        <v>0</v>
      </c>
    </row>
    <row r="90" spans="1:10" s="472" customFormat="1" ht="12">
      <c r="A90" s="2269" t="s">
        <v>1524</v>
      </c>
      <c r="B90" s="926" t="s">
        <v>538</v>
      </c>
      <c r="C90" s="497">
        <f t="shared" ref="C90:C101" si="26">SUM(D90:J90)</f>
        <v>1654</v>
      </c>
      <c r="D90" s="497">
        <v>843</v>
      </c>
      <c r="E90" s="497">
        <v>312</v>
      </c>
      <c r="F90" s="497">
        <v>0</v>
      </c>
      <c r="G90" s="497">
        <v>0</v>
      </c>
      <c r="H90" s="497">
        <v>499</v>
      </c>
      <c r="I90" s="497">
        <v>0</v>
      </c>
      <c r="J90" s="497">
        <v>0</v>
      </c>
    </row>
    <row r="91" spans="1:10" s="472" customFormat="1" ht="12">
      <c r="A91" s="2270"/>
      <c r="B91" s="925" t="s">
        <v>539</v>
      </c>
      <c r="C91" s="501">
        <f t="shared" si="26"/>
        <v>1244</v>
      </c>
      <c r="D91" s="501">
        <v>629</v>
      </c>
      <c r="E91" s="501">
        <v>197</v>
      </c>
      <c r="F91" s="501">
        <v>0</v>
      </c>
      <c r="G91" s="501">
        <v>0</v>
      </c>
      <c r="H91" s="501">
        <v>418</v>
      </c>
      <c r="I91" s="501">
        <v>0</v>
      </c>
      <c r="J91" s="501">
        <v>0</v>
      </c>
    </row>
    <row r="92" spans="1:10" s="472" customFormat="1" ht="12">
      <c r="A92" s="2270"/>
      <c r="B92" s="925" t="s">
        <v>39</v>
      </c>
      <c r="C92" s="501">
        <f t="shared" si="26"/>
        <v>1408</v>
      </c>
      <c r="D92" s="501">
        <v>715</v>
      </c>
      <c r="E92" s="501">
        <v>252</v>
      </c>
      <c r="F92" s="501">
        <v>0</v>
      </c>
      <c r="G92" s="501">
        <v>0</v>
      </c>
      <c r="H92" s="501">
        <v>441</v>
      </c>
      <c r="I92" s="501">
        <v>0</v>
      </c>
      <c r="J92" s="501">
        <v>0</v>
      </c>
    </row>
    <row r="93" spans="1:10" s="472" customFormat="1" ht="12">
      <c r="A93" s="2270"/>
      <c r="B93" s="925" t="s">
        <v>40</v>
      </c>
      <c r="C93" s="501">
        <f t="shared" si="26"/>
        <v>1727</v>
      </c>
      <c r="D93" s="501">
        <v>755</v>
      </c>
      <c r="E93" s="501">
        <v>438</v>
      </c>
      <c r="F93" s="501">
        <v>0</v>
      </c>
      <c r="G93" s="501">
        <v>0</v>
      </c>
      <c r="H93" s="501">
        <v>534</v>
      </c>
      <c r="I93" s="501">
        <v>0</v>
      </c>
      <c r="J93" s="501">
        <v>0</v>
      </c>
    </row>
    <row r="94" spans="1:10" s="472" customFormat="1" ht="12">
      <c r="A94" s="2270"/>
      <c r="B94" s="925" t="s">
        <v>41</v>
      </c>
      <c r="C94" s="501">
        <f t="shared" si="26"/>
        <v>1645</v>
      </c>
      <c r="D94" s="501">
        <v>768</v>
      </c>
      <c r="E94" s="501">
        <v>469</v>
      </c>
      <c r="F94" s="501">
        <v>0</v>
      </c>
      <c r="G94" s="501">
        <v>0</v>
      </c>
      <c r="H94" s="501">
        <v>408</v>
      </c>
      <c r="I94" s="501">
        <v>0</v>
      </c>
      <c r="J94" s="501">
        <v>0</v>
      </c>
    </row>
    <row r="95" spans="1:10" s="472" customFormat="1" ht="12">
      <c r="A95" s="2270"/>
      <c r="B95" s="925" t="s">
        <v>28</v>
      </c>
      <c r="C95" s="501">
        <f t="shared" si="26"/>
        <v>1983</v>
      </c>
      <c r="D95" s="501">
        <v>919</v>
      </c>
      <c r="E95" s="501">
        <v>617</v>
      </c>
      <c r="F95" s="501">
        <v>0</v>
      </c>
      <c r="G95" s="501">
        <v>0</v>
      </c>
      <c r="H95" s="501">
        <v>447</v>
      </c>
      <c r="I95" s="501">
        <v>0</v>
      </c>
      <c r="J95" s="501">
        <v>0</v>
      </c>
    </row>
    <row r="96" spans="1:10" s="472" customFormat="1" ht="12">
      <c r="A96" s="2270"/>
      <c r="B96" s="925" t="s">
        <v>29</v>
      </c>
      <c r="C96" s="501">
        <f t="shared" si="26"/>
        <v>1394</v>
      </c>
      <c r="D96" s="501">
        <v>1096</v>
      </c>
      <c r="E96" s="501">
        <v>298</v>
      </c>
      <c r="F96" s="501">
        <v>0</v>
      </c>
      <c r="G96" s="501">
        <v>0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925" t="s">
        <v>30</v>
      </c>
      <c r="C97" s="501">
        <f t="shared" si="26"/>
        <v>1138</v>
      </c>
      <c r="D97" s="501">
        <v>980</v>
      </c>
      <c r="E97" s="501">
        <v>158</v>
      </c>
      <c r="F97" s="501">
        <v>0</v>
      </c>
      <c r="G97" s="501">
        <v>0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925" t="s">
        <v>31</v>
      </c>
      <c r="C98" s="501">
        <f t="shared" si="26"/>
        <v>1097</v>
      </c>
      <c r="D98" s="501">
        <v>1016</v>
      </c>
      <c r="E98" s="501">
        <v>81</v>
      </c>
      <c r="F98" s="501">
        <v>0</v>
      </c>
      <c r="G98" s="501">
        <v>0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925" t="s">
        <v>32</v>
      </c>
      <c r="C99" s="501">
        <f t="shared" si="26"/>
        <v>1301</v>
      </c>
      <c r="D99" s="501">
        <v>1157</v>
      </c>
      <c r="E99" s="501">
        <v>144</v>
      </c>
      <c r="F99" s="501">
        <v>0</v>
      </c>
      <c r="G99" s="501">
        <v>0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925" t="s">
        <v>33</v>
      </c>
      <c r="C100" s="501">
        <f t="shared" si="26"/>
        <v>978</v>
      </c>
      <c r="D100" s="501">
        <v>846</v>
      </c>
      <c r="E100" s="501">
        <v>132</v>
      </c>
      <c r="F100" s="501">
        <v>0</v>
      </c>
      <c r="G100" s="501">
        <v>0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925" t="s">
        <v>34</v>
      </c>
      <c r="C101" s="501">
        <f t="shared" si="26"/>
        <v>1178</v>
      </c>
      <c r="D101" s="501">
        <v>918</v>
      </c>
      <c r="E101" s="501">
        <v>260</v>
      </c>
      <c r="F101" s="501">
        <v>0</v>
      </c>
      <c r="G101" s="501">
        <v>0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501</v>
      </c>
      <c r="C102" s="507">
        <f t="shared" ref="C102:J102" si="27">SUM(C90:C101)</f>
        <v>16747</v>
      </c>
      <c r="D102" s="507">
        <f t="shared" si="27"/>
        <v>10642</v>
      </c>
      <c r="E102" s="507">
        <f t="shared" si="27"/>
        <v>3358</v>
      </c>
      <c r="F102" s="507">
        <f t="shared" si="27"/>
        <v>0</v>
      </c>
      <c r="G102" s="507">
        <f t="shared" si="27"/>
        <v>0</v>
      </c>
      <c r="H102" s="507">
        <f t="shared" si="27"/>
        <v>2747</v>
      </c>
      <c r="I102" s="507">
        <f t="shared" si="27"/>
        <v>0</v>
      </c>
      <c r="J102" s="508">
        <f t="shared" si="27"/>
        <v>0</v>
      </c>
    </row>
    <row r="103" spans="1:11" s="472" customFormat="1" ht="12">
      <c r="A103" s="2269"/>
      <c r="B103" s="92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925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925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925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925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925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925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925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925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925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925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925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1532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924" t="s">
        <v>501</v>
      </c>
      <c r="D4" s="924" t="s">
        <v>20</v>
      </c>
      <c r="E4" s="924" t="s">
        <v>514</v>
      </c>
      <c r="F4" s="924" t="s">
        <v>515</v>
      </c>
      <c r="G4" s="924" t="s">
        <v>516</v>
      </c>
      <c r="H4" s="924" t="s">
        <v>517</v>
      </c>
      <c r="I4" s="924" t="s">
        <v>518</v>
      </c>
      <c r="J4" s="476" t="s">
        <v>519</v>
      </c>
      <c r="K4" s="477" t="s">
        <v>17</v>
      </c>
      <c r="L4" s="477" t="s">
        <v>501</v>
      </c>
      <c r="M4" s="477" t="s">
        <v>20</v>
      </c>
      <c r="N4" s="477" t="s">
        <v>13</v>
      </c>
      <c r="O4" s="477" t="s">
        <v>522</v>
      </c>
      <c r="P4" s="477" t="s">
        <v>523</v>
      </c>
      <c r="R4" s="477" t="s">
        <v>454</v>
      </c>
    </row>
    <row r="5" spans="1:18" s="472" customFormat="1" ht="12">
      <c r="A5" s="2265" t="s">
        <v>1525</v>
      </c>
      <c r="B5" s="2266"/>
      <c r="C5" s="478">
        <f t="shared" ref="C5:C10" si="0">SUM(D5:J5)</f>
        <v>11.471232876712328</v>
      </c>
      <c r="D5" s="478">
        <f t="shared" ref="D5:J10" si="1">+D15/365</f>
        <v>11.471232876712328</v>
      </c>
      <c r="E5" s="478">
        <f t="shared" si="1"/>
        <v>0</v>
      </c>
      <c r="F5" s="478">
        <f t="shared" si="1"/>
        <v>0</v>
      </c>
      <c r="G5" s="478">
        <f t="shared" si="1"/>
        <v>0</v>
      </c>
      <c r="H5" s="478">
        <f t="shared" si="1"/>
        <v>0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11.471232876712328</v>
      </c>
      <c r="M5" s="481">
        <f t="shared" ref="M5:M10" si="3">D5</f>
        <v>11.471232876712328</v>
      </c>
      <c r="N5" s="481">
        <f t="shared" ref="N5:N10" si="4">L5-M5</f>
        <v>0</v>
      </c>
      <c r="O5" s="482" t="e">
        <f t="shared" ref="O5:O10" si="5">ROUND(L5/K5*1000,0)</f>
        <v>#DIV/0!</v>
      </c>
      <c r="P5" s="483">
        <f t="shared" ref="P5:P10" si="6">ROUND(N5/L5*100,1)</f>
        <v>0</v>
      </c>
      <c r="R5" s="481">
        <f t="shared" ref="R5:R10" si="7">C5-L5</f>
        <v>0</v>
      </c>
    </row>
    <row r="6" spans="1:18" s="472" customFormat="1" ht="12">
      <c r="A6" s="2265" t="s">
        <v>1526</v>
      </c>
      <c r="B6" s="2266"/>
      <c r="C6" s="478">
        <f t="shared" si="0"/>
        <v>14.624657534246575</v>
      </c>
      <c r="D6" s="478">
        <f t="shared" si="1"/>
        <v>14.624657534246575</v>
      </c>
      <c r="E6" s="478">
        <f t="shared" si="1"/>
        <v>0</v>
      </c>
      <c r="F6" s="478">
        <f t="shared" si="1"/>
        <v>0</v>
      </c>
      <c r="G6" s="478">
        <f t="shared" si="1"/>
        <v>0</v>
      </c>
      <c r="H6" s="478">
        <f t="shared" si="1"/>
        <v>0</v>
      </c>
      <c r="I6" s="478">
        <f t="shared" si="1"/>
        <v>0</v>
      </c>
      <c r="J6" s="479">
        <f t="shared" si="1"/>
        <v>0</v>
      </c>
      <c r="K6" s="480"/>
      <c r="L6" s="481">
        <f t="shared" si="2"/>
        <v>14.624657534246575</v>
      </c>
      <c r="M6" s="481">
        <f t="shared" si="3"/>
        <v>14.624657534246575</v>
      </c>
      <c r="N6" s="481">
        <f t="shared" si="4"/>
        <v>0</v>
      </c>
      <c r="O6" s="482" t="e">
        <f t="shared" si="5"/>
        <v>#DIV/0!</v>
      </c>
      <c r="P6" s="483">
        <f t="shared" si="6"/>
        <v>0</v>
      </c>
      <c r="R6" s="481">
        <f t="shared" si="7"/>
        <v>0</v>
      </c>
    </row>
    <row r="7" spans="1:18" s="472" customFormat="1" ht="12">
      <c r="A7" s="2261" t="s">
        <v>1527</v>
      </c>
      <c r="B7" s="2262"/>
      <c r="C7" s="479">
        <f t="shared" si="0"/>
        <v>11.953424657534246</v>
      </c>
      <c r="D7" s="484">
        <f t="shared" si="1"/>
        <v>11.953424657534246</v>
      </c>
      <c r="E7" s="484">
        <f t="shared" si="1"/>
        <v>0</v>
      </c>
      <c r="F7" s="484">
        <f t="shared" si="1"/>
        <v>0</v>
      </c>
      <c r="G7" s="484">
        <f t="shared" si="1"/>
        <v>0</v>
      </c>
      <c r="H7" s="484">
        <f t="shared" si="1"/>
        <v>0</v>
      </c>
      <c r="I7" s="484">
        <f t="shared" si="1"/>
        <v>0</v>
      </c>
      <c r="J7" s="485">
        <f t="shared" si="1"/>
        <v>0</v>
      </c>
      <c r="K7" s="480"/>
      <c r="L7" s="481">
        <f t="shared" si="2"/>
        <v>11.953424657534246</v>
      </c>
      <c r="M7" s="481">
        <f t="shared" si="3"/>
        <v>11.953424657534246</v>
      </c>
      <c r="N7" s="481">
        <f t="shared" si="4"/>
        <v>0</v>
      </c>
      <c r="O7" s="482" t="e">
        <f t="shared" si="5"/>
        <v>#DIV/0!</v>
      </c>
      <c r="P7" s="483">
        <f t="shared" si="6"/>
        <v>0</v>
      </c>
      <c r="R7" s="481">
        <f t="shared" si="7"/>
        <v>0</v>
      </c>
    </row>
    <row r="8" spans="1:18" s="472" customFormat="1" ht="12">
      <c r="A8" s="2261" t="s">
        <v>1528</v>
      </c>
      <c r="B8" s="2262"/>
      <c r="C8" s="479">
        <f t="shared" si="0"/>
        <v>17.435616438356163</v>
      </c>
      <c r="D8" s="484">
        <f t="shared" si="1"/>
        <v>17.435616438356163</v>
      </c>
      <c r="E8" s="484">
        <f t="shared" si="1"/>
        <v>0</v>
      </c>
      <c r="F8" s="484">
        <f t="shared" si="1"/>
        <v>0</v>
      </c>
      <c r="G8" s="484">
        <f t="shared" si="1"/>
        <v>0</v>
      </c>
      <c r="H8" s="484">
        <f t="shared" si="1"/>
        <v>0</v>
      </c>
      <c r="I8" s="484">
        <f t="shared" si="1"/>
        <v>0</v>
      </c>
      <c r="J8" s="485">
        <f t="shared" si="1"/>
        <v>0</v>
      </c>
      <c r="K8" s="480"/>
      <c r="L8" s="481">
        <f t="shared" si="2"/>
        <v>17.435616438356163</v>
      </c>
      <c r="M8" s="481">
        <f t="shared" si="3"/>
        <v>17.435616438356163</v>
      </c>
      <c r="N8" s="481">
        <f t="shared" si="4"/>
        <v>0</v>
      </c>
      <c r="O8" s="482" t="e">
        <f t="shared" si="5"/>
        <v>#DIV/0!</v>
      </c>
      <c r="P8" s="483">
        <f t="shared" si="6"/>
        <v>0</v>
      </c>
      <c r="R8" s="481">
        <f t="shared" si="7"/>
        <v>0</v>
      </c>
    </row>
    <row r="9" spans="1:18" s="472" customFormat="1" ht="12">
      <c r="A9" s="2261" t="s">
        <v>1529</v>
      </c>
      <c r="B9" s="2262"/>
      <c r="C9" s="479">
        <f t="shared" si="0"/>
        <v>13.495890410958904</v>
      </c>
      <c r="D9" s="484">
        <f t="shared" si="1"/>
        <v>13.495890410958904</v>
      </c>
      <c r="E9" s="484">
        <f t="shared" si="1"/>
        <v>0</v>
      </c>
      <c r="F9" s="484">
        <f t="shared" si="1"/>
        <v>0</v>
      </c>
      <c r="G9" s="484">
        <f t="shared" si="1"/>
        <v>0</v>
      </c>
      <c r="H9" s="484">
        <f t="shared" si="1"/>
        <v>0</v>
      </c>
      <c r="I9" s="484">
        <f t="shared" si="1"/>
        <v>0</v>
      </c>
      <c r="J9" s="485">
        <f t="shared" si="1"/>
        <v>0</v>
      </c>
      <c r="K9" s="480"/>
      <c r="L9" s="481">
        <f t="shared" si="2"/>
        <v>13.495890410958904</v>
      </c>
      <c r="M9" s="481">
        <f t="shared" si="3"/>
        <v>13.495890410958904</v>
      </c>
      <c r="N9" s="481">
        <f t="shared" si="4"/>
        <v>0</v>
      </c>
      <c r="O9" s="482" t="e">
        <f t="shared" si="5"/>
        <v>#DIV/0!</v>
      </c>
      <c r="P9" s="483">
        <f t="shared" si="6"/>
        <v>0</v>
      </c>
      <c r="R9" s="481">
        <f t="shared" si="7"/>
        <v>0</v>
      </c>
    </row>
    <row r="10" spans="1:18" s="472" customFormat="1" ht="12">
      <c r="A10" s="2261" t="s">
        <v>1530</v>
      </c>
      <c r="B10" s="2262"/>
      <c r="C10" s="479">
        <f t="shared" si="0"/>
        <v>15.665753424657535</v>
      </c>
      <c r="D10" s="484">
        <f>+D20/365</f>
        <v>15.665753424657535</v>
      </c>
      <c r="E10" s="484">
        <f t="shared" si="1"/>
        <v>0</v>
      </c>
      <c r="F10" s="484">
        <f t="shared" si="1"/>
        <v>0</v>
      </c>
      <c r="G10" s="484">
        <f t="shared" si="1"/>
        <v>0</v>
      </c>
      <c r="H10" s="484">
        <f>+H20/365</f>
        <v>0</v>
      </c>
      <c r="I10" s="484">
        <f>+I20/365</f>
        <v>0</v>
      </c>
      <c r="J10" s="485">
        <f>+J20/365</f>
        <v>0</v>
      </c>
      <c r="K10" s="480"/>
      <c r="L10" s="481">
        <f t="shared" si="2"/>
        <v>15.665753424657535</v>
      </c>
      <c r="M10" s="481">
        <f t="shared" si="3"/>
        <v>15.665753424657535</v>
      </c>
      <c r="N10" s="481">
        <f t="shared" si="4"/>
        <v>0</v>
      </c>
      <c r="O10" s="482" t="e">
        <f t="shared" si="5"/>
        <v>#DIV/0!</v>
      </c>
      <c r="P10" s="483">
        <f t="shared" si="6"/>
        <v>0</v>
      </c>
      <c r="R10" s="481">
        <f t="shared" si="7"/>
        <v>0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525</v>
      </c>
      <c r="C13" s="473"/>
      <c r="D13" s="473"/>
      <c r="E13" s="473"/>
      <c r="F13" s="473"/>
      <c r="G13" s="473"/>
      <c r="H13" s="473"/>
      <c r="I13" s="473"/>
      <c r="J13" s="474" t="s">
        <v>281</v>
      </c>
    </row>
    <row r="14" spans="1:18" s="472" customFormat="1" ht="12.75" thickBot="1">
      <c r="A14" s="2263" t="s">
        <v>511</v>
      </c>
      <c r="B14" s="2264"/>
      <c r="C14" s="924" t="s">
        <v>501</v>
      </c>
      <c r="D14" s="924" t="s">
        <v>20</v>
      </c>
      <c r="E14" s="924" t="s">
        <v>514</v>
      </c>
      <c r="F14" s="924" t="s">
        <v>515</v>
      </c>
      <c r="G14" s="924" t="s">
        <v>516</v>
      </c>
      <c r="H14" s="924" t="s">
        <v>517</v>
      </c>
      <c r="I14" s="924" t="s">
        <v>518</v>
      </c>
      <c r="J14" s="489" t="s">
        <v>519</v>
      </c>
      <c r="L14" s="490"/>
      <c r="M14" s="490"/>
      <c r="N14" s="490"/>
      <c r="O14" s="490"/>
      <c r="P14" s="490"/>
    </row>
    <row r="15" spans="1:18" s="472" customFormat="1" ht="12">
      <c r="A15" s="2265" t="s">
        <v>1525</v>
      </c>
      <c r="B15" s="2266"/>
      <c r="C15" s="478">
        <f t="shared" ref="C15:C20" si="8">SUM(D15:J15)</f>
        <v>4187</v>
      </c>
      <c r="D15" s="478">
        <f>+D37</f>
        <v>4187</v>
      </c>
      <c r="E15" s="478">
        <f t="shared" ref="E15:J15" si="9">+E37</f>
        <v>0</v>
      </c>
      <c r="F15" s="478">
        <f t="shared" si="9"/>
        <v>0</v>
      </c>
      <c r="G15" s="478">
        <f t="shared" si="9"/>
        <v>0</v>
      </c>
      <c r="H15" s="478">
        <f t="shared" si="9"/>
        <v>0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1526</v>
      </c>
      <c r="B16" s="2266"/>
      <c r="C16" s="478">
        <f t="shared" si="8"/>
        <v>5338</v>
      </c>
      <c r="D16" s="478">
        <f t="shared" ref="D16:J16" si="10">+D50</f>
        <v>5338</v>
      </c>
      <c r="E16" s="478">
        <f t="shared" si="10"/>
        <v>0</v>
      </c>
      <c r="F16" s="478">
        <f t="shared" si="10"/>
        <v>0</v>
      </c>
      <c r="G16" s="478">
        <f t="shared" si="10"/>
        <v>0</v>
      </c>
      <c r="H16" s="478">
        <f t="shared" si="10"/>
        <v>0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1527</v>
      </c>
      <c r="B17" s="2262"/>
      <c r="C17" s="478">
        <f t="shared" si="8"/>
        <v>4363</v>
      </c>
      <c r="D17" s="478">
        <f t="shared" ref="D17:J17" si="11">+D63</f>
        <v>4363</v>
      </c>
      <c r="E17" s="478">
        <f t="shared" si="11"/>
        <v>0</v>
      </c>
      <c r="F17" s="478">
        <f t="shared" si="11"/>
        <v>0</v>
      </c>
      <c r="G17" s="478">
        <f t="shared" si="11"/>
        <v>0</v>
      </c>
      <c r="H17" s="478">
        <f t="shared" si="11"/>
        <v>0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1528</v>
      </c>
      <c r="B18" s="2262"/>
      <c r="C18" s="478">
        <f t="shared" si="8"/>
        <v>6364</v>
      </c>
      <c r="D18" s="478">
        <f t="shared" ref="D18:J18" si="12">+D76</f>
        <v>6364</v>
      </c>
      <c r="E18" s="478">
        <f t="shared" si="12"/>
        <v>0</v>
      </c>
      <c r="F18" s="478">
        <f t="shared" si="12"/>
        <v>0</v>
      </c>
      <c r="G18" s="478">
        <f t="shared" si="12"/>
        <v>0</v>
      </c>
      <c r="H18" s="478">
        <f t="shared" si="12"/>
        <v>0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1529</v>
      </c>
      <c r="B19" s="2262"/>
      <c r="C19" s="478">
        <f t="shared" si="8"/>
        <v>4926</v>
      </c>
      <c r="D19" s="478">
        <f t="shared" ref="D19:J19" si="13">+D89</f>
        <v>4926</v>
      </c>
      <c r="E19" s="478">
        <f t="shared" si="13"/>
        <v>0</v>
      </c>
      <c r="F19" s="478">
        <f t="shared" si="13"/>
        <v>0</v>
      </c>
      <c r="G19" s="478">
        <f t="shared" si="13"/>
        <v>0</v>
      </c>
      <c r="H19" s="478">
        <f t="shared" si="13"/>
        <v>0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1530</v>
      </c>
      <c r="B20" s="2262"/>
      <c r="C20" s="478">
        <f t="shared" si="8"/>
        <v>5718</v>
      </c>
      <c r="D20" s="478">
        <f t="shared" ref="D20:J20" si="14">+D102</f>
        <v>5718</v>
      </c>
      <c r="E20" s="478">
        <f t="shared" si="14"/>
        <v>0</v>
      </c>
      <c r="F20" s="478">
        <f t="shared" si="14"/>
        <v>0</v>
      </c>
      <c r="G20" s="478">
        <f t="shared" si="14"/>
        <v>0</v>
      </c>
      <c r="H20" s="478">
        <f t="shared" si="14"/>
        <v>0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927" t="s">
        <v>501</v>
      </c>
      <c r="D24" s="924" t="s">
        <v>20</v>
      </c>
      <c r="E24" s="924" t="s">
        <v>514</v>
      </c>
      <c r="F24" s="924" t="s">
        <v>515</v>
      </c>
      <c r="G24" s="924" t="s">
        <v>516</v>
      </c>
      <c r="H24" s="924" t="s">
        <v>517</v>
      </c>
      <c r="I24" s="924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540</v>
      </c>
      <c r="B25" s="926" t="s">
        <v>538</v>
      </c>
      <c r="C25" s="497">
        <f t="shared" ref="C25:C36" si="15">SUM(D25:J25)</f>
        <v>340</v>
      </c>
      <c r="D25" s="497">
        <v>340</v>
      </c>
      <c r="E25" s="497">
        <v>0</v>
      </c>
      <c r="F25" s="497">
        <v>0</v>
      </c>
      <c r="G25" s="497">
        <v>0</v>
      </c>
      <c r="H25" s="497">
        <v>0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925" t="s">
        <v>539</v>
      </c>
      <c r="C26" s="501">
        <f t="shared" si="15"/>
        <v>331</v>
      </c>
      <c r="D26" s="501">
        <v>331</v>
      </c>
      <c r="E26" s="501">
        <v>0</v>
      </c>
      <c r="F26" s="501">
        <v>0</v>
      </c>
      <c r="G26" s="501">
        <v>0</v>
      </c>
      <c r="H26" s="501">
        <v>0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925" t="s">
        <v>39</v>
      </c>
      <c r="C27" s="501">
        <f t="shared" si="15"/>
        <v>319</v>
      </c>
      <c r="D27" s="501">
        <v>319</v>
      </c>
      <c r="E27" s="501">
        <v>0</v>
      </c>
      <c r="F27" s="501">
        <v>0</v>
      </c>
      <c r="G27" s="501">
        <v>0</v>
      </c>
      <c r="H27" s="501">
        <v>0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925" t="s">
        <v>40</v>
      </c>
      <c r="C28" s="501">
        <f t="shared" si="15"/>
        <v>307</v>
      </c>
      <c r="D28" s="501">
        <v>307</v>
      </c>
      <c r="E28" s="501">
        <v>0</v>
      </c>
      <c r="F28" s="501">
        <v>0</v>
      </c>
      <c r="G28" s="501">
        <v>0</v>
      </c>
      <c r="H28" s="501">
        <v>0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925" t="s">
        <v>41</v>
      </c>
      <c r="C29" s="501">
        <f t="shared" si="15"/>
        <v>319</v>
      </c>
      <c r="D29" s="501">
        <v>319</v>
      </c>
      <c r="E29" s="501">
        <v>0</v>
      </c>
      <c r="F29" s="501">
        <v>0</v>
      </c>
      <c r="G29" s="501">
        <v>0</v>
      </c>
      <c r="H29" s="501">
        <v>0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925" t="s">
        <v>28</v>
      </c>
      <c r="C30" s="501">
        <f t="shared" si="15"/>
        <v>417</v>
      </c>
      <c r="D30" s="501">
        <v>417</v>
      </c>
      <c r="E30" s="501">
        <v>0</v>
      </c>
      <c r="F30" s="501">
        <v>0</v>
      </c>
      <c r="G30" s="501">
        <v>0</v>
      </c>
      <c r="H30" s="501">
        <v>0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925" t="s">
        <v>29</v>
      </c>
      <c r="C31" s="501">
        <f t="shared" si="15"/>
        <v>78</v>
      </c>
      <c r="D31" s="501">
        <v>78</v>
      </c>
      <c r="E31" s="501">
        <v>0</v>
      </c>
      <c r="F31" s="501">
        <v>0</v>
      </c>
      <c r="G31" s="501">
        <v>0</v>
      </c>
      <c r="H31" s="501">
        <v>0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925" t="s">
        <v>30</v>
      </c>
      <c r="C32" s="501">
        <f t="shared" si="15"/>
        <v>316</v>
      </c>
      <c r="D32" s="501">
        <v>316</v>
      </c>
      <c r="E32" s="501">
        <v>0</v>
      </c>
      <c r="F32" s="501">
        <v>0</v>
      </c>
      <c r="G32" s="501">
        <v>0</v>
      </c>
      <c r="H32" s="501">
        <v>0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925" t="s">
        <v>31</v>
      </c>
      <c r="C33" s="501">
        <f t="shared" si="15"/>
        <v>345</v>
      </c>
      <c r="D33" s="501">
        <v>345</v>
      </c>
      <c r="E33" s="501">
        <v>0</v>
      </c>
      <c r="F33" s="501">
        <v>0</v>
      </c>
      <c r="G33" s="501">
        <v>0</v>
      </c>
      <c r="H33" s="501">
        <v>0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925" t="s">
        <v>32</v>
      </c>
      <c r="C34" s="501">
        <f t="shared" si="15"/>
        <v>619</v>
      </c>
      <c r="D34" s="501">
        <v>619</v>
      </c>
      <c r="E34" s="501">
        <v>0</v>
      </c>
      <c r="F34" s="501">
        <v>0</v>
      </c>
      <c r="G34" s="501">
        <v>0</v>
      </c>
      <c r="H34" s="501">
        <v>0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925" t="s">
        <v>33</v>
      </c>
      <c r="C35" s="501">
        <f t="shared" si="15"/>
        <v>297</v>
      </c>
      <c r="D35" s="501">
        <v>297</v>
      </c>
      <c r="E35" s="501">
        <v>0</v>
      </c>
      <c r="F35" s="501">
        <v>0</v>
      </c>
      <c r="G35" s="501">
        <v>0</v>
      </c>
      <c r="H35" s="501">
        <v>0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925" t="s">
        <v>34</v>
      </c>
      <c r="C36" s="501">
        <f t="shared" si="15"/>
        <v>499</v>
      </c>
      <c r="D36" s="501">
        <v>499</v>
      </c>
      <c r="E36" s="501">
        <v>0</v>
      </c>
      <c r="F36" s="501">
        <v>0</v>
      </c>
      <c r="G36" s="501">
        <v>0</v>
      </c>
      <c r="H36" s="501">
        <v>0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501</v>
      </c>
      <c r="C37" s="507">
        <f t="shared" ref="C37:J37" si="16">SUM(C25:C36)</f>
        <v>4187</v>
      </c>
      <c r="D37" s="507">
        <f t="shared" si="16"/>
        <v>4187</v>
      </c>
      <c r="E37" s="507">
        <f t="shared" si="16"/>
        <v>0</v>
      </c>
      <c r="F37" s="507">
        <f t="shared" si="16"/>
        <v>0</v>
      </c>
      <c r="G37" s="507">
        <f t="shared" si="16"/>
        <v>0</v>
      </c>
      <c r="H37" s="507">
        <f t="shared" si="16"/>
        <v>0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926" t="s">
        <v>538</v>
      </c>
      <c r="C38" s="497">
        <f t="shared" ref="C38:C49" si="17">SUM(D38:J38)</f>
        <v>801</v>
      </c>
      <c r="D38" s="497">
        <v>801</v>
      </c>
      <c r="E38" s="497">
        <v>0</v>
      </c>
      <c r="F38" s="497">
        <v>0</v>
      </c>
      <c r="G38" s="497">
        <v>0</v>
      </c>
      <c r="H38" s="497">
        <v>0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925" t="s">
        <v>539</v>
      </c>
      <c r="C39" s="501">
        <f t="shared" si="17"/>
        <v>595</v>
      </c>
      <c r="D39" s="501">
        <v>595</v>
      </c>
      <c r="E39" s="501">
        <v>0</v>
      </c>
      <c r="F39" s="501">
        <v>0</v>
      </c>
      <c r="G39" s="501">
        <v>0</v>
      </c>
      <c r="H39" s="501">
        <v>0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925" t="s">
        <v>39</v>
      </c>
      <c r="C40" s="501">
        <f t="shared" si="17"/>
        <v>844</v>
      </c>
      <c r="D40" s="501">
        <v>844</v>
      </c>
      <c r="E40" s="501">
        <v>0</v>
      </c>
      <c r="F40" s="501">
        <v>0</v>
      </c>
      <c r="G40" s="501">
        <v>0</v>
      </c>
      <c r="H40" s="501">
        <v>0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925" t="s">
        <v>40</v>
      </c>
      <c r="C41" s="501">
        <f t="shared" si="17"/>
        <v>235</v>
      </c>
      <c r="D41" s="501">
        <v>235</v>
      </c>
      <c r="E41" s="501">
        <v>0</v>
      </c>
      <c r="F41" s="501">
        <v>0</v>
      </c>
      <c r="G41" s="501">
        <v>0</v>
      </c>
      <c r="H41" s="501">
        <v>0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925" t="s">
        <v>41</v>
      </c>
      <c r="C42" s="501">
        <f t="shared" si="17"/>
        <v>398</v>
      </c>
      <c r="D42" s="501">
        <v>398</v>
      </c>
      <c r="E42" s="501">
        <v>0</v>
      </c>
      <c r="F42" s="501">
        <v>0</v>
      </c>
      <c r="G42" s="501">
        <v>0</v>
      </c>
      <c r="H42" s="501">
        <v>0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925" t="s">
        <v>28</v>
      </c>
      <c r="C43" s="501">
        <f t="shared" si="17"/>
        <v>302</v>
      </c>
      <c r="D43" s="501">
        <v>302</v>
      </c>
      <c r="E43" s="501">
        <v>0</v>
      </c>
      <c r="F43" s="501">
        <v>0</v>
      </c>
      <c r="G43" s="501">
        <v>0</v>
      </c>
      <c r="H43" s="501">
        <v>0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925" t="s">
        <v>29</v>
      </c>
      <c r="C44" s="501">
        <f t="shared" si="17"/>
        <v>504</v>
      </c>
      <c r="D44" s="501">
        <v>504</v>
      </c>
      <c r="E44" s="501">
        <v>0</v>
      </c>
      <c r="F44" s="501">
        <v>0</v>
      </c>
      <c r="G44" s="501">
        <v>0</v>
      </c>
      <c r="H44" s="501">
        <v>0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925" t="s">
        <v>30</v>
      </c>
      <c r="C45" s="501">
        <f t="shared" si="17"/>
        <v>331</v>
      </c>
      <c r="D45" s="501">
        <v>331</v>
      </c>
      <c r="E45" s="501">
        <v>0</v>
      </c>
      <c r="F45" s="501">
        <v>0</v>
      </c>
      <c r="G45" s="501">
        <v>0</v>
      </c>
      <c r="H45" s="501">
        <v>0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925" t="s">
        <v>31</v>
      </c>
      <c r="C46" s="501">
        <f t="shared" si="17"/>
        <v>571</v>
      </c>
      <c r="D46" s="501">
        <v>571</v>
      </c>
      <c r="E46" s="501">
        <v>0</v>
      </c>
      <c r="F46" s="501">
        <v>0</v>
      </c>
      <c r="G46" s="501">
        <v>0</v>
      </c>
      <c r="H46" s="501">
        <v>0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925" t="s">
        <v>32</v>
      </c>
      <c r="C47" s="501">
        <f t="shared" si="17"/>
        <v>48</v>
      </c>
      <c r="D47" s="501">
        <v>48</v>
      </c>
      <c r="E47" s="501">
        <v>0</v>
      </c>
      <c r="F47" s="501">
        <v>0</v>
      </c>
      <c r="G47" s="501">
        <v>0</v>
      </c>
      <c r="H47" s="501">
        <v>0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925" t="s">
        <v>33</v>
      </c>
      <c r="C48" s="501">
        <f t="shared" si="17"/>
        <v>345</v>
      </c>
      <c r="D48" s="501">
        <v>345</v>
      </c>
      <c r="E48" s="501">
        <v>0</v>
      </c>
      <c r="F48" s="501">
        <v>0</v>
      </c>
      <c r="G48" s="501">
        <v>0</v>
      </c>
      <c r="H48" s="501">
        <v>0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925" t="s">
        <v>34</v>
      </c>
      <c r="C49" s="501">
        <f t="shared" si="17"/>
        <v>364</v>
      </c>
      <c r="D49" s="501">
        <v>364</v>
      </c>
      <c r="E49" s="501">
        <v>0</v>
      </c>
      <c r="F49" s="501">
        <v>0</v>
      </c>
      <c r="G49" s="501">
        <v>0</v>
      </c>
      <c r="H49" s="501">
        <v>0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501</v>
      </c>
      <c r="C50" s="507">
        <f>SUM(C38:C49)</f>
        <v>5338</v>
      </c>
      <c r="D50" s="507">
        <f t="shared" ref="D50" si="18">SUM(D38:D49)</f>
        <v>5338</v>
      </c>
      <c r="E50" s="507">
        <f t="shared" ref="E50:J50" si="19">SUM(E38:E49)</f>
        <v>0</v>
      </c>
      <c r="F50" s="507">
        <f t="shared" si="19"/>
        <v>0</v>
      </c>
      <c r="G50" s="507">
        <f t="shared" si="19"/>
        <v>0</v>
      </c>
      <c r="H50" s="507">
        <f t="shared" si="19"/>
        <v>0</v>
      </c>
      <c r="I50" s="507">
        <f t="shared" si="19"/>
        <v>0</v>
      </c>
      <c r="J50" s="508">
        <f t="shared" si="19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926" t="s">
        <v>538</v>
      </c>
      <c r="C51" s="497">
        <f t="shared" ref="C51:C62" si="20">SUM(D51:J51)</f>
        <v>259</v>
      </c>
      <c r="D51" s="497">
        <v>259</v>
      </c>
      <c r="E51" s="497">
        <v>0</v>
      </c>
      <c r="F51" s="497">
        <v>0</v>
      </c>
      <c r="G51" s="497">
        <v>0</v>
      </c>
      <c r="H51" s="497">
        <v>0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925" t="s">
        <v>539</v>
      </c>
      <c r="C52" s="501">
        <f t="shared" si="20"/>
        <v>273</v>
      </c>
      <c r="D52" s="501">
        <v>273</v>
      </c>
      <c r="E52" s="501">
        <v>0</v>
      </c>
      <c r="F52" s="501">
        <v>0</v>
      </c>
      <c r="G52" s="501">
        <v>0</v>
      </c>
      <c r="H52" s="501">
        <v>0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925" t="s">
        <v>39</v>
      </c>
      <c r="C53" s="501">
        <f t="shared" si="20"/>
        <v>470</v>
      </c>
      <c r="D53" s="501">
        <v>470</v>
      </c>
      <c r="E53" s="501">
        <v>0</v>
      </c>
      <c r="F53" s="501">
        <v>0</v>
      </c>
      <c r="G53" s="501">
        <v>0</v>
      </c>
      <c r="H53" s="501">
        <v>0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925" t="s">
        <v>40</v>
      </c>
      <c r="C54" s="501">
        <f t="shared" si="20"/>
        <v>48</v>
      </c>
      <c r="D54" s="501">
        <v>48</v>
      </c>
      <c r="E54" s="501">
        <v>0</v>
      </c>
      <c r="F54" s="501">
        <v>0</v>
      </c>
      <c r="G54" s="501">
        <v>0</v>
      </c>
      <c r="H54" s="501">
        <v>0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925" t="s">
        <v>41</v>
      </c>
      <c r="C55" s="501">
        <f t="shared" si="20"/>
        <v>484</v>
      </c>
      <c r="D55" s="501">
        <v>484</v>
      </c>
      <c r="E55" s="501">
        <v>0</v>
      </c>
      <c r="F55" s="501">
        <v>0</v>
      </c>
      <c r="G55" s="501">
        <v>0</v>
      </c>
      <c r="H55" s="501">
        <v>0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925" t="s">
        <v>28</v>
      </c>
      <c r="C56" s="501">
        <f t="shared" si="20"/>
        <v>417</v>
      </c>
      <c r="D56" s="501">
        <v>417</v>
      </c>
      <c r="E56" s="501">
        <v>0</v>
      </c>
      <c r="F56" s="501">
        <v>0</v>
      </c>
      <c r="G56" s="501">
        <v>0</v>
      </c>
      <c r="H56" s="501">
        <v>0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925" t="s">
        <v>29</v>
      </c>
      <c r="C57" s="501">
        <f t="shared" si="20"/>
        <v>427</v>
      </c>
      <c r="D57" s="501">
        <v>427</v>
      </c>
      <c r="E57" s="501">
        <v>0</v>
      </c>
      <c r="F57" s="501">
        <v>0</v>
      </c>
      <c r="G57" s="501">
        <v>0</v>
      </c>
      <c r="H57" s="501">
        <v>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925" t="s">
        <v>30</v>
      </c>
      <c r="C58" s="501">
        <f t="shared" si="20"/>
        <v>388</v>
      </c>
      <c r="D58" s="501">
        <v>388</v>
      </c>
      <c r="E58" s="501">
        <v>0</v>
      </c>
      <c r="F58" s="501">
        <v>0</v>
      </c>
      <c r="G58" s="501">
        <v>0</v>
      </c>
      <c r="H58" s="501">
        <v>0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925" t="s">
        <v>31</v>
      </c>
      <c r="C59" s="501">
        <f t="shared" si="20"/>
        <v>355</v>
      </c>
      <c r="D59" s="501">
        <v>355</v>
      </c>
      <c r="E59" s="501">
        <v>0</v>
      </c>
      <c r="F59" s="501">
        <v>0</v>
      </c>
      <c r="G59" s="501">
        <v>0</v>
      </c>
      <c r="H59" s="501">
        <v>0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925" t="s">
        <v>32</v>
      </c>
      <c r="C60" s="501">
        <f t="shared" si="20"/>
        <v>403</v>
      </c>
      <c r="D60" s="501">
        <v>403</v>
      </c>
      <c r="E60" s="501">
        <v>0</v>
      </c>
      <c r="F60" s="501">
        <v>0</v>
      </c>
      <c r="G60" s="501">
        <v>0</v>
      </c>
      <c r="H60" s="501">
        <v>0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925" t="s">
        <v>33</v>
      </c>
      <c r="C61" s="501">
        <f t="shared" si="20"/>
        <v>355</v>
      </c>
      <c r="D61" s="501">
        <v>355</v>
      </c>
      <c r="E61" s="501">
        <v>0</v>
      </c>
      <c r="F61" s="501">
        <v>0</v>
      </c>
      <c r="G61" s="501">
        <v>0</v>
      </c>
      <c r="H61" s="501">
        <v>0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925" t="s">
        <v>34</v>
      </c>
      <c r="C62" s="501">
        <f t="shared" si="20"/>
        <v>484</v>
      </c>
      <c r="D62" s="501">
        <v>484</v>
      </c>
      <c r="E62" s="501">
        <v>0</v>
      </c>
      <c r="F62" s="501">
        <v>0</v>
      </c>
      <c r="G62" s="501">
        <v>0</v>
      </c>
      <c r="H62" s="501">
        <v>0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501</v>
      </c>
      <c r="C63" s="507">
        <f t="shared" ref="C63:J63" si="21">SUM(C51:C62)</f>
        <v>4363</v>
      </c>
      <c r="D63" s="507">
        <f t="shared" si="21"/>
        <v>4363</v>
      </c>
      <c r="E63" s="507">
        <f t="shared" si="21"/>
        <v>0</v>
      </c>
      <c r="F63" s="507">
        <f t="shared" si="21"/>
        <v>0</v>
      </c>
      <c r="G63" s="507">
        <f t="shared" si="21"/>
        <v>0</v>
      </c>
      <c r="H63" s="507">
        <f t="shared" si="21"/>
        <v>0</v>
      </c>
      <c r="I63" s="507">
        <f t="shared" si="21"/>
        <v>0</v>
      </c>
      <c r="J63" s="508">
        <f t="shared" si="21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869</v>
      </c>
      <c r="B64" s="926" t="s">
        <v>538</v>
      </c>
      <c r="C64" s="497">
        <f t="shared" ref="C64:C75" si="22">SUM(D64:J64)</f>
        <v>566</v>
      </c>
      <c r="D64" s="497">
        <v>566</v>
      </c>
      <c r="E64" s="497">
        <v>0</v>
      </c>
      <c r="F64" s="497">
        <v>0</v>
      </c>
      <c r="G64" s="497">
        <v>0</v>
      </c>
      <c r="H64" s="497">
        <v>0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925" t="s">
        <v>539</v>
      </c>
      <c r="C65" s="501">
        <f t="shared" si="22"/>
        <v>571</v>
      </c>
      <c r="D65" s="501">
        <v>571</v>
      </c>
      <c r="E65" s="501">
        <v>0</v>
      </c>
      <c r="F65" s="501">
        <v>0</v>
      </c>
      <c r="G65" s="501">
        <v>0</v>
      </c>
      <c r="H65" s="501">
        <v>0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925" t="s">
        <v>39</v>
      </c>
      <c r="C66" s="501">
        <f t="shared" si="22"/>
        <v>681</v>
      </c>
      <c r="D66" s="501">
        <v>681</v>
      </c>
      <c r="E66" s="501">
        <v>0</v>
      </c>
      <c r="F66" s="501">
        <v>0</v>
      </c>
      <c r="G66" s="501">
        <v>0</v>
      </c>
      <c r="H66" s="501">
        <v>0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925" t="s">
        <v>40</v>
      </c>
      <c r="C67" s="501">
        <f t="shared" si="22"/>
        <v>427</v>
      </c>
      <c r="D67" s="501">
        <v>427</v>
      </c>
      <c r="E67" s="501">
        <v>0</v>
      </c>
      <c r="F67" s="501">
        <v>0</v>
      </c>
      <c r="G67" s="501">
        <v>0</v>
      </c>
      <c r="H67" s="501">
        <v>0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925" t="s">
        <v>41</v>
      </c>
      <c r="C68" s="501">
        <f t="shared" si="22"/>
        <v>408</v>
      </c>
      <c r="D68" s="501">
        <v>408</v>
      </c>
      <c r="E68" s="501">
        <v>0</v>
      </c>
      <c r="F68" s="501">
        <v>0</v>
      </c>
      <c r="G68" s="501">
        <v>0</v>
      </c>
      <c r="H68" s="501">
        <v>0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925" t="s">
        <v>28</v>
      </c>
      <c r="C69" s="501">
        <f t="shared" si="22"/>
        <v>460</v>
      </c>
      <c r="D69" s="501">
        <v>460</v>
      </c>
      <c r="E69" s="501">
        <v>0</v>
      </c>
      <c r="F69" s="501">
        <v>0</v>
      </c>
      <c r="G69" s="501">
        <v>0</v>
      </c>
      <c r="H69" s="501">
        <v>0</v>
      </c>
      <c r="I69" s="501">
        <v>0</v>
      </c>
      <c r="J69" s="501">
        <v>0</v>
      </c>
    </row>
    <row r="70" spans="1:22" s="472" customFormat="1" ht="12">
      <c r="A70" s="2270"/>
      <c r="B70" s="925" t="s">
        <v>29</v>
      </c>
      <c r="C70" s="501">
        <f t="shared" si="22"/>
        <v>825</v>
      </c>
      <c r="D70" s="501">
        <v>825</v>
      </c>
      <c r="E70" s="501">
        <v>0</v>
      </c>
      <c r="F70" s="501">
        <v>0</v>
      </c>
      <c r="G70" s="501">
        <v>0</v>
      </c>
      <c r="H70" s="501">
        <v>0</v>
      </c>
      <c r="I70" s="501">
        <v>0</v>
      </c>
      <c r="J70" s="501">
        <v>0</v>
      </c>
    </row>
    <row r="71" spans="1:22" s="472" customFormat="1" ht="12">
      <c r="A71" s="2270"/>
      <c r="B71" s="925" t="s">
        <v>30</v>
      </c>
      <c r="C71" s="501">
        <f t="shared" si="22"/>
        <v>508</v>
      </c>
      <c r="D71" s="501">
        <v>508</v>
      </c>
      <c r="E71" s="501">
        <v>0</v>
      </c>
      <c r="F71" s="501">
        <v>0</v>
      </c>
      <c r="G71" s="501">
        <v>0</v>
      </c>
      <c r="H71" s="501">
        <v>0</v>
      </c>
      <c r="I71" s="501">
        <v>0</v>
      </c>
      <c r="J71" s="501">
        <v>0</v>
      </c>
    </row>
    <row r="72" spans="1:22" s="472" customFormat="1" ht="12">
      <c r="A72" s="2270"/>
      <c r="B72" s="925" t="s">
        <v>31</v>
      </c>
      <c r="C72" s="501">
        <f t="shared" si="22"/>
        <v>523</v>
      </c>
      <c r="D72" s="501">
        <v>523</v>
      </c>
      <c r="E72" s="501">
        <v>0</v>
      </c>
      <c r="F72" s="501">
        <v>0</v>
      </c>
      <c r="G72" s="501">
        <v>0</v>
      </c>
      <c r="H72" s="501">
        <v>0</v>
      </c>
      <c r="I72" s="501">
        <v>0</v>
      </c>
      <c r="J72" s="501">
        <v>0</v>
      </c>
    </row>
    <row r="73" spans="1:22" s="472" customFormat="1" ht="12">
      <c r="A73" s="2270"/>
      <c r="B73" s="925" t="s">
        <v>32</v>
      </c>
      <c r="C73" s="501">
        <f t="shared" si="22"/>
        <v>441</v>
      </c>
      <c r="D73" s="501">
        <v>441</v>
      </c>
      <c r="E73" s="501">
        <v>0</v>
      </c>
      <c r="F73" s="501">
        <v>0</v>
      </c>
      <c r="G73" s="501">
        <v>0</v>
      </c>
      <c r="H73" s="501">
        <v>0</v>
      </c>
      <c r="I73" s="501">
        <v>0</v>
      </c>
      <c r="J73" s="501">
        <v>0</v>
      </c>
    </row>
    <row r="74" spans="1:22" s="472" customFormat="1" ht="12">
      <c r="A74" s="2270"/>
      <c r="B74" s="925" t="s">
        <v>33</v>
      </c>
      <c r="C74" s="501">
        <f t="shared" si="22"/>
        <v>532</v>
      </c>
      <c r="D74" s="501">
        <v>532</v>
      </c>
      <c r="E74" s="501">
        <v>0</v>
      </c>
      <c r="F74" s="501">
        <v>0</v>
      </c>
      <c r="G74" s="501">
        <v>0</v>
      </c>
      <c r="H74" s="501">
        <v>0</v>
      </c>
      <c r="I74" s="501">
        <v>0</v>
      </c>
      <c r="J74" s="501">
        <v>0</v>
      </c>
    </row>
    <row r="75" spans="1:22" s="472" customFormat="1" ht="12">
      <c r="A75" s="2270"/>
      <c r="B75" s="925" t="s">
        <v>34</v>
      </c>
      <c r="C75" s="501">
        <f t="shared" si="22"/>
        <v>422</v>
      </c>
      <c r="D75" s="501">
        <v>422</v>
      </c>
      <c r="E75" s="501">
        <v>0</v>
      </c>
      <c r="F75" s="501">
        <v>0</v>
      </c>
      <c r="G75" s="501">
        <v>0</v>
      </c>
      <c r="H75" s="501">
        <v>0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501</v>
      </c>
      <c r="C76" s="507">
        <f t="shared" ref="C76:J76" si="23">SUM(C64:C75)</f>
        <v>6364</v>
      </c>
      <c r="D76" s="507">
        <f t="shared" si="23"/>
        <v>6364</v>
      </c>
      <c r="E76" s="507">
        <f t="shared" si="23"/>
        <v>0</v>
      </c>
      <c r="F76" s="507">
        <f t="shared" si="23"/>
        <v>0</v>
      </c>
      <c r="G76" s="507">
        <f t="shared" si="23"/>
        <v>0</v>
      </c>
      <c r="H76" s="507">
        <f t="shared" si="23"/>
        <v>0</v>
      </c>
      <c r="I76" s="507">
        <f t="shared" si="23"/>
        <v>0</v>
      </c>
      <c r="J76" s="508">
        <f t="shared" si="23"/>
        <v>0</v>
      </c>
    </row>
    <row r="77" spans="1:22" s="472" customFormat="1" ht="12">
      <c r="A77" s="2269" t="s">
        <v>286</v>
      </c>
      <c r="B77" s="926" t="s">
        <v>538</v>
      </c>
      <c r="C77" s="497">
        <f t="shared" ref="C77:C88" si="24">SUM(D77:J77)</f>
        <v>355</v>
      </c>
      <c r="D77" s="497">
        <v>355</v>
      </c>
      <c r="E77" s="497">
        <v>0</v>
      </c>
      <c r="F77" s="497">
        <v>0</v>
      </c>
      <c r="G77" s="497">
        <v>0</v>
      </c>
      <c r="H77" s="497">
        <v>0</v>
      </c>
      <c r="I77" s="497">
        <v>0</v>
      </c>
      <c r="J77" s="497">
        <v>0</v>
      </c>
    </row>
    <row r="78" spans="1:22" s="472" customFormat="1" ht="12">
      <c r="A78" s="2270"/>
      <c r="B78" s="925" t="s">
        <v>539</v>
      </c>
      <c r="C78" s="501">
        <f t="shared" si="24"/>
        <v>441</v>
      </c>
      <c r="D78" s="501">
        <v>441</v>
      </c>
      <c r="E78" s="501">
        <v>0</v>
      </c>
      <c r="F78" s="501">
        <v>0</v>
      </c>
      <c r="G78" s="501">
        <v>0</v>
      </c>
      <c r="H78" s="501">
        <v>0</v>
      </c>
      <c r="I78" s="501">
        <v>0</v>
      </c>
      <c r="J78" s="501">
        <v>0</v>
      </c>
    </row>
    <row r="79" spans="1:22" s="472" customFormat="1" ht="12">
      <c r="A79" s="2270"/>
      <c r="B79" s="925" t="s">
        <v>39</v>
      </c>
      <c r="C79" s="501">
        <f t="shared" si="24"/>
        <v>302</v>
      </c>
      <c r="D79" s="501">
        <v>302</v>
      </c>
      <c r="E79" s="501">
        <v>0</v>
      </c>
      <c r="F79" s="501">
        <v>0</v>
      </c>
      <c r="G79" s="501">
        <v>0</v>
      </c>
      <c r="H79" s="501">
        <v>0</v>
      </c>
      <c r="I79" s="501">
        <v>0</v>
      </c>
      <c r="J79" s="501">
        <v>0</v>
      </c>
    </row>
    <row r="80" spans="1:22" s="472" customFormat="1" ht="12">
      <c r="A80" s="2270"/>
      <c r="B80" s="925" t="s">
        <v>40</v>
      </c>
      <c r="C80" s="501">
        <f t="shared" si="24"/>
        <v>321</v>
      </c>
      <c r="D80" s="501">
        <v>321</v>
      </c>
      <c r="E80" s="501">
        <v>0</v>
      </c>
      <c r="F80" s="501">
        <v>0</v>
      </c>
      <c r="G80" s="501">
        <v>0</v>
      </c>
      <c r="H80" s="501">
        <v>0</v>
      </c>
      <c r="I80" s="501">
        <v>0</v>
      </c>
      <c r="J80" s="501">
        <v>0</v>
      </c>
    </row>
    <row r="81" spans="1:10" s="472" customFormat="1" ht="12">
      <c r="A81" s="2270"/>
      <c r="B81" s="925" t="s">
        <v>41</v>
      </c>
      <c r="C81" s="501">
        <f t="shared" si="24"/>
        <v>336</v>
      </c>
      <c r="D81" s="501">
        <v>336</v>
      </c>
      <c r="E81" s="501">
        <v>0</v>
      </c>
      <c r="F81" s="501">
        <v>0</v>
      </c>
      <c r="G81" s="501">
        <v>0</v>
      </c>
      <c r="H81" s="501">
        <v>0</v>
      </c>
      <c r="I81" s="501">
        <v>0</v>
      </c>
      <c r="J81" s="501">
        <v>0</v>
      </c>
    </row>
    <row r="82" spans="1:10" s="472" customFormat="1" ht="12">
      <c r="A82" s="2270"/>
      <c r="B82" s="925" t="s">
        <v>28</v>
      </c>
      <c r="C82" s="501">
        <f t="shared" si="24"/>
        <v>388</v>
      </c>
      <c r="D82" s="501">
        <v>388</v>
      </c>
      <c r="E82" s="501">
        <v>0</v>
      </c>
      <c r="F82" s="501">
        <v>0</v>
      </c>
      <c r="G82" s="501">
        <v>0</v>
      </c>
      <c r="H82" s="501">
        <v>0</v>
      </c>
      <c r="I82" s="501">
        <v>0</v>
      </c>
      <c r="J82" s="501">
        <v>0</v>
      </c>
    </row>
    <row r="83" spans="1:10" s="472" customFormat="1" ht="12">
      <c r="A83" s="2270"/>
      <c r="B83" s="925" t="s">
        <v>29</v>
      </c>
      <c r="C83" s="501">
        <f t="shared" si="24"/>
        <v>384</v>
      </c>
      <c r="D83" s="501">
        <v>384</v>
      </c>
      <c r="E83" s="501">
        <v>0</v>
      </c>
      <c r="F83" s="501">
        <v>0</v>
      </c>
      <c r="G83" s="501">
        <v>0</v>
      </c>
      <c r="H83" s="501">
        <v>0</v>
      </c>
      <c r="I83" s="501">
        <v>0</v>
      </c>
      <c r="J83" s="501">
        <v>0</v>
      </c>
    </row>
    <row r="84" spans="1:10" s="472" customFormat="1" ht="12">
      <c r="A84" s="2270"/>
      <c r="B84" s="925" t="s">
        <v>30</v>
      </c>
      <c r="C84" s="501">
        <f t="shared" si="24"/>
        <v>504</v>
      </c>
      <c r="D84" s="501">
        <v>504</v>
      </c>
      <c r="E84" s="501">
        <v>0</v>
      </c>
      <c r="F84" s="501">
        <v>0</v>
      </c>
      <c r="G84" s="501">
        <v>0</v>
      </c>
      <c r="H84" s="501">
        <v>0</v>
      </c>
      <c r="I84" s="501">
        <v>0</v>
      </c>
      <c r="J84" s="501">
        <v>0</v>
      </c>
    </row>
    <row r="85" spans="1:10" s="472" customFormat="1" ht="12">
      <c r="A85" s="2270"/>
      <c r="B85" s="925" t="s">
        <v>31</v>
      </c>
      <c r="C85" s="501">
        <f t="shared" si="24"/>
        <v>403</v>
      </c>
      <c r="D85" s="501">
        <v>403</v>
      </c>
      <c r="E85" s="501">
        <v>0</v>
      </c>
      <c r="F85" s="501">
        <v>0</v>
      </c>
      <c r="G85" s="501">
        <v>0</v>
      </c>
      <c r="H85" s="501">
        <v>0</v>
      </c>
      <c r="I85" s="501">
        <v>0</v>
      </c>
      <c r="J85" s="501">
        <v>0</v>
      </c>
    </row>
    <row r="86" spans="1:10" s="472" customFormat="1" ht="12">
      <c r="A86" s="2270"/>
      <c r="B86" s="925" t="s">
        <v>32</v>
      </c>
      <c r="C86" s="501">
        <f t="shared" si="24"/>
        <v>542</v>
      </c>
      <c r="D86" s="501">
        <v>542</v>
      </c>
      <c r="E86" s="501">
        <v>0</v>
      </c>
      <c r="F86" s="501">
        <v>0</v>
      </c>
      <c r="G86" s="501">
        <v>0</v>
      </c>
      <c r="H86" s="501">
        <v>0</v>
      </c>
      <c r="I86" s="501">
        <v>0</v>
      </c>
      <c r="J86" s="501">
        <v>0</v>
      </c>
    </row>
    <row r="87" spans="1:10" s="472" customFormat="1" ht="12">
      <c r="A87" s="2270"/>
      <c r="B87" s="925" t="s">
        <v>33</v>
      </c>
      <c r="C87" s="501">
        <f t="shared" si="24"/>
        <v>480</v>
      </c>
      <c r="D87" s="501">
        <v>480</v>
      </c>
      <c r="E87" s="501">
        <v>0</v>
      </c>
      <c r="F87" s="501">
        <v>0</v>
      </c>
      <c r="G87" s="501">
        <v>0</v>
      </c>
      <c r="H87" s="501">
        <v>0</v>
      </c>
      <c r="I87" s="501">
        <v>0</v>
      </c>
      <c r="J87" s="501">
        <v>0</v>
      </c>
    </row>
    <row r="88" spans="1:10" s="472" customFormat="1" ht="12">
      <c r="A88" s="2270"/>
      <c r="B88" s="925" t="s">
        <v>34</v>
      </c>
      <c r="C88" s="501">
        <f t="shared" si="24"/>
        <v>470</v>
      </c>
      <c r="D88" s="501">
        <v>470</v>
      </c>
      <c r="E88" s="501">
        <v>0</v>
      </c>
      <c r="F88" s="501">
        <v>0</v>
      </c>
      <c r="G88" s="501">
        <v>0</v>
      </c>
      <c r="H88" s="501">
        <v>0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501</v>
      </c>
      <c r="C89" s="507">
        <f t="shared" ref="C89:J89" si="25">SUM(C77:C88)</f>
        <v>4926</v>
      </c>
      <c r="D89" s="507">
        <f t="shared" si="25"/>
        <v>4926</v>
      </c>
      <c r="E89" s="507">
        <f t="shared" si="25"/>
        <v>0</v>
      </c>
      <c r="F89" s="507">
        <f t="shared" si="25"/>
        <v>0</v>
      </c>
      <c r="G89" s="507">
        <f t="shared" si="25"/>
        <v>0</v>
      </c>
      <c r="H89" s="507">
        <f t="shared" si="25"/>
        <v>0</v>
      </c>
      <c r="I89" s="507">
        <f t="shared" si="25"/>
        <v>0</v>
      </c>
      <c r="J89" s="508">
        <f t="shared" si="25"/>
        <v>0</v>
      </c>
    </row>
    <row r="90" spans="1:10" s="472" customFormat="1" ht="12">
      <c r="A90" s="2269" t="s">
        <v>1524</v>
      </c>
      <c r="B90" s="926" t="s">
        <v>538</v>
      </c>
      <c r="C90" s="497">
        <f t="shared" ref="C90:C101" si="26">SUM(D90:J90)</f>
        <v>504</v>
      </c>
      <c r="D90" s="497">
        <v>504</v>
      </c>
      <c r="E90" s="497">
        <v>0</v>
      </c>
      <c r="F90" s="497">
        <v>0</v>
      </c>
      <c r="G90" s="497">
        <v>0</v>
      </c>
      <c r="H90" s="497">
        <v>0</v>
      </c>
      <c r="I90" s="497">
        <v>0</v>
      </c>
      <c r="J90" s="497">
        <v>0</v>
      </c>
    </row>
    <row r="91" spans="1:10" s="472" customFormat="1" ht="12">
      <c r="A91" s="2270"/>
      <c r="B91" s="925" t="s">
        <v>539</v>
      </c>
      <c r="C91" s="501">
        <f t="shared" si="26"/>
        <v>360</v>
      </c>
      <c r="D91" s="501">
        <v>360</v>
      </c>
      <c r="E91" s="501">
        <v>0</v>
      </c>
      <c r="F91" s="501">
        <v>0</v>
      </c>
      <c r="G91" s="501">
        <v>0</v>
      </c>
      <c r="H91" s="501">
        <v>0</v>
      </c>
      <c r="I91" s="501">
        <v>0</v>
      </c>
      <c r="J91" s="501">
        <v>0</v>
      </c>
    </row>
    <row r="92" spans="1:10" s="472" customFormat="1" ht="12">
      <c r="A92" s="2270"/>
      <c r="B92" s="925" t="s">
        <v>39</v>
      </c>
      <c r="C92" s="501">
        <f t="shared" si="26"/>
        <v>537</v>
      </c>
      <c r="D92" s="501">
        <v>537</v>
      </c>
      <c r="E92" s="501">
        <v>0</v>
      </c>
      <c r="F92" s="501">
        <v>0</v>
      </c>
      <c r="G92" s="501">
        <v>0</v>
      </c>
      <c r="H92" s="501">
        <v>0</v>
      </c>
      <c r="I92" s="501">
        <v>0</v>
      </c>
      <c r="J92" s="501">
        <v>0</v>
      </c>
    </row>
    <row r="93" spans="1:10" s="472" customFormat="1" ht="12">
      <c r="A93" s="2270"/>
      <c r="B93" s="925" t="s">
        <v>40</v>
      </c>
      <c r="C93" s="501">
        <f t="shared" si="26"/>
        <v>384</v>
      </c>
      <c r="D93" s="501">
        <v>384</v>
      </c>
      <c r="E93" s="501">
        <v>0</v>
      </c>
      <c r="F93" s="501">
        <v>0</v>
      </c>
      <c r="G93" s="501">
        <v>0</v>
      </c>
      <c r="H93" s="501">
        <v>0</v>
      </c>
      <c r="I93" s="501">
        <v>0</v>
      </c>
      <c r="J93" s="501">
        <v>0</v>
      </c>
    </row>
    <row r="94" spans="1:10" s="472" customFormat="1" ht="12">
      <c r="A94" s="2270"/>
      <c r="B94" s="925" t="s">
        <v>41</v>
      </c>
      <c r="C94" s="501">
        <f t="shared" si="26"/>
        <v>446</v>
      </c>
      <c r="D94" s="501">
        <v>446</v>
      </c>
      <c r="E94" s="501">
        <v>0</v>
      </c>
      <c r="F94" s="501">
        <v>0</v>
      </c>
      <c r="G94" s="501">
        <v>0</v>
      </c>
      <c r="H94" s="501">
        <v>0</v>
      </c>
      <c r="I94" s="501">
        <v>0</v>
      </c>
      <c r="J94" s="501">
        <v>0</v>
      </c>
    </row>
    <row r="95" spans="1:10" s="472" customFormat="1" ht="12">
      <c r="A95" s="2270"/>
      <c r="B95" s="925" t="s">
        <v>28</v>
      </c>
      <c r="C95" s="501">
        <f t="shared" si="26"/>
        <v>484</v>
      </c>
      <c r="D95" s="501">
        <v>484</v>
      </c>
      <c r="E95" s="501">
        <v>0</v>
      </c>
      <c r="F95" s="501">
        <v>0</v>
      </c>
      <c r="G95" s="501">
        <v>0</v>
      </c>
      <c r="H95" s="501">
        <v>0</v>
      </c>
      <c r="I95" s="501">
        <v>0</v>
      </c>
      <c r="J95" s="501">
        <v>0</v>
      </c>
    </row>
    <row r="96" spans="1:10" s="472" customFormat="1" ht="12">
      <c r="A96" s="2270"/>
      <c r="B96" s="925" t="s">
        <v>29</v>
      </c>
      <c r="C96" s="501">
        <f t="shared" si="26"/>
        <v>475</v>
      </c>
      <c r="D96" s="501">
        <v>475</v>
      </c>
      <c r="E96" s="501">
        <v>0</v>
      </c>
      <c r="F96" s="501">
        <v>0</v>
      </c>
      <c r="G96" s="501">
        <v>0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925" t="s">
        <v>30</v>
      </c>
      <c r="C97" s="501">
        <f t="shared" si="26"/>
        <v>460</v>
      </c>
      <c r="D97" s="501">
        <v>460</v>
      </c>
      <c r="E97" s="501">
        <v>0</v>
      </c>
      <c r="F97" s="501">
        <v>0</v>
      </c>
      <c r="G97" s="501">
        <v>0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925" t="s">
        <v>31</v>
      </c>
      <c r="C98" s="501">
        <f t="shared" si="26"/>
        <v>451</v>
      </c>
      <c r="D98" s="501">
        <v>451</v>
      </c>
      <c r="E98" s="501">
        <v>0</v>
      </c>
      <c r="F98" s="501">
        <v>0</v>
      </c>
      <c r="G98" s="501">
        <v>0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925" t="s">
        <v>32</v>
      </c>
      <c r="C99" s="501">
        <f t="shared" si="26"/>
        <v>552</v>
      </c>
      <c r="D99" s="501">
        <v>552</v>
      </c>
      <c r="E99" s="501">
        <v>0</v>
      </c>
      <c r="F99" s="501">
        <v>0</v>
      </c>
      <c r="G99" s="501">
        <v>0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925" t="s">
        <v>33</v>
      </c>
      <c r="C100" s="501">
        <f t="shared" si="26"/>
        <v>470</v>
      </c>
      <c r="D100" s="501">
        <v>470</v>
      </c>
      <c r="E100" s="501">
        <v>0</v>
      </c>
      <c r="F100" s="501">
        <v>0</v>
      </c>
      <c r="G100" s="501">
        <v>0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925" t="s">
        <v>34</v>
      </c>
      <c r="C101" s="501">
        <f t="shared" si="26"/>
        <v>595</v>
      </c>
      <c r="D101" s="501">
        <v>595</v>
      </c>
      <c r="E101" s="501">
        <v>0</v>
      </c>
      <c r="F101" s="501">
        <v>0</v>
      </c>
      <c r="G101" s="501">
        <v>0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501</v>
      </c>
      <c r="C102" s="507">
        <f t="shared" ref="C102:J102" si="27">SUM(C90:C101)</f>
        <v>5718</v>
      </c>
      <c r="D102" s="507">
        <f t="shared" si="27"/>
        <v>5718</v>
      </c>
      <c r="E102" s="507">
        <f t="shared" si="27"/>
        <v>0</v>
      </c>
      <c r="F102" s="507">
        <f t="shared" si="27"/>
        <v>0</v>
      </c>
      <c r="G102" s="507">
        <f t="shared" si="27"/>
        <v>0</v>
      </c>
      <c r="H102" s="507">
        <f t="shared" si="27"/>
        <v>0</v>
      </c>
      <c r="I102" s="507">
        <f t="shared" si="27"/>
        <v>0</v>
      </c>
      <c r="J102" s="508">
        <f t="shared" si="27"/>
        <v>0</v>
      </c>
    </row>
    <row r="103" spans="1:11" s="472" customFormat="1" ht="12">
      <c r="A103" s="2269"/>
      <c r="B103" s="92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925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925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925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925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925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925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925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925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925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925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925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1548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475" t="s">
        <v>512</v>
      </c>
      <c r="D4" s="475" t="s">
        <v>513</v>
      </c>
      <c r="E4" s="475" t="s">
        <v>514</v>
      </c>
      <c r="F4" s="475" t="s">
        <v>515</v>
      </c>
      <c r="G4" s="475" t="s">
        <v>516</v>
      </c>
      <c r="H4" s="475" t="s">
        <v>517</v>
      </c>
      <c r="I4" s="475" t="s">
        <v>518</v>
      </c>
      <c r="J4" s="476" t="s">
        <v>519</v>
      </c>
      <c r="K4" s="477" t="s">
        <v>520</v>
      </c>
      <c r="L4" s="477" t="s">
        <v>512</v>
      </c>
      <c r="M4" s="477" t="s">
        <v>513</v>
      </c>
      <c r="N4" s="477" t="s">
        <v>521</v>
      </c>
      <c r="O4" s="477" t="s">
        <v>522</v>
      </c>
      <c r="P4" s="477" t="s">
        <v>523</v>
      </c>
      <c r="R4" s="477" t="s">
        <v>524</v>
      </c>
    </row>
    <row r="5" spans="1:18" s="472" customFormat="1" ht="12">
      <c r="A5" s="2265" t="s">
        <v>1525</v>
      </c>
      <c r="B5" s="2266"/>
      <c r="C5" s="478">
        <f t="shared" ref="C5:C10" si="0">SUM(D5:J5)</f>
        <v>10.36986301369863</v>
      </c>
      <c r="D5" s="478">
        <f t="shared" ref="D5:J10" si="1">+D15/365</f>
        <v>10.36986301369863</v>
      </c>
      <c r="E5" s="478">
        <f t="shared" si="1"/>
        <v>0</v>
      </c>
      <c r="F5" s="478">
        <f t="shared" si="1"/>
        <v>0</v>
      </c>
      <c r="G5" s="478">
        <f t="shared" si="1"/>
        <v>0</v>
      </c>
      <c r="H5" s="478">
        <f t="shared" si="1"/>
        <v>0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10.36986301369863</v>
      </c>
      <c r="M5" s="481">
        <f t="shared" ref="M5:M10" si="3">D5</f>
        <v>10.36986301369863</v>
      </c>
      <c r="N5" s="481">
        <f t="shared" ref="N5:N10" si="4">L5-M5</f>
        <v>0</v>
      </c>
      <c r="O5" s="482" t="e">
        <f t="shared" ref="O5:O10" si="5">ROUND(L5/K5*1000,0)</f>
        <v>#DIV/0!</v>
      </c>
      <c r="P5" s="483">
        <f t="shared" ref="P5:P10" si="6">ROUND(N5/L5*100,1)</f>
        <v>0</v>
      </c>
      <c r="R5" s="481">
        <f t="shared" ref="R5:R10" si="7">C5-L5</f>
        <v>0</v>
      </c>
    </row>
    <row r="6" spans="1:18" s="472" customFormat="1" ht="12">
      <c r="A6" s="2265" t="s">
        <v>1526</v>
      </c>
      <c r="B6" s="2266"/>
      <c r="C6" s="478">
        <f t="shared" si="0"/>
        <v>10.526027397260274</v>
      </c>
      <c r="D6" s="478">
        <f t="shared" si="1"/>
        <v>10.526027397260274</v>
      </c>
      <c r="E6" s="478">
        <f t="shared" si="1"/>
        <v>0</v>
      </c>
      <c r="F6" s="478">
        <f t="shared" si="1"/>
        <v>0</v>
      </c>
      <c r="G6" s="478">
        <f t="shared" si="1"/>
        <v>0</v>
      </c>
      <c r="H6" s="478">
        <f t="shared" si="1"/>
        <v>0</v>
      </c>
      <c r="I6" s="478">
        <f t="shared" si="1"/>
        <v>0</v>
      </c>
      <c r="J6" s="479">
        <f t="shared" si="1"/>
        <v>0</v>
      </c>
      <c r="K6" s="480"/>
      <c r="L6" s="481">
        <f t="shared" si="2"/>
        <v>10.526027397260274</v>
      </c>
      <c r="M6" s="481">
        <f t="shared" si="3"/>
        <v>10.526027397260274</v>
      </c>
      <c r="N6" s="481">
        <f t="shared" si="4"/>
        <v>0</v>
      </c>
      <c r="O6" s="482" t="e">
        <f t="shared" si="5"/>
        <v>#DIV/0!</v>
      </c>
      <c r="P6" s="483">
        <f t="shared" si="6"/>
        <v>0</v>
      </c>
      <c r="R6" s="481">
        <f t="shared" si="7"/>
        <v>0</v>
      </c>
    </row>
    <row r="7" spans="1:18" s="472" customFormat="1" ht="12">
      <c r="A7" s="2261" t="s">
        <v>1527</v>
      </c>
      <c r="B7" s="2262"/>
      <c r="C7" s="479">
        <f t="shared" si="0"/>
        <v>11.986301369863014</v>
      </c>
      <c r="D7" s="484">
        <f t="shared" si="1"/>
        <v>11.986301369863014</v>
      </c>
      <c r="E7" s="484">
        <f t="shared" si="1"/>
        <v>0</v>
      </c>
      <c r="F7" s="484">
        <f t="shared" si="1"/>
        <v>0</v>
      </c>
      <c r="G7" s="484">
        <f t="shared" si="1"/>
        <v>0</v>
      </c>
      <c r="H7" s="484">
        <f t="shared" si="1"/>
        <v>0</v>
      </c>
      <c r="I7" s="484">
        <f t="shared" si="1"/>
        <v>0</v>
      </c>
      <c r="J7" s="485">
        <f t="shared" si="1"/>
        <v>0</v>
      </c>
      <c r="K7" s="480"/>
      <c r="L7" s="481">
        <f t="shared" si="2"/>
        <v>11.986301369863014</v>
      </c>
      <c r="M7" s="481">
        <f t="shared" si="3"/>
        <v>11.986301369863014</v>
      </c>
      <c r="N7" s="481">
        <f t="shared" si="4"/>
        <v>0</v>
      </c>
      <c r="O7" s="482" t="e">
        <f t="shared" si="5"/>
        <v>#DIV/0!</v>
      </c>
      <c r="P7" s="483">
        <f t="shared" si="6"/>
        <v>0</v>
      </c>
      <c r="R7" s="481">
        <f t="shared" si="7"/>
        <v>0</v>
      </c>
    </row>
    <row r="8" spans="1:18" s="472" customFormat="1" ht="12">
      <c r="A8" s="2261" t="s">
        <v>1528</v>
      </c>
      <c r="B8" s="2262"/>
      <c r="C8" s="479">
        <f t="shared" si="0"/>
        <v>11.024657534246575</v>
      </c>
      <c r="D8" s="484">
        <f t="shared" si="1"/>
        <v>11.024657534246575</v>
      </c>
      <c r="E8" s="484">
        <f t="shared" si="1"/>
        <v>0</v>
      </c>
      <c r="F8" s="484">
        <f t="shared" si="1"/>
        <v>0</v>
      </c>
      <c r="G8" s="484">
        <f t="shared" si="1"/>
        <v>0</v>
      </c>
      <c r="H8" s="484">
        <f t="shared" si="1"/>
        <v>0</v>
      </c>
      <c r="I8" s="484">
        <f t="shared" si="1"/>
        <v>0</v>
      </c>
      <c r="J8" s="485">
        <f t="shared" si="1"/>
        <v>0</v>
      </c>
      <c r="K8" s="480"/>
      <c r="L8" s="481">
        <f t="shared" si="2"/>
        <v>11.024657534246575</v>
      </c>
      <c r="M8" s="481">
        <f t="shared" si="3"/>
        <v>11.024657534246575</v>
      </c>
      <c r="N8" s="481">
        <f t="shared" si="4"/>
        <v>0</v>
      </c>
      <c r="O8" s="482" t="e">
        <f t="shared" si="5"/>
        <v>#DIV/0!</v>
      </c>
      <c r="P8" s="483">
        <f t="shared" si="6"/>
        <v>0</v>
      </c>
      <c r="R8" s="481">
        <f t="shared" si="7"/>
        <v>0</v>
      </c>
    </row>
    <row r="9" spans="1:18" s="472" customFormat="1" ht="12">
      <c r="A9" s="2261" t="s">
        <v>1529</v>
      </c>
      <c r="B9" s="2262"/>
      <c r="C9" s="479">
        <f t="shared" si="0"/>
        <v>11.358904109589041</v>
      </c>
      <c r="D9" s="484">
        <f t="shared" si="1"/>
        <v>11.358904109589041</v>
      </c>
      <c r="E9" s="484">
        <f t="shared" si="1"/>
        <v>0</v>
      </c>
      <c r="F9" s="484">
        <f t="shared" si="1"/>
        <v>0</v>
      </c>
      <c r="G9" s="484">
        <f t="shared" si="1"/>
        <v>0</v>
      </c>
      <c r="H9" s="484">
        <f t="shared" si="1"/>
        <v>0</v>
      </c>
      <c r="I9" s="484">
        <f t="shared" si="1"/>
        <v>0</v>
      </c>
      <c r="J9" s="485">
        <f t="shared" si="1"/>
        <v>0</v>
      </c>
      <c r="K9" s="480"/>
      <c r="L9" s="481">
        <f t="shared" si="2"/>
        <v>11.358904109589041</v>
      </c>
      <c r="M9" s="481">
        <f t="shared" si="3"/>
        <v>11.358904109589041</v>
      </c>
      <c r="N9" s="481">
        <f t="shared" si="4"/>
        <v>0</v>
      </c>
      <c r="O9" s="482" t="e">
        <f t="shared" si="5"/>
        <v>#DIV/0!</v>
      </c>
      <c r="P9" s="483">
        <f t="shared" si="6"/>
        <v>0</v>
      </c>
      <c r="R9" s="481">
        <f t="shared" si="7"/>
        <v>0</v>
      </c>
    </row>
    <row r="10" spans="1:18" s="472" customFormat="1" ht="12">
      <c r="A10" s="2261" t="s">
        <v>1530</v>
      </c>
      <c r="B10" s="2262"/>
      <c r="C10" s="479">
        <f t="shared" si="0"/>
        <v>11.56986301369863</v>
      </c>
      <c r="D10" s="484">
        <f>+D20/365</f>
        <v>11.56986301369863</v>
      </c>
      <c r="E10" s="484">
        <f t="shared" si="1"/>
        <v>0</v>
      </c>
      <c r="F10" s="484">
        <f t="shared" si="1"/>
        <v>0</v>
      </c>
      <c r="G10" s="484">
        <f t="shared" si="1"/>
        <v>0</v>
      </c>
      <c r="H10" s="484">
        <f>+H20/365</f>
        <v>0</v>
      </c>
      <c r="I10" s="484">
        <f>+I20/365</f>
        <v>0</v>
      </c>
      <c r="J10" s="485">
        <f>+J20/365</f>
        <v>0</v>
      </c>
      <c r="K10" s="480"/>
      <c r="L10" s="481">
        <f t="shared" si="2"/>
        <v>11.56986301369863</v>
      </c>
      <c r="M10" s="481">
        <f t="shared" si="3"/>
        <v>11.56986301369863</v>
      </c>
      <c r="N10" s="481">
        <f t="shared" si="4"/>
        <v>0</v>
      </c>
      <c r="O10" s="482" t="e">
        <f t="shared" si="5"/>
        <v>#DIV/0!</v>
      </c>
      <c r="P10" s="483">
        <f t="shared" si="6"/>
        <v>0</v>
      </c>
      <c r="R10" s="481">
        <f t="shared" si="7"/>
        <v>0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543</v>
      </c>
      <c r="C13" s="473"/>
      <c r="D13" s="473"/>
      <c r="E13" s="473"/>
      <c r="F13" s="473"/>
      <c r="G13" s="473"/>
      <c r="H13" s="473"/>
      <c r="I13" s="473"/>
      <c r="J13" s="474" t="s">
        <v>544</v>
      </c>
    </row>
    <row r="14" spans="1:18" s="472" customFormat="1" ht="12.75" thickBot="1">
      <c r="A14" s="2263" t="s">
        <v>511</v>
      </c>
      <c r="B14" s="2264"/>
      <c r="C14" s="475" t="s">
        <v>512</v>
      </c>
      <c r="D14" s="475" t="s">
        <v>513</v>
      </c>
      <c r="E14" s="475" t="s">
        <v>514</v>
      </c>
      <c r="F14" s="475" t="s">
        <v>515</v>
      </c>
      <c r="G14" s="475" t="s">
        <v>516</v>
      </c>
      <c r="H14" s="475" t="s">
        <v>517</v>
      </c>
      <c r="I14" s="475" t="s">
        <v>518</v>
      </c>
      <c r="J14" s="489" t="s">
        <v>519</v>
      </c>
      <c r="L14" s="490"/>
      <c r="M14" s="490"/>
      <c r="N14" s="490"/>
      <c r="O14" s="490"/>
      <c r="P14" s="490"/>
    </row>
    <row r="15" spans="1:18" s="472" customFormat="1" ht="12">
      <c r="A15" s="2265" t="s">
        <v>1525</v>
      </c>
      <c r="B15" s="2266"/>
      <c r="C15" s="478">
        <f t="shared" ref="C15:C20" si="8">SUM(D15:J15)</f>
        <v>3785</v>
      </c>
      <c r="D15" s="478">
        <f>+D37</f>
        <v>3785</v>
      </c>
      <c r="E15" s="478">
        <f t="shared" ref="E15:J15" si="9">+E37</f>
        <v>0</v>
      </c>
      <c r="F15" s="478">
        <f t="shared" si="9"/>
        <v>0</v>
      </c>
      <c r="G15" s="478">
        <f t="shared" si="9"/>
        <v>0</v>
      </c>
      <c r="H15" s="478">
        <f t="shared" si="9"/>
        <v>0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1526</v>
      </c>
      <c r="B16" s="2266"/>
      <c r="C16" s="478">
        <f t="shared" si="8"/>
        <v>3842</v>
      </c>
      <c r="D16" s="478">
        <f t="shared" ref="D16:J16" si="10">+D50</f>
        <v>3842</v>
      </c>
      <c r="E16" s="478">
        <f t="shared" si="10"/>
        <v>0</v>
      </c>
      <c r="F16" s="478">
        <f t="shared" si="10"/>
        <v>0</v>
      </c>
      <c r="G16" s="478">
        <f t="shared" si="10"/>
        <v>0</v>
      </c>
      <c r="H16" s="478">
        <f t="shared" si="10"/>
        <v>0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1527</v>
      </c>
      <c r="B17" s="2262"/>
      <c r="C17" s="478">
        <f t="shared" si="8"/>
        <v>4375</v>
      </c>
      <c r="D17" s="478">
        <f t="shared" ref="D17:J17" si="11">+D63</f>
        <v>4375</v>
      </c>
      <c r="E17" s="478">
        <f t="shared" si="11"/>
        <v>0</v>
      </c>
      <c r="F17" s="478">
        <f t="shared" si="11"/>
        <v>0</v>
      </c>
      <c r="G17" s="478">
        <f t="shared" si="11"/>
        <v>0</v>
      </c>
      <c r="H17" s="478">
        <f t="shared" si="11"/>
        <v>0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1528</v>
      </c>
      <c r="B18" s="2262"/>
      <c r="C18" s="478">
        <f t="shared" si="8"/>
        <v>4024</v>
      </c>
      <c r="D18" s="478">
        <f t="shared" ref="D18:J18" si="12">+D76</f>
        <v>4024</v>
      </c>
      <c r="E18" s="478">
        <f t="shared" si="12"/>
        <v>0</v>
      </c>
      <c r="F18" s="478">
        <f t="shared" si="12"/>
        <v>0</v>
      </c>
      <c r="G18" s="478">
        <f t="shared" si="12"/>
        <v>0</v>
      </c>
      <c r="H18" s="478">
        <f t="shared" si="12"/>
        <v>0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1529</v>
      </c>
      <c r="B19" s="2262"/>
      <c r="C19" s="478">
        <f t="shared" si="8"/>
        <v>4146</v>
      </c>
      <c r="D19" s="478">
        <f t="shared" ref="D19:J19" si="13">+D89</f>
        <v>4146</v>
      </c>
      <c r="E19" s="478">
        <f t="shared" si="13"/>
        <v>0</v>
      </c>
      <c r="F19" s="478">
        <f t="shared" si="13"/>
        <v>0</v>
      </c>
      <c r="G19" s="478">
        <f t="shared" si="13"/>
        <v>0</v>
      </c>
      <c r="H19" s="478">
        <f t="shared" si="13"/>
        <v>0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1530</v>
      </c>
      <c r="B20" s="2262"/>
      <c r="C20" s="478">
        <f t="shared" si="8"/>
        <v>4223</v>
      </c>
      <c r="D20" s="478">
        <f t="shared" ref="D20:J20" si="14">+D102</f>
        <v>4223</v>
      </c>
      <c r="E20" s="478">
        <f t="shared" si="14"/>
        <v>0</v>
      </c>
      <c r="F20" s="478">
        <f t="shared" si="14"/>
        <v>0</v>
      </c>
      <c r="G20" s="478">
        <f t="shared" si="14"/>
        <v>0</v>
      </c>
      <c r="H20" s="478">
        <f t="shared" si="14"/>
        <v>0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495" t="s">
        <v>512</v>
      </c>
      <c r="D24" s="475" t="s">
        <v>513</v>
      </c>
      <c r="E24" s="475" t="s">
        <v>514</v>
      </c>
      <c r="F24" s="475" t="s">
        <v>515</v>
      </c>
      <c r="G24" s="475" t="s">
        <v>516</v>
      </c>
      <c r="H24" s="475" t="s">
        <v>517</v>
      </c>
      <c r="I24" s="475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540</v>
      </c>
      <c r="B25" s="496" t="s">
        <v>538</v>
      </c>
      <c r="C25" s="497">
        <f t="shared" ref="C25:C36" si="15">SUM(D25:J25)</f>
        <v>294</v>
      </c>
      <c r="D25" s="497">
        <v>294</v>
      </c>
      <c r="E25" s="497">
        <v>0</v>
      </c>
      <c r="F25" s="497">
        <v>0</v>
      </c>
      <c r="G25" s="497">
        <v>0</v>
      </c>
      <c r="H25" s="497">
        <v>0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500" t="s">
        <v>539</v>
      </c>
      <c r="C26" s="501">
        <f t="shared" si="15"/>
        <v>292</v>
      </c>
      <c r="D26" s="501">
        <v>292</v>
      </c>
      <c r="E26" s="501">
        <v>0</v>
      </c>
      <c r="F26" s="501">
        <v>0</v>
      </c>
      <c r="G26" s="501">
        <v>0</v>
      </c>
      <c r="H26" s="501">
        <v>0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500" t="s">
        <v>39</v>
      </c>
      <c r="C27" s="501">
        <f t="shared" si="15"/>
        <v>278</v>
      </c>
      <c r="D27" s="501">
        <v>278</v>
      </c>
      <c r="E27" s="501">
        <v>0</v>
      </c>
      <c r="F27" s="501">
        <v>0</v>
      </c>
      <c r="G27" s="501">
        <v>0</v>
      </c>
      <c r="H27" s="501">
        <v>0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500" t="s">
        <v>40</v>
      </c>
      <c r="C28" s="501">
        <f t="shared" si="15"/>
        <v>310</v>
      </c>
      <c r="D28" s="501">
        <v>310</v>
      </c>
      <c r="E28" s="501">
        <v>0</v>
      </c>
      <c r="F28" s="501">
        <v>0</v>
      </c>
      <c r="G28" s="501">
        <v>0</v>
      </c>
      <c r="H28" s="501">
        <v>0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500" t="s">
        <v>41</v>
      </c>
      <c r="C29" s="501">
        <f t="shared" si="15"/>
        <v>211</v>
      </c>
      <c r="D29" s="501">
        <v>211</v>
      </c>
      <c r="E29" s="501">
        <v>0</v>
      </c>
      <c r="F29" s="501">
        <v>0</v>
      </c>
      <c r="G29" s="501">
        <v>0</v>
      </c>
      <c r="H29" s="501">
        <v>0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500" t="s">
        <v>28</v>
      </c>
      <c r="C30" s="501">
        <f t="shared" si="15"/>
        <v>229</v>
      </c>
      <c r="D30" s="501">
        <v>229</v>
      </c>
      <c r="E30" s="501">
        <v>0</v>
      </c>
      <c r="F30" s="501">
        <v>0</v>
      </c>
      <c r="G30" s="501">
        <v>0</v>
      </c>
      <c r="H30" s="501">
        <v>0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500" t="s">
        <v>29</v>
      </c>
      <c r="C31" s="501">
        <f t="shared" si="15"/>
        <v>394</v>
      </c>
      <c r="D31" s="501">
        <v>394</v>
      </c>
      <c r="E31" s="501">
        <v>0</v>
      </c>
      <c r="F31" s="501">
        <v>0</v>
      </c>
      <c r="G31" s="501">
        <v>0</v>
      </c>
      <c r="H31" s="501">
        <v>0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500" t="s">
        <v>30</v>
      </c>
      <c r="C32" s="501">
        <f t="shared" si="15"/>
        <v>379</v>
      </c>
      <c r="D32" s="501">
        <v>379</v>
      </c>
      <c r="E32" s="501">
        <v>0</v>
      </c>
      <c r="F32" s="501">
        <v>0</v>
      </c>
      <c r="G32" s="501">
        <v>0</v>
      </c>
      <c r="H32" s="501">
        <v>0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500" t="s">
        <v>31</v>
      </c>
      <c r="C33" s="501">
        <f t="shared" si="15"/>
        <v>403</v>
      </c>
      <c r="D33" s="501">
        <v>403</v>
      </c>
      <c r="E33" s="501">
        <v>0</v>
      </c>
      <c r="F33" s="501">
        <v>0</v>
      </c>
      <c r="G33" s="501">
        <v>0</v>
      </c>
      <c r="H33" s="501">
        <v>0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500" t="s">
        <v>32</v>
      </c>
      <c r="C34" s="501">
        <f t="shared" si="15"/>
        <v>398</v>
      </c>
      <c r="D34" s="501">
        <v>398</v>
      </c>
      <c r="E34" s="501">
        <v>0</v>
      </c>
      <c r="F34" s="501">
        <v>0</v>
      </c>
      <c r="G34" s="501">
        <v>0</v>
      </c>
      <c r="H34" s="501">
        <v>0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500" t="s">
        <v>33</v>
      </c>
      <c r="C35" s="501">
        <f t="shared" si="15"/>
        <v>318</v>
      </c>
      <c r="D35" s="501">
        <v>318</v>
      </c>
      <c r="E35" s="501">
        <v>0</v>
      </c>
      <c r="F35" s="501">
        <v>0</v>
      </c>
      <c r="G35" s="501">
        <v>0</v>
      </c>
      <c r="H35" s="501">
        <v>0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500" t="s">
        <v>34</v>
      </c>
      <c r="C36" s="501">
        <f t="shared" si="15"/>
        <v>279</v>
      </c>
      <c r="D36" s="501">
        <v>279</v>
      </c>
      <c r="E36" s="501">
        <v>0</v>
      </c>
      <c r="F36" s="501">
        <v>0</v>
      </c>
      <c r="G36" s="501">
        <v>0</v>
      </c>
      <c r="H36" s="501">
        <v>0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512</v>
      </c>
      <c r="C37" s="507">
        <f t="shared" ref="C37:J37" si="16">SUM(C25:C36)</f>
        <v>3785</v>
      </c>
      <c r="D37" s="507">
        <f t="shared" si="16"/>
        <v>3785</v>
      </c>
      <c r="E37" s="507">
        <f t="shared" si="16"/>
        <v>0</v>
      </c>
      <c r="F37" s="507">
        <f t="shared" si="16"/>
        <v>0</v>
      </c>
      <c r="G37" s="507">
        <f t="shared" si="16"/>
        <v>0</v>
      </c>
      <c r="H37" s="507">
        <f t="shared" si="16"/>
        <v>0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496" t="s">
        <v>538</v>
      </c>
      <c r="C38" s="497">
        <f t="shared" ref="C38:C49" si="17">SUM(D38:J38)</f>
        <v>285</v>
      </c>
      <c r="D38" s="497">
        <v>285</v>
      </c>
      <c r="E38" s="497">
        <v>0</v>
      </c>
      <c r="F38" s="497">
        <v>0</v>
      </c>
      <c r="G38" s="497">
        <v>0</v>
      </c>
      <c r="H38" s="497">
        <v>0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500" t="s">
        <v>539</v>
      </c>
      <c r="C39" s="501">
        <f t="shared" si="17"/>
        <v>300</v>
      </c>
      <c r="D39" s="501">
        <v>300</v>
      </c>
      <c r="E39" s="501">
        <v>0</v>
      </c>
      <c r="F39" s="501">
        <v>0</v>
      </c>
      <c r="G39" s="501">
        <v>0</v>
      </c>
      <c r="H39" s="501">
        <v>0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500" t="s">
        <v>39</v>
      </c>
      <c r="C40" s="501">
        <f t="shared" si="17"/>
        <v>274</v>
      </c>
      <c r="D40" s="501">
        <v>274</v>
      </c>
      <c r="E40" s="501">
        <v>0</v>
      </c>
      <c r="F40" s="501">
        <v>0</v>
      </c>
      <c r="G40" s="501">
        <v>0</v>
      </c>
      <c r="H40" s="501">
        <v>0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500" t="s">
        <v>40</v>
      </c>
      <c r="C41" s="501">
        <f t="shared" si="17"/>
        <v>274</v>
      </c>
      <c r="D41" s="501">
        <v>274</v>
      </c>
      <c r="E41" s="501">
        <v>0</v>
      </c>
      <c r="F41" s="501">
        <v>0</v>
      </c>
      <c r="G41" s="501">
        <v>0</v>
      </c>
      <c r="H41" s="501">
        <v>0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500" t="s">
        <v>41</v>
      </c>
      <c r="C42" s="501">
        <f t="shared" si="17"/>
        <v>311</v>
      </c>
      <c r="D42" s="501">
        <v>311</v>
      </c>
      <c r="E42" s="501">
        <v>0</v>
      </c>
      <c r="F42" s="501">
        <v>0</v>
      </c>
      <c r="G42" s="501">
        <v>0</v>
      </c>
      <c r="H42" s="501">
        <v>0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500" t="s">
        <v>28</v>
      </c>
      <c r="C43" s="501">
        <f t="shared" si="17"/>
        <v>319</v>
      </c>
      <c r="D43" s="501">
        <v>319</v>
      </c>
      <c r="E43" s="501">
        <v>0</v>
      </c>
      <c r="F43" s="501">
        <v>0</v>
      </c>
      <c r="G43" s="501">
        <v>0</v>
      </c>
      <c r="H43" s="501">
        <v>0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500" t="s">
        <v>29</v>
      </c>
      <c r="C44" s="501">
        <f t="shared" si="17"/>
        <v>368</v>
      </c>
      <c r="D44" s="501">
        <v>368</v>
      </c>
      <c r="E44" s="501">
        <v>0</v>
      </c>
      <c r="F44" s="501">
        <v>0</v>
      </c>
      <c r="G44" s="501">
        <v>0</v>
      </c>
      <c r="H44" s="501">
        <v>0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500" t="s">
        <v>30</v>
      </c>
      <c r="C45" s="501">
        <f t="shared" si="17"/>
        <v>383</v>
      </c>
      <c r="D45" s="501">
        <v>383</v>
      </c>
      <c r="E45" s="501">
        <v>0</v>
      </c>
      <c r="F45" s="501">
        <v>0</v>
      </c>
      <c r="G45" s="501">
        <v>0</v>
      </c>
      <c r="H45" s="501">
        <v>0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500" t="s">
        <v>31</v>
      </c>
      <c r="C46" s="501">
        <f t="shared" si="17"/>
        <v>405</v>
      </c>
      <c r="D46" s="501">
        <v>405</v>
      </c>
      <c r="E46" s="501">
        <v>0</v>
      </c>
      <c r="F46" s="501">
        <v>0</v>
      </c>
      <c r="G46" s="501">
        <v>0</v>
      </c>
      <c r="H46" s="501">
        <v>0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500" t="s">
        <v>32</v>
      </c>
      <c r="C47" s="501">
        <f t="shared" si="17"/>
        <v>298</v>
      </c>
      <c r="D47" s="501">
        <v>298</v>
      </c>
      <c r="E47" s="501">
        <v>0</v>
      </c>
      <c r="F47" s="501">
        <v>0</v>
      </c>
      <c r="G47" s="501">
        <v>0</v>
      </c>
      <c r="H47" s="501">
        <v>0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500" t="s">
        <v>33</v>
      </c>
      <c r="C48" s="501">
        <f t="shared" si="17"/>
        <v>299</v>
      </c>
      <c r="D48" s="501">
        <v>299</v>
      </c>
      <c r="E48" s="501">
        <v>0</v>
      </c>
      <c r="F48" s="501">
        <v>0</v>
      </c>
      <c r="G48" s="501">
        <v>0</v>
      </c>
      <c r="H48" s="501">
        <v>0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500" t="s">
        <v>34</v>
      </c>
      <c r="C49" s="501">
        <f t="shared" si="17"/>
        <v>326</v>
      </c>
      <c r="D49" s="501">
        <v>326</v>
      </c>
      <c r="E49" s="501">
        <v>0</v>
      </c>
      <c r="F49" s="501">
        <v>0</v>
      </c>
      <c r="G49" s="501">
        <v>0</v>
      </c>
      <c r="H49" s="501">
        <v>0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512</v>
      </c>
      <c r="C50" s="507">
        <f>SUM(C38:C49)</f>
        <v>3842</v>
      </c>
      <c r="D50" s="507">
        <f>SUM(D38:D49)</f>
        <v>3842</v>
      </c>
      <c r="E50" s="507">
        <f t="shared" ref="E50:J50" si="18">SUM(E38:E49)</f>
        <v>0</v>
      </c>
      <c r="F50" s="507">
        <f t="shared" si="18"/>
        <v>0</v>
      </c>
      <c r="G50" s="507">
        <f t="shared" si="18"/>
        <v>0</v>
      </c>
      <c r="H50" s="507">
        <f t="shared" si="18"/>
        <v>0</v>
      </c>
      <c r="I50" s="507">
        <f t="shared" si="18"/>
        <v>0</v>
      </c>
      <c r="J50" s="508">
        <f t="shared" si="18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496" t="s">
        <v>538</v>
      </c>
      <c r="C51" s="497">
        <f t="shared" ref="C51:C62" si="19">SUM(D51:J51)</f>
        <v>312</v>
      </c>
      <c r="D51" s="497">
        <v>312</v>
      </c>
      <c r="E51" s="497">
        <v>0</v>
      </c>
      <c r="F51" s="497">
        <v>0</v>
      </c>
      <c r="G51" s="497">
        <v>0</v>
      </c>
      <c r="H51" s="497">
        <v>0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500" t="s">
        <v>539</v>
      </c>
      <c r="C52" s="501">
        <f t="shared" si="19"/>
        <v>334</v>
      </c>
      <c r="D52" s="501">
        <v>334</v>
      </c>
      <c r="E52" s="501">
        <v>0</v>
      </c>
      <c r="F52" s="501">
        <v>0</v>
      </c>
      <c r="G52" s="501">
        <v>0</v>
      </c>
      <c r="H52" s="501">
        <v>0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500" t="s">
        <v>39</v>
      </c>
      <c r="C53" s="501">
        <f t="shared" si="19"/>
        <v>271</v>
      </c>
      <c r="D53" s="501">
        <v>271</v>
      </c>
      <c r="E53" s="501">
        <v>0</v>
      </c>
      <c r="F53" s="501">
        <v>0</v>
      </c>
      <c r="G53" s="501">
        <v>0</v>
      </c>
      <c r="H53" s="501">
        <v>0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500" t="s">
        <v>40</v>
      </c>
      <c r="C54" s="501">
        <f t="shared" si="19"/>
        <v>330</v>
      </c>
      <c r="D54" s="501">
        <v>330</v>
      </c>
      <c r="E54" s="501">
        <v>0</v>
      </c>
      <c r="F54" s="501">
        <v>0</v>
      </c>
      <c r="G54" s="501">
        <v>0</v>
      </c>
      <c r="H54" s="501">
        <v>0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500" t="s">
        <v>41</v>
      </c>
      <c r="C55" s="501">
        <f t="shared" si="19"/>
        <v>336</v>
      </c>
      <c r="D55" s="501">
        <v>336</v>
      </c>
      <c r="E55" s="501">
        <v>0</v>
      </c>
      <c r="F55" s="501">
        <v>0</v>
      </c>
      <c r="G55" s="501">
        <v>0</v>
      </c>
      <c r="H55" s="501">
        <v>0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500" t="s">
        <v>28</v>
      </c>
      <c r="C56" s="501">
        <f t="shared" si="19"/>
        <v>379</v>
      </c>
      <c r="D56" s="501">
        <v>379</v>
      </c>
      <c r="E56" s="501">
        <v>0</v>
      </c>
      <c r="F56" s="501">
        <v>0</v>
      </c>
      <c r="G56" s="501">
        <v>0</v>
      </c>
      <c r="H56" s="501">
        <v>0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500" t="s">
        <v>29</v>
      </c>
      <c r="C57" s="501">
        <f t="shared" si="19"/>
        <v>418</v>
      </c>
      <c r="D57" s="501">
        <v>418</v>
      </c>
      <c r="E57" s="501">
        <v>0</v>
      </c>
      <c r="F57" s="501">
        <v>0</v>
      </c>
      <c r="G57" s="501">
        <v>0</v>
      </c>
      <c r="H57" s="501">
        <v>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500" t="s">
        <v>30</v>
      </c>
      <c r="C58" s="501">
        <f t="shared" si="19"/>
        <v>393</v>
      </c>
      <c r="D58" s="501">
        <v>393</v>
      </c>
      <c r="E58" s="501">
        <v>0</v>
      </c>
      <c r="F58" s="501">
        <v>0</v>
      </c>
      <c r="G58" s="501">
        <v>0</v>
      </c>
      <c r="H58" s="501">
        <v>0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500" t="s">
        <v>31</v>
      </c>
      <c r="C59" s="501">
        <f t="shared" si="19"/>
        <v>414</v>
      </c>
      <c r="D59" s="501">
        <v>414</v>
      </c>
      <c r="E59" s="501">
        <v>0</v>
      </c>
      <c r="F59" s="501">
        <v>0</v>
      </c>
      <c r="G59" s="501">
        <v>0</v>
      </c>
      <c r="H59" s="501">
        <v>0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500" t="s">
        <v>32</v>
      </c>
      <c r="C60" s="501">
        <f t="shared" si="19"/>
        <v>419</v>
      </c>
      <c r="D60" s="501">
        <v>419</v>
      </c>
      <c r="E60" s="501">
        <v>0</v>
      </c>
      <c r="F60" s="501">
        <v>0</v>
      </c>
      <c r="G60" s="501">
        <v>0</v>
      </c>
      <c r="H60" s="501">
        <v>0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500" t="s">
        <v>33</v>
      </c>
      <c r="C61" s="501">
        <f t="shared" si="19"/>
        <v>379</v>
      </c>
      <c r="D61" s="501">
        <v>379</v>
      </c>
      <c r="E61" s="501">
        <v>0</v>
      </c>
      <c r="F61" s="501">
        <v>0</v>
      </c>
      <c r="G61" s="501">
        <v>0</v>
      </c>
      <c r="H61" s="501">
        <v>0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500" t="s">
        <v>34</v>
      </c>
      <c r="C62" s="501">
        <f t="shared" si="19"/>
        <v>390</v>
      </c>
      <c r="D62" s="501">
        <v>390</v>
      </c>
      <c r="E62" s="501">
        <v>0</v>
      </c>
      <c r="F62" s="501">
        <v>0</v>
      </c>
      <c r="G62" s="501">
        <v>0</v>
      </c>
      <c r="H62" s="501">
        <v>0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512</v>
      </c>
      <c r="C63" s="507">
        <f t="shared" ref="C63:J63" si="20">SUM(C51:C62)</f>
        <v>4375</v>
      </c>
      <c r="D63" s="507">
        <f t="shared" si="20"/>
        <v>4375</v>
      </c>
      <c r="E63" s="507">
        <f t="shared" si="20"/>
        <v>0</v>
      </c>
      <c r="F63" s="507">
        <f t="shared" si="20"/>
        <v>0</v>
      </c>
      <c r="G63" s="507">
        <f t="shared" si="20"/>
        <v>0</v>
      </c>
      <c r="H63" s="507">
        <f t="shared" si="20"/>
        <v>0</v>
      </c>
      <c r="I63" s="507">
        <f t="shared" si="20"/>
        <v>0</v>
      </c>
      <c r="J63" s="508">
        <f t="shared" si="20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869</v>
      </c>
      <c r="B64" s="496" t="s">
        <v>538</v>
      </c>
      <c r="C64" s="497">
        <f t="shared" ref="C64:C75" si="21">SUM(D64:J64)</f>
        <v>351</v>
      </c>
      <c r="D64" s="497">
        <v>351</v>
      </c>
      <c r="E64" s="497">
        <v>0</v>
      </c>
      <c r="F64" s="497">
        <v>0</v>
      </c>
      <c r="G64" s="497">
        <v>0</v>
      </c>
      <c r="H64" s="497">
        <v>0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500" t="s">
        <v>539</v>
      </c>
      <c r="C65" s="501">
        <f t="shared" si="21"/>
        <v>348</v>
      </c>
      <c r="D65" s="501">
        <v>348</v>
      </c>
      <c r="E65" s="501">
        <v>0</v>
      </c>
      <c r="F65" s="501">
        <v>0</v>
      </c>
      <c r="G65" s="501">
        <v>0</v>
      </c>
      <c r="H65" s="501">
        <v>0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500" t="s">
        <v>39</v>
      </c>
      <c r="C66" s="501">
        <f t="shared" si="21"/>
        <v>329</v>
      </c>
      <c r="D66" s="501">
        <v>329</v>
      </c>
      <c r="E66" s="501">
        <v>0</v>
      </c>
      <c r="F66" s="501">
        <v>0</v>
      </c>
      <c r="G66" s="501">
        <v>0</v>
      </c>
      <c r="H66" s="501">
        <v>0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500" t="s">
        <v>40</v>
      </c>
      <c r="C67" s="501">
        <f t="shared" si="21"/>
        <v>320</v>
      </c>
      <c r="D67" s="501">
        <v>320</v>
      </c>
      <c r="E67" s="501">
        <v>0</v>
      </c>
      <c r="F67" s="501">
        <v>0</v>
      </c>
      <c r="G67" s="501">
        <v>0</v>
      </c>
      <c r="H67" s="501">
        <v>0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500" t="s">
        <v>41</v>
      </c>
      <c r="C68" s="501">
        <f t="shared" si="21"/>
        <v>287</v>
      </c>
      <c r="D68" s="501">
        <v>287</v>
      </c>
      <c r="E68" s="501">
        <v>0</v>
      </c>
      <c r="F68" s="501">
        <v>0</v>
      </c>
      <c r="G68" s="501">
        <v>0</v>
      </c>
      <c r="H68" s="501">
        <v>0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500" t="s">
        <v>28</v>
      </c>
      <c r="C69" s="501">
        <f t="shared" si="21"/>
        <v>274</v>
      </c>
      <c r="D69" s="501">
        <v>274</v>
      </c>
      <c r="E69" s="501">
        <v>0</v>
      </c>
      <c r="F69" s="501">
        <v>0</v>
      </c>
      <c r="G69" s="501">
        <v>0</v>
      </c>
      <c r="H69" s="501">
        <v>0</v>
      </c>
      <c r="I69" s="501">
        <v>0</v>
      </c>
      <c r="J69" s="501">
        <v>0</v>
      </c>
    </row>
    <row r="70" spans="1:22" s="472" customFormat="1" ht="12">
      <c r="A70" s="2270"/>
      <c r="B70" s="500" t="s">
        <v>29</v>
      </c>
      <c r="C70" s="501">
        <f t="shared" si="21"/>
        <v>301</v>
      </c>
      <c r="D70" s="501">
        <v>301</v>
      </c>
      <c r="E70" s="501">
        <v>0</v>
      </c>
      <c r="F70" s="501">
        <v>0</v>
      </c>
      <c r="G70" s="501">
        <v>0</v>
      </c>
      <c r="H70" s="501">
        <v>0</v>
      </c>
      <c r="I70" s="501">
        <v>0</v>
      </c>
      <c r="J70" s="501">
        <v>0</v>
      </c>
    </row>
    <row r="71" spans="1:22" s="472" customFormat="1" ht="12">
      <c r="A71" s="2270"/>
      <c r="B71" s="500" t="s">
        <v>30</v>
      </c>
      <c r="C71" s="501">
        <f t="shared" si="21"/>
        <v>338</v>
      </c>
      <c r="D71" s="501">
        <v>338</v>
      </c>
      <c r="E71" s="501">
        <v>0</v>
      </c>
      <c r="F71" s="501">
        <v>0</v>
      </c>
      <c r="G71" s="501">
        <v>0</v>
      </c>
      <c r="H71" s="501">
        <v>0</v>
      </c>
      <c r="I71" s="501">
        <v>0</v>
      </c>
      <c r="J71" s="501">
        <v>0</v>
      </c>
    </row>
    <row r="72" spans="1:22" s="472" customFormat="1" ht="12">
      <c r="A72" s="2270"/>
      <c r="B72" s="500" t="s">
        <v>31</v>
      </c>
      <c r="C72" s="501">
        <f t="shared" si="21"/>
        <v>355</v>
      </c>
      <c r="D72" s="501">
        <v>355</v>
      </c>
      <c r="E72" s="501">
        <v>0</v>
      </c>
      <c r="F72" s="501">
        <v>0</v>
      </c>
      <c r="G72" s="501">
        <v>0</v>
      </c>
      <c r="H72" s="501">
        <v>0</v>
      </c>
      <c r="I72" s="501">
        <v>0</v>
      </c>
      <c r="J72" s="501">
        <v>0</v>
      </c>
    </row>
    <row r="73" spans="1:22" s="472" customFormat="1" ht="12">
      <c r="A73" s="2270"/>
      <c r="B73" s="500" t="s">
        <v>32</v>
      </c>
      <c r="C73" s="501">
        <f t="shared" si="21"/>
        <v>336</v>
      </c>
      <c r="D73" s="501">
        <v>336</v>
      </c>
      <c r="E73" s="501">
        <v>0</v>
      </c>
      <c r="F73" s="501">
        <v>0</v>
      </c>
      <c r="G73" s="501">
        <v>0</v>
      </c>
      <c r="H73" s="501">
        <v>0</v>
      </c>
      <c r="I73" s="501">
        <v>0</v>
      </c>
      <c r="J73" s="501">
        <v>0</v>
      </c>
    </row>
    <row r="74" spans="1:22" s="472" customFormat="1" ht="12">
      <c r="A74" s="2270"/>
      <c r="B74" s="500" t="s">
        <v>33</v>
      </c>
      <c r="C74" s="501">
        <f t="shared" si="21"/>
        <v>378</v>
      </c>
      <c r="D74" s="501">
        <v>378</v>
      </c>
      <c r="E74" s="501">
        <v>0</v>
      </c>
      <c r="F74" s="501">
        <v>0</v>
      </c>
      <c r="G74" s="501">
        <v>0</v>
      </c>
      <c r="H74" s="501">
        <v>0</v>
      </c>
      <c r="I74" s="501">
        <v>0</v>
      </c>
      <c r="J74" s="501">
        <v>0</v>
      </c>
    </row>
    <row r="75" spans="1:22" s="472" customFormat="1" ht="12">
      <c r="A75" s="2270"/>
      <c r="B75" s="500" t="s">
        <v>34</v>
      </c>
      <c r="C75" s="501">
        <f t="shared" si="21"/>
        <v>407</v>
      </c>
      <c r="D75" s="501">
        <v>407</v>
      </c>
      <c r="E75" s="501">
        <v>0</v>
      </c>
      <c r="F75" s="501">
        <v>0</v>
      </c>
      <c r="G75" s="501">
        <v>0</v>
      </c>
      <c r="H75" s="501">
        <v>0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512</v>
      </c>
      <c r="C76" s="507">
        <f t="shared" ref="C76:J76" si="22">SUM(C64:C75)</f>
        <v>4024</v>
      </c>
      <c r="D76" s="507">
        <f t="shared" si="22"/>
        <v>4024</v>
      </c>
      <c r="E76" s="507">
        <f t="shared" si="22"/>
        <v>0</v>
      </c>
      <c r="F76" s="507">
        <f t="shared" si="22"/>
        <v>0</v>
      </c>
      <c r="G76" s="507">
        <f t="shared" si="22"/>
        <v>0</v>
      </c>
      <c r="H76" s="507">
        <f t="shared" si="22"/>
        <v>0</v>
      </c>
      <c r="I76" s="507">
        <f t="shared" si="22"/>
        <v>0</v>
      </c>
      <c r="J76" s="508">
        <f t="shared" si="22"/>
        <v>0</v>
      </c>
    </row>
    <row r="77" spans="1:22" s="472" customFormat="1" ht="12">
      <c r="A77" s="2269" t="s">
        <v>286</v>
      </c>
      <c r="B77" s="496" t="s">
        <v>538</v>
      </c>
      <c r="C77" s="497">
        <f t="shared" ref="C77:C88" si="23">SUM(D77:J77)</f>
        <v>377</v>
      </c>
      <c r="D77" s="497">
        <v>377</v>
      </c>
      <c r="E77" s="497">
        <v>0</v>
      </c>
      <c r="F77" s="497">
        <v>0</v>
      </c>
      <c r="G77" s="497">
        <v>0</v>
      </c>
      <c r="H77" s="497">
        <v>0</v>
      </c>
      <c r="I77" s="497">
        <v>0</v>
      </c>
      <c r="J77" s="497">
        <v>0</v>
      </c>
    </row>
    <row r="78" spans="1:22" s="472" customFormat="1" ht="12">
      <c r="A78" s="2270"/>
      <c r="B78" s="500" t="s">
        <v>539</v>
      </c>
      <c r="C78" s="501">
        <f t="shared" si="23"/>
        <v>355</v>
      </c>
      <c r="D78" s="501">
        <v>355</v>
      </c>
      <c r="E78" s="501">
        <v>0</v>
      </c>
      <c r="F78" s="501">
        <v>0</v>
      </c>
      <c r="G78" s="501">
        <v>0</v>
      </c>
      <c r="H78" s="501">
        <v>0</v>
      </c>
      <c r="I78" s="501">
        <v>0</v>
      </c>
      <c r="J78" s="501">
        <v>0</v>
      </c>
    </row>
    <row r="79" spans="1:22" s="472" customFormat="1" ht="12">
      <c r="A79" s="2270"/>
      <c r="B79" s="500" t="s">
        <v>39</v>
      </c>
      <c r="C79" s="501">
        <f t="shared" si="23"/>
        <v>327</v>
      </c>
      <c r="D79" s="501">
        <v>327</v>
      </c>
      <c r="E79" s="501">
        <v>0</v>
      </c>
      <c r="F79" s="501">
        <v>0</v>
      </c>
      <c r="G79" s="501">
        <v>0</v>
      </c>
      <c r="H79" s="501">
        <v>0</v>
      </c>
      <c r="I79" s="501">
        <v>0</v>
      </c>
      <c r="J79" s="501">
        <v>0</v>
      </c>
    </row>
    <row r="80" spans="1:22" s="472" customFormat="1" ht="12">
      <c r="A80" s="2270"/>
      <c r="B80" s="500" t="s">
        <v>40</v>
      </c>
      <c r="C80" s="501">
        <f t="shared" si="23"/>
        <v>353</v>
      </c>
      <c r="D80" s="501">
        <v>353</v>
      </c>
      <c r="E80" s="501">
        <v>0</v>
      </c>
      <c r="F80" s="501">
        <v>0</v>
      </c>
      <c r="G80" s="501">
        <v>0</v>
      </c>
      <c r="H80" s="501">
        <v>0</v>
      </c>
      <c r="I80" s="501">
        <v>0</v>
      </c>
      <c r="J80" s="501">
        <v>0</v>
      </c>
    </row>
    <row r="81" spans="1:10" s="472" customFormat="1" ht="12">
      <c r="A81" s="2270"/>
      <c r="B81" s="500" t="s">
        <v>41</v>
      </c>
      <c r="C81" s="501">
        <f t="shared" si="23"/>
        <v>260</v>
      </c>
      <c r="D81" s="501">
        <v>260</v>
      </c>
      <c r="E81" s="501">
        <v>0</v>
      </c>
      <c r="F81" s="501">
        <v>0</v>
      </c>
      <c r="G81" s="501">
        <v>0</v>
      </c>
      <c r="H81" s="501">
        <v>0</v>
      </c>
      <c r="I81" s="501">
        <v>0</v>
      </c>
      <c r="J81" s="501">
        <v>0</v>
      </c>
    </row>
    <row r="82" spans="1:10" s="472" customFormat="1" ht="12">
      <c r="A82" s="2270"/>
      <c r="B82" s="500" t="s">
        <v>28</v>
      </c>
      <c r="C82" s="501">
        <f t="shared" si="23"/>
        <v>233</v>
      </c>
      <c r="D82" s="501">
        <v>233</v>
      </c>
      <c r="E82" s="501">
        <v>0</v>
      </c>
      <c r="F82" s="501">
        <v>0</v>
      </c>
      <c r="G82" s="501">
        <v>0</v>
      </c>
      <c r="H82" s="501">
        <v>0</v>
      </c>
      <c r="I82" s="501">
        <v>0</v>
      </c>
      <c r="J82" s="501">
        <v>0</v>
      </c>
    </row>
    <row r="83" spans="1:10" s="472" customFormat="1" ht="12">
      <c r="A83" s="2270"/>
      <c r="B83" s="500" t="s">
        <v>29</v>
      </c>
      <c r="C83" s="501">
        <f t="shared" si="23"/>
        <v>396</v>
      </c>
      <c r="D83" s="501">
        <v>396</v>
      </c>
      <c r="E83" s="501">
        <v>0</v>
      </c>
      <c r="F83" s="501">
        <v>0</v>
      </c>
      <c r="G83" s="501">
        <v>0</v>
      </c>
      <c r="H83" s="501">
        <v>0</v>
      </c>
      <c r="I83" s="501">
        <v>0</v>
      </c>
      <c r="J83" s="501">
        <v>0</v>
      </c>
    </row>
    <row r="84" spans="1:10" s="472" customFormat="1" ht="12">
      <c r="A84" s="2270"/>
      <c r="B84" s="500" t="s">
        <v>30</v>
      </c>
      <c r="C84" s="501">
        <f t="shared" si="23"/>
        <v>411</v>
      </c>
      <c r="D84" s="501">
        <v>411</v>
      </c>
      <c r="E84" s="501">
        <v>0</v>
      </c>
      <c r="F84" s="501">
        <v>0</v>
      </c>
      <c r="G84" s="501">
        <v>0</v>
      </c>
      <c r="H84" s="501">
        <v>0</v>
      </c>
      <c r="I84" s="501">
        <v>0</v>
      </c>
      <c r="J84" s="501">
        <v>0</v>
      </c>
    </row>
    <row r="85" spans="1:10" s="472" customFormat="1" ht="12">
      <c r="A85" s="2270"/>
      <c r="B85" s="500" t="s">
        <v>31</v>
      </c>
      <c r="C85" s="501">
        <f t="shared" si="23"/>
        <v>310</v>
      </c>
      <c r="D85" s="501">
        <v>310</v>
      </c>
      <c r="E85" s="501">
        <v>0</v>
      </c>
      <c r="F85" s="501">
        <v>0</v>
      </c>
      <c r="G85" s="501">
        <v>0</v>
      </c>
      <c r="H85" s="501">
        <v>0</v>
      </c>
      <c r="I85" s="501">
        <v>0</v>
      </c>
      <c r="J85" s="501">
        <v>0</v>
      </c>
    </row>
    <row r="86" spans="1:10" s="472" customFormat="1" ht="12">
      <c r="A86" s="2270"/>
      <c r="B86" s="500" t="s">
        <v>32</v>
      </c>
      <c r="C86" s="501">
        <f t="shared" si="23"/>
        <v>338</v>
      </c>
      <c r="D86" s="501">
        <v>338</v>
      </c>
      <c r="E86" s="501">
        <v>0</v>
      </c>
      <c r="F86" s="501">
        <v>0</v>
      </c>
      <c r="G86" s="501">
        <v>0</v>
      </c>
      <c r="H86" s="501">
        <v>0</v>
      </c>
      <c r="I86" s="501">
        <v>0</v>
      </c>
      <c r="J86" s="501">
        <v>0</v>
      </c>
    </row>
    <row r="87" spans="1:10" s="472" customFormat="1" ht="12">
      <c r="A87" s="2270"/>
      <c r="B87" s="500" t="s">
        <v>33</v>
      </c>
      <c r="C87" s="501">
        <f t="shared" si="23"/>
        <v>380</v>
      </c>
      <c r="D87" s="501">
        <v>380</v>
      </c>
      <c r="E87" s="501">
        <v>0</v>
      </c>
      <c r="F87" s="501">
        <v>0</v>
      </c>
      <c r="G87" s="501">
        <v>0</v>
      </c>
      <c r="H87" s="501">
        <v>0</v>
      </c>
      <c r="I87" s="501">
        <v>0</v>
      </c>
      <c r="J87" s="501">
        <v>0</v>
      </c>
    </row>
    <row r="88" spans="1:10" s="472" customFormat="1" ht="12">
      <c r="A88" s="2270"/>
      <c r="B88" s="500" t="s">
        <v>34</v>
      </c>
      <c r="C88" s="501">
        <f t="shared" si="23"/>
        <v>406</v>
      </c>
      <c r="D88" s="501">
        <v>406</v>
      </c>
      <c r="E88" s="501">
        <v>0</v>
      </c>
      <c r="F88" s="501">
        <v>0</v>
      </c>
      <c r="G88" s="501">
        <v>0</v>
      </c>
      <c r="H88" s="501">
        <v>0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512</v>
      </c>
      <c r="C89" s="507">
        <f t="shared" ref="C89:J89" si="24">SUM(C77:C88)</f>
        <v>4146</v>
      </c>
      <c r="D89" s="507">
        <f t="shared" si="24"/>
        <v>4146</v>
      </c>
      <c r="E89" s="507">
        <f t="shared" si="24"/>
        <v>0</v>
      </c>
      <c r="F89" s="507">
        <f t="shared" si="24"/>
        <v>0</v>
      </c>
      <c r="G89" s="507">
        <f t="shared" si="24"/>
        <v>0</v>
      </c>
      <c r="H89" s="507">
        <f t="shared" si="24"/>
        <v>0</v>
      </c>
      <c r="I89" s="507">
        <f t="shared" si="24"/>
        <v>0</v>
      </c>
      <c r="J89" s="508">
        <f t="shared" si="24"/>
        <v>0</v>
      </c>
    </row>
    <row r="90" spans="1:10" s="472" customFormat="1" ht="12">
      <c r="A90" s="2269" t="s">
        <v>1524</v>
      </c>
      <c r="B90" s="496" t="s">
        <v>538</v>
      </c>
      <c r="C90" s="497">
        <f t="shared" ref="C90:C101" si="25">SUM(D90:J90)</f>
        <v>388</v>
      </c>
      <c r="D90" s="497">
        <v>388</v>
      </c>
      <c r="E90" s="497">
        <v>0</v>
      </c>
      <c r="F90" s="497">
        <v>0</v>
      </c>
      <c r="G90" s="497">
        <v>0</v>
      </c>
      <c r="H90" s="497">
        <v>0</v>
      </c>
      <c r="I90" s="497">
        <v>0</v>
      </c>
      <c r="J90" s="497">
        <v>0</v>
      </c>
    </row>
    <row r="91" spans="1:10" s="472" customFormat="1" ht="12">
      <c r="A91" s="2270"/>
      <c r="B91" s="500" t="s">
        <v>539</v>
      </c>
      <c r="C91" s="501">
        <f t="shared" si="25"/>
        <v>350</v>
      </c>
      <c r="D91" s="501">
        <v>350</v>
      </c>
      <c r="E91" s="501">
        <v>0</v>
      </c>
      <c r="F91" s="501">
        <v>0</v>
      </c>
      <c r="G91" s="501">
        <v>0</v>
      </c>
      <c r="H91" s="501">
        <v>0</v>
      </c>
      <c r="I91" s="501">
        <v>0</v>
      </c>
      <c r="J91" s="501">
        <v>0</v>
      </c>
    </row>
    <row r="92" spans="1:10" s="472" customFormat="1" ht="12">
      <c r="A92" s="2270"/>
      <c r="B92" s="500" t="s">
        <v>39</v>
      </c>
      <c r="C92" s="501">
        <f t="shared" si="25"/>
        <v>277</v>
      </c>
      <c r="D92" s="501">
        <v>277</v>
      </c>
      <c r="E92" s="501">
        <v>0</v>
      </c>
      <c r="F92" s="501">
        <v>0</v>
      </c>
      <c r="G92" s="501">
        <v>0</v>
      </c>
      <c r="H92" s="501">
        <v>0</v>
      </c>
      <c r="I92" s="501">
        <v>0</v>
      </c>
      <c r="J92" s="501">
        <v>0</v>
      </c>
    </row>
    <row r="93" spans="1:10" s="472" customFormat="1" ht="12">
      <c r="A93" s="2270"/>
      <c r="B93" s="500" t="s">
        <v>40</v>
      </c>
      <c r="C93" s="501">
        <f t="shared" si="25"/>
        <v>237</v>
      </c>
      <c r="D93" s="501">
        <v>237</v>
      </c>
      <c r="E93" s="501">
        <v>0</v>
      </c>
      <c r="F93" s="501">
        <v>0</v>
      </c>
      <c r="G93" s="501">
        <v>0</v>
      </c>
      <c r="H93" s="501">
        <v>0</v>
      </c>
      <c r="I93" s="501">
        <v>0</v>
      </c>
      <c r="J93" s="501">
        <v>0</v>
      </c>
    </row>
    <row r="94" spans="1:10" s="472" customFormat="1" ht="12">
      <c r="A94" s="2270"/>
      <c r="B94" s="500" t="s">
        <v>41</v>
      </c>
      <c r="C94" s="501">
        <f t="shared" si="25"/>
        <v>246</v>
      </c>
      <c r="D94" s="501">
        <v>246</v>
      </c>
      <c r="E94" s="501">
        <v>0</v>
      </c>
      <c r="F94" s="501">
        <v>0</v>
      </c>
      <c r="G94" s="501">
        <v>0</v>
      </c>
      <c r="H94" s="501">
        <v>0</v>
      </c>
      <c r="I94" s="501">
        <v>0</v>
      </c>
      <c r="J94" s="501">
        <v>0</v>
      </c>
    </row>
    <row r="95" spans="1:10" s="472" customFormat="1" ht="12">
      <c r="A95" s="2270"/>
      <c r="B95" s="500" t="s">
        <v>28</v>
      </c>
      <c r="C95" s="501">
        <f t="shared" si="25"/>
        <v>303</v>
      </c>
      <c r="D95" s="501">
        <v>303</v>
      </c>
      <c r="E95" s="501">
        <v>0</v>
      </c>
      <c r="F95" s="501">
        <v>0</v>
      </c>
      <c r="G95" s="501">
        <v>0</v>
      </c>
      <c r="H95" s="501">
        <v>0</v>
      </c>
      <c r="I95" s="501">
        <v>0</v>
      </c>
      <c r="J95" s="501">
        <v>0</v>
      </c>
    </row>
    <row r="96" spans="1:10" s="472" customFormat="1" ht="12">
      <c r="A96" s="2270"/>
      <c r="B96" s="500" t="s">
        <v>29</v>
      </c>
      <c r="C96" s="501">
        <f t="shared" si="25"/>
        <v>388</v>
      </c>
      <c r="D96" s="501">
        <v>388</v>
      </c>
      <c r="E96" s="501">
        <v>0</v>
      </c>
      <c r="F96" s="501">
        <v>0</v>
      </c>
      <c r="G96" s="501">
        <v>0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500" t="s">
        <v>30</v>
      </c>
      <c r="C97" s="501">
        <f t="shared" si="25"/>
        <v>378</v>
      </c>
      <c r="D97" s="501">
        <v>378</v>
      </c>
      <c r="E97" s="501">
        <v>0</v>
      </c>
      <c r="F97" s="501">
        <v>0</v>
      </c>
      <c r="G97" s="501">
        <v>0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500" t="s">
        <v>31</v>
      </c>
      <c r="C98" s="501">
        <f t="shared" si="25"/>
        <v>493</v>
      </c>
      <c r="D98" s="501">
        <v>493</v>
      </c>
      <c r="E98" s="501">
        <v>0</v>
      </c>
      <c r="F98" s="501">
        <v>0</v>
      </c>
      <c r="G98" s="501">
        <v>0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500" t="s">
        <v>32</v>
      </c>
      <c r="C99" s="501">
        <f t="shared" si="25"/>
        <v>460</v>
      </c>
      <c r="D99" s="501">
        <v>460</v>
      </c>
      <c r="E99" s="501">
        <v>0</v>
      </c>
      <c r="F99" s="501">
        <v>0</v>
      </c>
      <c r="G99" s="501">
        <v>0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500" t="s">
        <v>33</v>
      </c>
      <c r="C100" s="501">
        <f t="shared" si="25"/>
        <v>341</v>
      </c>
      <c r="D100" s="501">
        <v>341</v>
      </c>
      <c r="E100" s="501">
        <v>0</v>
      </c>
      <c r="F100" s="501">
        <v>0</v>
      </c>
      <c r="G100" s="501">
        <v>0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500" t="s">
        <v>34</v>
      </c>
      <c r="C101" s="501">
        <f t="shared" si="25"/>
        <v>362</v>
      </c>
      <c r="D101" s="501">
        <v>362</v>
      </c>
      <c r="E101" s="501">
        <v>0</v>
      </c>
      <c r="F101" s="501">
        <v>0</v>
      </c>
      <c r="G101" s="501">
        <v>0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512</v>
      </c>
      <c r="C102" s="507">
        <f t="shared" ref="C102:J102" si="26">SUM(C90:C101)</f>
        <v>4223</v>
      </c>
      <c r="D102" s="507">
        <f t="shared" si="26"/>
        <v>4223</v>
      </c>
      <c r="E102" s="507">
        <f t="shared" si="26"/>
        <v>0</v>
      </c>
      <c r="F102" s="507">
        <f t="shared" si="26"/>
        <v>0</v>
      </c>
      <c r="G102" s="507">
        <f t="shared" si="26"/>
        <v>0</v>
      </c>
      <c r="H102" s="507">
        <f t="shared" si="26"/>
        <v>0</v>
      </c>
      <c r="I102" s="507">
        <f t="shared" si="26"/>
        <v>0</v>
      </c>
      <c r="J102" s="508">
        <f t="shared" si="26"/>
        <v>0</v>
      </c>
    </row>
    <row r="103" spans="1:11" s="472" customFormat="1" ht="12">
      <c r="A103" s="2269"/>
      <c r="B103" s="49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500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500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500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500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500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500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500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500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500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500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500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1549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475" t="s">
        <v>512</v>
      </c>
      <c r="D4" s="475" t="s">
        <v>513</v>
      </c>
      <c r="E4" s="475" t="s">
        <v>514</v>
      </c>
      <c r="F4" s="475" t="s">
        <v>515</v>
      </c>
      <c r="G4" s="475" t="s">
        <v>516</v>
      </c>
      <c r="H4" s="475" t="s">
        <v>517</v>
      </c>
      <c r="I4" s="475" t="s">
        <v>518</v>
      </c>
      <c r="J4" s="476" t="s">
        <v>519</v>
      </c>
      <c r="K4" s="477" t="s">
        <v>520</v>
      </c>
      <c r="L4" s="477" t="s">
        <v>512</v>
      </c>
      <c r="M4" s="477" t="s">
        <v>513</v>
      </c>
      <c r="N4" s="477" t="s">
        <v>521</v>
      </c>
      <c r="O4" s="477" t="s">
        <v>522</v>
      </c>
      <c r="P4" s="477" t="s">
        <v>523</v>
      </c>
      <c r="R4" s="477" t="s">
        <v>524</v>
      </c>
    </row>
    <row r="5" spans="1:18" s="472" customFormat="1" ht="12">
      <c r="A5" s="2265" t="s">
        <v>67</v>
      </c>
      <c r="B5" s="2266"/>
      <c r="C5" s="478">
        <f t="shared" ref="C5:C10" si="0">SUM(D5:J5)</f>
        <v>33.460273972602742</v>
      </c>
      <c r="D5" s="478">
        <f t="shared" ref="D5:J10" si="1">+D15/365</f>
        <v>31.717808219178082</v>
      </c>
      <c r="E5" s="478">
        <f t="shared" si="1"/>
        <v>0</v>
      </c>
      <c r="F5" s="478">
        <f t="shared" si="1"/>
        <v>0</v>
      </c>
      <c r="G5" s="478">
        <f t="shared" si="1"/>
        <v>1.7424657534246575</v>
      </c>
      <c r="H5" s="478">
        <f t="shared" si="1"/>
        <v>0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31.717808219178085</v>
      </c>
      <c r="M5" s="481">
        <f t="shared" ref="M5:M10" si="3">D5</f>
        <v>31.717808219178082</v>
      </c>
      <c r="N5" s="481">
        <f t="shared" ref="N5:N10" si="4">L5-M5</f>
        <v>0</v>
      </c>
      <c r="O5" s="482" t="e">
        <f t="shared" ref="O5:O10" si="5">ROUND(L5/K5*1000,0)</f>
        <v>#DIV/0!</v>
      </c>
      <c r="P5" s="483">
        <f t="shared" ref="P5:P10" si="6">ROUND(N5/L5*100,1)</f>
        <v>0</v>
      </c>
      <c r="R5" s="481">
        <f t="shared" ref="R5:R10" si="7">C5-L5</f>
        <v>1.742465753424657</v>
      </c>
    </row>
    <row r="6" spans="1:18" s="472" customFormat="1" ht="12">
      <c r="A6" s="2265" t="s">
        <v>1526</v>
      </c>
      <c r="B6" s="2266"/>
      <c r="C6" s="478">
        <f t="shared" si="0"/>
        <v>33.904109589041099</v>
      </c>
      <c r="D6" s="478">
        <f t="shared" si="1"/>
        <v>26.545205479452054</v>
      </c>
      <c r="E6" s="478">
        <f t="shared" si="1"/>
        <v>0</v>
      </c>
      <c r="F6" s="478">
        <f t="shared" si="1"/>
        <v>0</v>
      </c>
      <c r="G6" s="478">
        <f t="shared" si="1"/>
        <v>7.3589041095890408</v>
      </c>
      <c r="H6" s="478">
        <f t="shared" si="1"/>
        <v>0</v>
      </c>
      <c r="I6" s="478">
        <f t="shared" si="1"/>
        <v>0</v>
      </c>
      <c r="J6" s="479">
        <f t="shared" si="1"/>
        <v>0</v>
      </c>
      <c r="K6" s="480"/>
      <c r="L6" s="481">
        <f t="shared" si="2"/>
        <v>26.545205479452058</v>
      </c>
      <c r="M6" s="481">
        <f t="shared" si="3"/>
        <v>26.545205479452054</v>
      </c>
      <c r="N6" s="481">
        <f t="shared" si="4"/>
        <v>0</v>
      </c>
      <c r="O6" s="482" t="e">
        <f t="shared" si="5"/>
        <v>#DIV/0!</v>
      </c>
      <c r="P6" s="483">
        <f t="shared" si="6"/>
        <v>0</v>
      </c>
      <c r="R6" s="481">
        <f t="shared" si="7"/>
        <v>7.3589041095890408</v>
      </c>
    </row>
    <row r="7" spans="1:18" s="472" customFormat="1" ht="12">
      <c r="A7" s="2261" t="s">
        <v>1527</v>
      </c>
      <c r="B7" s="2262"/>
      <c r="C7" s="479">
        <f t="shared" si="0"/>
        <v>36.030136986301372</v>
      </c>
      <c r="D7" s="484">
        <f t="shared" si="1"/>
        <v>26.641095890410959</v>
      </c>
      <c r="E7" s="484">
        <f t="shared" si="1"/>
        <v>0</v>
      </c>
      <c r="F7" s="484">
        <f t="shared" si="1"/>
        <v>0</v>
      </c>
      <c r="G7" s="484">
        <f t="shared" si="1"/>
        <v>9.3890410958904109</v>
      </c>
      <c r="H7" s="484">
        <f t="shared" si="1"/>
        <v>0</v>
      </c>
      <c r="I7" s="484">
        <f t="shared" si="1"/>
        <v>0</v>
      </c>
      <c r="J7" s="485">
        <f t="shared" si="1"/>
        <v>0</v>
      </c>
      <c r="K7" s="480"/>
      <c r="L7" s="481">
        <f t="shared" si="2"/>
        <v>26.641095890410959</v>
      </c>
      <c r="M7" s="481">
        <f t="shared" si="3"/>
        <v>26.641095890410959</v>
      </c>
      <c r="N7" s="481">
        <f t="shared" si="4"/>
        <v>0</v>
      </c>
      <c r="O7" s="482" t="e">
        <f t="shared" si="5"/>
        <v>#DIV/0!</v>
      </c>
      <c r="P7" s="483">
        <f t="shared" si="6"/>
        <v>0</v>
      </c>
      <c r="R7" s="481">
        <f t="shared" si="7"/>
        <v>9.3890410958904127</v>
      </c>
    </row>
    <row r="8" spans="1:18" s="472" customFormat="1" ht="12">
      <c r="A8" s="2261" t="s">
        <v>1528</v>
      </c>
      <c r="B8" s="2262"/>
      <c r="C8" s="479">
        <f t="shared" si="0"/>
        <v>42.386301369863013</v>
      </c>
      <c r="D8" s="484">
        <f t="shared" si="1"/>
        <v>27.202739726027396</v>
      </c>
      <c r="E8" s="484">
        <f t="shared" si="1"/>
        <v>0</v>
      </c>
      <c r="F8" s="484">
        <f t="shared" si="1"/>
        <v>0</v>
      </c>
      <c r="G8" s="484">
        <f t="shared" si="1"/>
        <v>15.183561643835617</v>
      </c>
      <c r="H8" s="484">
        <f t="shared" si="1"/>
        <v>0</v>
      </c>
      <c r="I8" s="484">
        <f t="shared" si="1"/>
        <v>0</v>
      </c>
      <c r="J8" s="485">
        <f t="shared" si="1"/>
        <v>0</v>
      </c>
      <c r="K8" s="480"/>
      <c r="L8" s="481">
        <f t="shared" si="2"/>
        <v>27.202739726027396</v>
      </c>
      <c r="M8" s="481">
        <f t="shared" si="3"/>
        <v>27.202739726027396</v>
      </c>
      <c r="N8" s="481">
        <f t="shared" si="4"/>
        <v>0</v>
      </c>
      <c r="O8" s="482" t="e">
        <f t="shared" si="5"/>
        <v>#DIV/0!</v>
      </c>
      <c r="P8" s="483">
        <f t="shared" si="6"/>
        <v>0</v>
      </c>
      <c r="R8" s="481">
        <f t="shared" si="7"/>
        <v>15.183561643835617</v>
      </c>
    </row>
    <row r="9" spans="1:18" s="472" customFormat="1" ht="12">
      <c r="A9" s="2261" t="s">
        <v>1529</v>
      </c>
      <c r="B9" s="2262"/>
      <c r="C9" s="479">
        <f t="shared" si="0"/>
        <v>37.082191780821915</v>
      </c>
      <c r="D9" s="484">
        <f t="shared" si="1"/>
        <v>27.717808219178082</v>
      </c>
      <c r="E9" s="484">
        <f t="shared" si="1"/>
        <v>0</v>
      </c>
      <c r="F9" s="484">
        <f t="shared" si="1"/>
        <v>0</v>
      </c>
      <c r="G9" s="484">
        <f t="shared" si="1"/>
        <v>9.3643835616438356</v>
      </c>
      <c r="H9" s="484">
        <f t="shared" si="1"/>
        <v>0</v>
      </c>
      <c r="I9" s="484">
        <f t="shared" si="1"/>
        <v>0</v>
      </c>
      <c r="J9" s="485">
        <f t="shared" si="1"/>
        <v>0</v>
      </c>
      <c r="K9" s="480"/>
      <c r="L9" s="481">
        <f t="shared" si="2"/>
        <v>27.717808219178082</v>
      </c>
      <c r="M9" s="481">
        <f t="shared" si="3"/>
        <v>27.717808219178082</v>
      </c>
      <c r="N9" s="481">
        <f t="shared" si="4"/>
        <v>0</v>
      </c>
      <c r="O9" s="482" t="e">
        <f t="shared" si="5"/>
        <v>#DIV/0!</v>
      </c>
      <c r="P9" s="483">
        <f t="shared" si="6"/>
        <v>0</v>
      </c>
      <c r="R9" s="481">
        <f t="shared" si="7"/>
        <v>9.3643835616438338</v>
      </c>
    </row>
    <row r="10" spans="1:18" s="472" customFormat="1" ht="12">
      <c r="A10" s="2261" t="s">
        <v>1530</v>
      </c>
      <c r="B10" s="2262"/>
      <c r="C10" s="479">
        <f t="shared" si="0"/>
        <v>27.616438356164384</v>
      </c>
      <c r="D10" s="484">
        <f>+D20/365</f>
        <v>24.926027397260274</v>
      </c>
      <c r="E10" s="484">
        <f t="shared" si="1"/>
        <v>0</v>
      </c>
      <c r="F10" s="484">
        <f t="shared" si="1"/>
        <v>0</v>
      </c>
      <c r="G10" s="484">
        <f t="shared" si="1"/>
        <v>2.6904109589041094</v>
      </c>
      <c r="H10" s="484">
        <f>+H20/365</f>
        <v>0</v>
      </c>
      <c r="I10" s="484">
        <f>+I20/365</f>
        <v>0</v>
      </c>
      <c r="J10" s="485">
        <f>+J20/365</f>
        <v>0</v>
      </c>
      <c r="K10" s="480"/>
      <c r="L10" s="481">
        <f t="shared" si="2"/>
        <v>24.926027397260274</v>
      </c>
      <c r="M10" s="481">
        <f t="shared" si="3"/>
        <v>24.926027397260274</v>
      </c>
      <c r="N10" s="481">
        <f t="shared" si="4"/>
        <v>0</v>
      </c>
      <c r="O10" s="482" t="e">
        <f t="shared" si="5"/>
        <v>#DIV/0!</v>
      </c>
      <c r="P10" s="483">
        <f t="shared" si="6"/>
        <v>0</v>
      </c>
      <c r="R10" s="481">
        <f t="shared" si="7"/>
        <v>2.6904109589041099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525</v>
      </c>
      <c r="C13" s="473"/>
      <c r="D13" s="473"/>
      <c r="E13" s="473"/>
      <c r="F13" s="473"/>
      <c r="G13" s="473"/>
      <c r="H13" s="473"/>
      <c r="I13" s="473"/>
      <c r="J13" s="474" t="s">
        <v>526</v>
      </c>
    </row>
    <row r="14" spans="1:18" s="472" customFormat="1" ht="12.75" thickBot="1">
      <c r="A14" s="2263" t="s">
        <v>527</v>
      </c>
      <c r="B14" s="2264"/>
      <c r="C14" s="475" t="s">
        <v>528</v>
      </c>
      <c r="D14" s="475" t="s">
        <v>529</v>
      </c>
      <c r="E14" s="475" t="s">
        <v>530</v>
      </c>
      <c r="F14" s="475" t="s">
        <v>531</v>
      </c>
      <c r="G14" s="475" t="s">
        <v>532</v>
      </c>
      <c r="H14" s="475" t="s">
        <v>533</v>
      </c>
      <c r="I14" s="475" t="s">
        <v>534</v>
      </c>
      <c r="J14" s="489" t="s">
        <v>535</v>
      </c>
      <c r="L14" s="490"/>
      <c r="M14" s="490"/>
      <c r="N14" s="490"/>
      <c r="O14" s="490"/>
      <c r="P14" s="490"/>
    </row>
    <row r="15" spans="1:18" s="472" customFormat="1" ht="12">
      <c r="A15" s="2265" t="s">
        <v>67</v>
      </c>
      <c r="B15" s="2266"/>
      <c r="C15" s="478">
        <f t="shared" ref="C15:C20" si="8">SUM(D15:J15)</f>
        <v>12213</v>
      </c>
      <c r="D15" s="478">
        <f>+D37</f>
        <v>11577</v>
      </c>
      <c r="E15" s="478">
        <f t="shared" ref="E15:J15" si="9">+E37</f>
        <v>0</v>
      </c>
      <c r="F15" s="478">
        <f t="shared" si="9"/>
        <v>0</v>
      </c>
      <c r="G15" s="478">
        <f t="shared" si="9"/>
        <v>636</v>
      </c>
      <c r="H15" s="478">
        <f t="shared" si="9"/>
        <v>0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1526</v>
      </c>
      <c r="B16" s="2266"/>
      <c r="C16" s="478">
        <f t="shared" si="8"/>
        <v>12375</v>
      </c>
      <c r="D16" s="478">
        <f t="shared" ref="D16:J16" si="10">+D50</f>
        <v>9689</v>
      </c>
      <c r="E16" s="478">
        <f t="shared" si="10"/>
        <v>0</v>
      </c>
      <c r="F16" s="478">
        <f t="shared" si="10"/>
        <v>0</v>
      </c>
      <c r="G16" s="478">
        <f t="shared" si="10"/>
        <v>2686</v>
      </c>
      <c r="H16" s="478">
        <f t="shared" si="10"/>
        <v>0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1527</v>
      </c>
      <c r="B17" s="2262"/>
      <c r="C17" s="478">
        <f t="shared" si="8"/>
        <v>13151</v>
      </c>
      <c r="D17" s="478">
        <f t="shared" ref="D17:J17" si="11">+D63</f>
        <v>9724</v>
      </c>
      <c r="E17" s="478">
        <f t="shared" si="11"/>
        <v>0</v>
      </c>
      <c r="F17" s="478">
        <f t="shared" si="11"/>
        <v>0</v>
      </c>
      <c r="G17" s="478">
        <f t="shared" si="11"/>
        <v>3427</v>
      </c>
      <c r="H17" s="478">
        <f t="shared" si="11"/>
        <v>0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1528</v>
      </c>
      <c r="B18" s="2262"/>
      <c r="C18" s="478">
        <f t="shared" si="8"/>
        <v>15471</v>
      </c>
      <c r="D18" s="478">
        <f t="shared" ref="D18:J18" si="12">+D76</f>
        <v>9929</v>
      </c>
      <c r="E18" s="478">
        <f t="shared" si="12"/>
        <v>0</v>
      </c>
      <c r="F18" s="478">
        <f t="shared" si="12"/>
        <v>0</v>
      </c>
      <c r="G18" s="478">
        <f t="shared" si="12"/>
        <v>5542</v>
      </c>
      <c r="H18" s="478">
        <f t="shared" si="12"/>
        <v>0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1529</v>
      </c>
      <c r="B19" s="2262"/>
      <c r="C19" s="478">
        <f t="shared" si="8"/>
        <v>13535</v>
      </c>
      <c r="D19" s="478">
        <f t="shared" ref="D19:J19" si="13">+D89</f>
        <v>10117</v>
      </c>
      <c r="E19" s="478">
        <f t="shared" si="13"/>
        <v>0</v>
      </c>
      <c r="F19" s="478">
        <f t="shared" si="13"/>
        <v>0</v>
      </c>
      <c r="G19" s="478">
        <f t="shared" si="13"/>
        <v>3418</v>
      </c>
      <c r="H19" s="478">
        <f t="shared" si="13"/>
        <v>0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1530</v>
      </c>
      <c r="B20" s="2262"/>
      <c r="C20" s="478">
        <f t="shared" si="8"/>
        <v>10080</v>
      </c>
      <c r="D20" s="478">
        <f t="shared" ref="D20:J20" si="14">+D102</f>
        <v>9098</v>
      </c>
      <c r="E20" s="478">
        <f t="shared" si="14"/>
        <v>0</v>
      </c>
      <c r="F20" s="478">
        <f t="shared" si="14"/>
        <v>0</v>
      </c>
      <c r="G20" s="478">
        <f t="shared" si="14"/>
        <v>982</v>
      </c>
      <c r="H20" s="478">
        <f t="shared" si="14"/>
        <v>0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495" t="s">
        <v>512</v>
      </c>
      <c r="D24" s="475" t="s">
        <v>513</v>
      </c>
      <c r="E24" s="475" t="s">
        <v>514</v>
      </c>
      <c r="F24" s="475" t="s">
        <v>515</v>
      </c>
      <c r="G24" s="475" t="s">
        <v>516</v>
      </c>
      <c r="H24" s="475" t="s">
        <v>517</v>
      </c>
      <c r="I24" s="475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67</v>
      </c>
      <c r="B25" s="496" t="s">
        <v>538</v>
      </c>
      <c r="C25" s="497">
        <f t="shared" ref="C25:C36" si="15">SUM(D25:J25)</f>
        <v>1004</v>
      </c>
      <c r="D25" s="497">
        <v>1004</v>
      </c>
      <c r="E25" s="497">
        <v>0</v>
      </c>
      <c r="F25" s="497">
        <v>0</v>
      </c>
      <c r="G25" s="497">
        <v>0</v>
      </c>
      <c r="H25" s="497">
        <v>0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500" t="s">
        <v>539</v>
      </c>
      <c r="C26" s="501">
        <f t="shared" si="15"/>
        <v>945</v>
      </c>
      <c r="D26" s="501">
        <v>945</v>
      </c>
      <c r="E26" s="501">
        <v>0</v>
      </c>
      <c r="F26" s="501">
        <v>0</v>
      </c>
      <c r="G26" s="501">
        <v>0</v>
      </c>
      <c r="H26" s="501">
        <v>0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500" t="s">
        <v>39</v>
      </c>
      <c r="C27" s="501">
        <f t="shared" si="15"/>
        <v>1247</v>
      </c>
      <c r="D27" s="501">
        <v>1247</v>
      </c>
      <c r="E27" s="501">
        <v>0</v>
      </c>
      <c r="F27" s="501">
        <v>0</v>
      </c>
      <c r="G27" s="501">
        <v>0</v>
      </c>
      <c r="H27" s="501">
        <v>0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500" t="s">
        <v>40</v>
      </c>
      <c r="C28" s="501">
        <f t="shared" si="15"/>
        <v>844</v>
      </c>
      <c r="D28" s="501">
        <v>844</v>
      </c>
      <c r="E28" s="501">
        <v>0</v>
      </c>
      <c r="F28" s="501">
        <v>0</v>
      </c>
      <c r="G28" s="501">
        <v>0</v>
      </c>
      <c r="H28" s="501">
        <v>0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500" t="s">
        <v>41</v>
      </c>
      <c r="C29" s="501">
        <f t="shared" si="15"/>
        <v>1033</v>
      </c>
      <c r="D29" s="501">
        <v>1033</v>
      </c>
      <c r="E29" s="501">
        <v>0</v>
      </c>
      <c r="F29" s="501">
        <v>0</v>
      </c>
      <c r="G29" s="501">
        <v>0</v>
      </c>
      <c r="H29" s="501">
        <v>0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500" t="s">
        <v>28</v>
      </c>
      <c r="C30" s="501">
        <f t="shared" si="15"/>
        <v>812</v>
      </c>
      <c r="D30" s="501">
        <v>812</v>
      </c>
      <c r="E30" s="501">
        <v>0</v>
      </c>
      <c r="F30" s="501">
        <v>0</v>
      </c>
      <c r="G30" s="501">
        <v>0</v>
      </c>
      <c r="H30" s="501">
        <v>0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500" t="s">
        <v>29</v>
      </c>
      <c r="C31" s="501">
        <f t="shared" si="15"/>
        <v>790</v>
      </c>
      <c r="D31" s="501">
        <v>790</v>
      </c>
      <c r="E31" s="501">
        <v>0</v>
      </c>
      <c r="F31" s="501">
        <v>0</v>
      </c>
      <c r="G31" s="501">
        <v>0</v>
      </c>
      <c r="H31" s="501">
        <v>0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500" t="s">
        <v>30</v>
      </c>
      <c r="C32" s="501">
        <f t="shared" si="15"/>
        <v>1218</v>
      </c>
      <c r="D32" s="501">
        <v>1218</v>
      </c>
      <c r="E32" s="501">
        <v>0</v>
      </c>
      <c r="F32" s="501">
        <v>0</v>
      </c>
      <c r="G32" s="501">
        <v>0</v>
      </c>
      <c r="H32" s="501">
        <v>0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500" t="s">
        <v>31</v>
      </c>
      <c r="C33" s="501">
        <f t="shared" si="15"/>
        <v>1057</v>
      </c>
      <c r="D33" s="501">
        <v>904</v>
      </c>
      <c r="E33" s="501">
        <v>0</v>
      </c>
      <c r="F33" s="501">
        <v>0</v>
      </c>
      <c r="G33" s="501">
        <v>153</v>
      </c>
      <c r="H33" s="501">
        <v>0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500" t="s">
        <v>32</v>
      </c>
      <c r="C34" s="501">
        <f t="shared" si="15"/>
        <v>1209</v>
      </c>
      <c r="D34" s="501">
        <v>1029</v>
      </c>
      <c r="E34" s="501">
        <v>0</v>
      </c>
      <c r="F34" s="501">
        <v>0</v>
      </c>
      <c r="G34" s="501">
        <v>180</v>
      </c>
      <c r="H34" s="501">
        <v>0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500" t="s">
        <v>33</v>
      </c>
      <c r="C35" s="501">
        <f t="shared" si="15"/>
        <v>997</v>
      </c>
      <c r="D35" s="501">
        <v>846</v>
      </c>
      <c r="E35" s="501">
        <v>0</v>
      </c>
      <c r="F35" s="501">
        <v>0</v>
      </c>
      <c r="G35" s="501">
        <v>151</v>
      </c>
      <c r="H35" s="501">
        <v>0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500" t="s">
        <v>34</v>
      </c>
      <c r="C36" s="501">
        <f t="shared" si="15"/>
        <v>1057</v>
      </c>
      <c r="D36" s="501">
        <v>905</v>
      </c>
      <c r="E36" s="501">
        <v>0</v>
      </c>
      <c r="F36" s="501">
        <v>0</v>
      </c>
      <c r="G36" s="501">
        <v>152</v>
      </c>
      <c r="H36" s="501">
        <v>0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512</v>
      </c>
      <c r="C37" s="507">
        <f t="shared" ref="C37:J37" si="16">SUM(C25:C36)</f>
        <v>12213</v>
      </c>
      <c r="D37" s="507">
        <f t="shared" si="16"/>
        <v>11577</v>
      </c>
      <c r="E37" s="507">
        <f t="shared" si="16"/>
        <v>0</v>
      </c>
      <c r="F37" s="507">
        <f t="shared" si="16"/>
        <v>0</v>
      </c>
      <c r="G37" s="507">
        <f t="shared" si="16"/>
        <v>636</v>
      </c>
      <c r="H37" s="507">
        <f t="shared" si="16"/>
        <v>0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496" t="s">
        <v>538</v>
      </c>
      <c r="C38" s="497">
        <f t="shared" ref="C38:C49" si="17">SUM(D38:J38)</f>
        <v>971</v>
      </c>
      <c r="D38" s="497">
        <v>781</v>
      </c>
      <c r="E38" s="497">
        <v>0</v>
      </c>
      <c r="F38" s="497">
        <v>0</v>
      </c>
      <c r="G38" s="497">
        <v>190</v>
      </c>
      <c r="H38" s="497">
        <v>0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500" t="s">
        <v>539</v>
      </c>
      <c r="C39" s="501">
        <f t="shared" si="17"/>
        <v>848</v>
      </c>
      <c r="D39" s="501">
        <v>686</v>
      </c>
      <c r="E39" s="501">
        <v>0</v>
      </c>
      <c r="F39" s="501">
        <v>0</v>
      </c>
      <c r="G39" s="501">
        <v>162</v>
      </c>
      <c r="H39" s="501">
        <v>0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500" t="s">
        <v>39</v>
      </c>
      <c r="C40" s="501">
        <f t="shared" si="17"/>
        <v>1118</v>
      </c>
      <c r="D40" s="501">
        <v>756</v>
      </c>
      <c r="E40" s="501">
        <v>0</v>
      </c>
      <c r="F40" s="501">
        <v>0</v>
      </c>
      <c r="G40" s="501">
        <v>362</v>
      </c>
      <c r="H40" s="501">
        <v>0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500" t="s">
        <v>40</v>
      </c>
      <c r="C41" s="501">
        <f t="shared" si="17"/>
        <v>1192</v>
      </c>
      <c r="D41" s="501">
        <v>980</v>
      </c>
      <c r="E41" s="501">
        <v>0</v>
      </c>
      <c r="F41" s="501">
        <v>0</v>
      </c>
      <c r="G41" s="501">
        <v>212</v>
      </c>
      <c r="H41" s="501">
        <v>0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500" t="s">
        <v>41</v>
      </c>
      <c r="C42" s="501">
        <f t="shared" si="17"/>
        <v>924</v>
      </c>
      <c r="D42" s="501">
        <v>718</v>
      </c>
      <c r="E42" s="501">
        <v>0</v>
      </c>
      <c r="F42" s="501">
        <v>0</v>
      </c>
      <c r="G42" s="501">
        <v>206</v>
      </c>
      <c r="H42" s="501">
        <v>0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500" t="s">
        <v>28</v>
      </c>
      <c r="C43" s="501">
        <f t="shared" si="17"/>
        <v>823</v>
      </c>
      <c r="D43" s="501">
        <v>665</v>
      </c>
      <c r="E43" s="501">
        <v>0</v>
      </c>
      <c r="F43" s="501">
        <v>0</v>
      </c>
      <c r="G43" s="501">
        <v>158</v>
      </c>
      <c r="H43" s="501">
        <v>0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500" t="s">
        <v>29</v>
      </c>
      <c r="C44" s="501">
        <f t="shared" si="17"/>
        <v>1095</v>
      </c>
      <c r="D44" s="501">
        <v>871</v>
      </c>
      <c r="E44" s="501">
        <v>0</v>
      </c>
      <c r="F44" s="501">
        <v>0</v>
      </c>
      <c r="G44" s="501">
        <v>224</v>
      </c>
      <c r="H44" s="501">
        <v>0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500" t="s">
        <v>30</v>
      </c>
      <c r="C45" s="501">
        <f t="shared" si="17"/>
        <v>1129</v>
      </c>
      <c r="D45" s="501">
        <v>979</v>
      </c>
      <c r="E45" s="501">
        <v>0</v>
      </c>
      <c r="F45" s="501">
        <v>0</v>
      </c>
      <c r="G45" s="501">
        <v>150</v>
      </c>
      <c r="H45" s="501">
        <v>0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500" t="s">
        <v>31</v>
      </c>
      <c r="C46" s="501">
        <f t="shared" si="17"/>
        <v>876</v>
      </c>
      <c r="D46" s="501">
        <v>775</v>
      </c>
      <c r="E46" s="501">
        <v>0</v>
      </c>
      <c r="F46" s="501">
        <v>0</v>
      </c>
      <c r="G46" s="501">
        <v>101</v>
      </c>
      <c r="H46" s="501">
        <v>0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500" t="s">
        <v>32</v>
      </c>
      <c r="C47" s="501">
        <f t="shared" si="17"/>
        <v>1370</v>
      </c>
      <c r="D47" s="501">
        <v>903</v>
      </c>
      <c r="E47" s="501">
        <v>0</v>
      </c>
      <c r="F47" s="501">
        <v>0</v>
      </c>
      <c r="G47" s="501">
        <v>467</v>
      </c>
      <c r="H47" s="501">
        <v>0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500" t="s">
        <v>33</v>
      </c>
      <c r="C48" s="501">
        <f t="shared" si="17"/>
        <v>933</v>
      </c>
      <c r="D48" s="501">
        <v>812</v>
      </c>
      <c r="E48" s="501">
        <v>0</v>
      </c>
      <c r="F48" s="501">
        <v>0</v>
      </c>
      <c r="G48" s="501">
        <v>121</v>
      </c>
      <c r="H48" s="501">
        <v>0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500" t="s">
        <v>34</v>
      </c>
      <c r="C49" s="501">
        <f t="shared" si="17"/>
        <v>1096</v>
      </c>
      <c r="D49" s="501">
        <v>763</v>
      </c>
      <c r="E49" s="501">
        <v>0</v>
      </c>
      <c r="F49" s="501">
        <v>0</v>
      </c>
      <c r="G49" s="501">
        <v>333</v>
      </c>
      <c r="H49" s="501">
        <v>0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512</v>
      </c>
      <c r="C50" s="507">
        <f>SUM(C38:C49)</f>
        <v>12375</v>
      </c>
      <c r="D50" s="507">
        <f>SUM(D38:D49)</f>
        <v>9689</v>
      </c>
      <c r="E50" s="507">
        <f t="shared" ref="E50:J50" si="18">SUM(E38:E49)</f>
        <v>0</v>
      </c>
      <c r="F50" s="507">
        <f t="shared" si="18"/>
        <v>0</v>
      </c>
      <c r="G50" s="507">
        <f t="shared" si="18"/>
        <v>2686</v>
      </c>
      <c r="H50" s="507">
        <f t="shared" si="18"/>
        <v>0</v>
      </c>
      <c r="I50" s="507">
        <f t="shared" si="18"/>
        <v>0</v>
      </c>
      <c r="J50" s="508">
        <f t="shared" si="18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496" t="s">
        <v>538</v>
      </c>
      <c r="C51" s="497">
        <f t="shared" ref="C51:C62" si="19">SUM(D51:J51)</f>
        <v>833</v>
      </c>
      <c r="D51" s="497">
        <v>612</v>
      </c>
      <c r="E51" s="497">
        <v>0</v>
      </c>
      <c r="F51" s="497">
        <v>0</v>
      </c>
      <c r="G51" s="497">
        <v>221</v>
      </c>
      <c r="H51" s="497">
        <v>0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500" t="s">
        <v>539</v>
      </c>
      <c r="C52" s="501">
        <f t="shared" si="19"/>
        <v>1119</v>
      </c>
      <c r="D52" s="501">
        <v>795</v>
      </c>
      <c r="E52" s="501">
        <v>0</v>
      </c>
      <c r="F52" s="501">
        <v>0</v>
      </c>
      <c r="G52" s="501">
        <v>324</v>
      </c>
      <c r="H52" s="501">
        <v>0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500" t="s">
        <v>39</v>
      </c>
      <c r="C53" s="501">
        <f t="shared" si="19"/>
        <v>878</v>
      </c>
      <c r="D53" s="501">
        <v>723</v>
      </c>
      <c r="E53" s="501">
        <v>0</v>
      </c>
      <c r="F53" s="501">
        <v>0</v>
      </c>
      <c r="G53" s="501">
        <v>155</v>
      </c>
      <c r="H53" s="501">
        <v>0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500" t="s">
        <v>40</v>
      </c>
      <c r="C54" s="501">
        <f t="shared" si="19"/>
        <v>689</v>
      </c>
      <c r="D54" s="501">
        <v>538</v>
      </c>
      <c r="E54" s="501">
        <v>0</v>
      </c>
      <c r="F54" s="501">
        <v>0</v>
      </c>
      <c r="G54" s="501">
        <v>151</v>
      </c>
      <c r="H54" s="501">
        <v>0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500" t="s">
        <v>41</v>
      </c>
      <c r="C55" s="501">
        <f t="shared" si="19"/>
        <v>812</v>
      </c>
      <c r="D55" s="501">
        <v>621</v>
      </c>
      <c r="E55" s="501">
        <v>0</v>
      </c>
      <c r="F55" s="501">
        <v>0</v>
      </c>
      <c r="G55" s="501">
        <v>191</v>
      </c>
      <c r="H55" s="501">
        <v>0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500" t="s">
        <v>28</v>
      </c>
      <c r="C56" s="501">
        <f t="shared" si="19"/>
        <v>1132</v>
      </c>
      <c r="D56" s="501">
        <v>894</v>
      </c>
      <c r="E56" s="501">
        <v>0</v>
      </c>
      <c r="F56" s="501">
        <v>0</v>
      </c>
      <c r="G56" s="501">
        <v>238</v>
      </c>
      <c r="H56" s="501">
        <v>0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500" t="s">
        <v>29</v>
      </c>
      <c r="C57" s="501">
        <f t="shared" si="19"/>
        <v>1210</v>
      </c>
      <c r="D57" s="501">
        <v>939</v>
      </c>
      <c r="E57" s="501">
        <v>0</v>
      </c>
      <c r="F57" s="501">
        <v>0</v>
      </c>
      <c r="G57" s="501">
        <v>271</v>
      </c>
      <c r="H57" s="501">
        <v>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500" t="s">
        <v>30</v>
      </c>
      <c r="C58" s="501">
        <f t="shared" si="19"/>
        <v>1257</v>
      </c>
      <c r="D58" s="501">
        <v>918</v>
      </c>
      <c r="E58" s="501">
        <v>0</v>
      </c>
      <c r="F58" s="501">
        <v>0</v>
      </c>
      <c r="G58" s="501">
        <v>339</v>
      </c>
      <c r="H58" s="501">
        <v>0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500" t="s">
        <v>31</v>
      </c>
      <c r="C59" s="501">
        <f t="shared" si="19"/>
        <v>1346</v>
      </c>
      <c r="D59" s="501">
        <v>986</v>
      </c>
      <c r="E59" s="501">
        <v>0</v>
      </c>
      <c r="F59" s="501">
        <v>0</v>
      </c>
      <c r="G59" s="501">
        <v>360</v>
      </c>
      <c r="H59" s="501">
        <v>0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500" t="s">
        <v>32</v>
      </c>
      <c r="C60" s="501">
        <f t="shared" si="19"/>
        <v>1335</v>
      </c>
      <c r="D60" s="501">
        <v>932</v>
      </c>
      <c r="E60" s="501">
        <v>0</v>
      </c>
      <c r="F60" s="501">
        <v>0</v>
      </c>
      <c r="G60" s="501">
        <v>403</v>
      </c>
      <c r="H60" s="501">
        <v>0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500" t="s">
        <v>33</v>
      </c>
      <c r="C61" s="501">
        <f t="shared" si="19"/>
        <v>1158</v>
      </c>
      <c r="D61" s="501">
        <v>805</v>
      </c>
      <c r="E61" s="501">
        <v>0</v>
      </c>
      <c r="F61" s="501">
        <v>0</v>
      </c>
      <c r="G61" s="501">
        <v>353</v>
      </c>
      <c r="H61" s="501">
        <v>0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500" t="s">
        <v>34</v>
      </c>
      <c r="C62" s="501">
        <f t="shared" si="19"/>
        <v>1382</v>
      </c>
      <c r="D62" s="501">
        <v>961</v>
      </c>
      <c r="E62" s="501">
        <v>0</v>
      </c>
      <c r="F62" s="501">
        <v>0</v>
      </c>
      <c r="G62" s="501">
        <v>421</v>
      </c>
      <c r="H62" s="501">
        <v>0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512</v>
      </c>
      <c r="C63" s="507">
        <f t="shared" ref="C63:J63" si="20">SUM(C51:C62)</f>
        <v>13151</v>
      </c>
      <c r="D63" s="507">
        <f t="shared" si="20"/>
        <v>9724</v>
      </c>
      <c r="E63" s="507">
        <f t="shared" si="20"/>
        <v>0</v>
      </c>
      <c r="F63" s="507">
        <f t="shared" si="20"/>
        <v>0</v>
      </c>
      <c r="G63" s="507">
        <f t="shared" si="20"/>
        <v>3427</v>
      </c>
      <c r="H63" s="507">
        <f t="shared" si="20"/>
        <v>0</v>
      </c>
      <c r="I63" s="507">
        <f t="shared" si="20"/>
        <v>0</v>
      </c>
      <c r="J63" s="508">
        <f t="shared" si="20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869</v>
      </c>
      <c r="B64" s="496" t="s">
        <v>538</v>
      </c>
      <c r="C64" s="497">
        <f t="shared" ref="C64:C75" si="21">SUM(D64:J64)</f>
        <v>994</v>
      </c>
      <c r="D64" s="497">
        <v>595</v>
      </c>
      <c r="E64" s="497">
        <v>0</v>
      </c>
      <c r="F64" s="497">
        <v>0</v>
      </c>
      <c r="G64" s="497">
        <v>399</v>
      </c>
      <c r="H64" s="497">
        <v>0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500" t="s">
        <v>539</v>
      </c>
      <c r="C65" s="501">
        <f t="shared" si="21"/>
        <v>1055</v>
      </c>
      <c r="D65" s="501">
        <v>654</v>
      </c>
      <c r="E65" s="501">
        <v>0</v>
      </c>
      <c r="F65" s="501">
        <v>0</v>
      </c>
      <c r="G65" s="501">
        <v>401</v>
      </c>
      <c r="H65" s="501">
        <v>0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500" t="s">
        <v>39</v>
      </c>
      <c r="C66" s="501">
        <f t="shared" si="21"/>
        <v>1157</v>
      </c>
      <c r="D66" s="501">
        <v>748</v>
      </c>
      <c r="E66" s="501">
        <v>0</v>
      </c>
      <c r="F66" s="501">
        <v>0</v>
      </c>
      <c r="G66" s="501">
        <v>409</v>
      </c>
      <c r="H66" s="501">
        <v>0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500" t="s">
        <v>40</v>
      </c>
      <c r="C67" s="501">
        <f t="shared" si="21"/>
        <v>1025</v>
      </c>
      <c r="D67" s="501">
        <v>666</v>
      </c>
      <c r="E67" s="501">
        <v>0</v>
      </c>
      <c r="F67" s="501">
        <v>0</v>
      </c>
      <c r="G67" s="501">
        <v>359</v>
      </c>
      <c r="H67" s="501">
        <v>0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500" t="s">
        <v>41</v>
      </c>
      <c r="C68" s="501">
        <f t="shared" si="21"/>
        <v>1263</v>
      </c>
      <c r="D68" s="501">
        <v>768</v>
      </c>
      <c r="E68" s="501">
        <v>0</v>
      </c>
      <c r="F68" s="501">
        <v>0</v>
      </c>
      <c r="G68" s="501">
        <v>495</v>
      </c>
      <c r="H68" s="501">
        <v>0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500" t="s">
        <v>28</v>
      </c>
      <c r="C69" s="501">
        <f t="shared" si="21"/>
        <v>1384</v>
      </c>
      <c r="D69" s="501">
        <v>897</v>
      </c>
      <c r="E69" s="501">
        <v>0</v>
      </c>
      <c r="F69" s="501">
        <v>0</v>
      </c>
      <c r="G69" s="501">
        <v>487</v>
      </c>
      <c r="H69" s="501">
        <v>0</v>
      </c>
      <c r="I69" s="501">
        <v>0</v>
      </c>
      <c r="J69" s="501">
        <v>0</v>
      </c>
    </row>
    <row r="70" spans="1:22" s="472" customFormat="1" ht="12">
      <c r="A70" s="2270"/>
      <c r="B70" s="500" t="s">
        <v>29</v>
      </c>
      <c r="C70" s="501">
        <f t="shared" si="21"/>
        <v>1395</v>
      </c>
      <c r="D70" s="501">
        <v>866</v>
      </c>
      <c r="E70" s="501">
        <v>0</v>
      </c>
      <c r="F70" s="501">
        <v>0</v>
      </c>
      <c r="G70" s="501">
        <v>529</v>
      </c>
      <c r="H70" s="501">
        <v>0</v>
      </c>
      <c r="I70" s="501">
        <v>0</v>
      </c>
      <c r="J70" s="501">
        <v>0</v>
      </c>
    </row>
    <row r="71" spans="1:22" s="472" customFormat="1" ht="12">
      <c r="A71" s="2270"/>
      <c r="B71" s="500" t="s">
        <v>30</v>
      </c>
      <c r="C71" s="501">
        <f t="shared" si="21"/>
        <v>1431</v>
      </c>
      <c r="D71" s="501">
        <v>859</v>
      </c>
      <c r="E71" s="501">
        <v>0</v>
      </c>
      <c r="F71" s="501">
        <v>0</v>
      </c>
      <c r="G71" s="501">
        <v>572</v>
      </c>
      <c r="H71" s="501">
        <v>0</v>
      </c>
      <c r="I71" s="501">
        <v>0</v>
      </c>
      <c r="J71" s="501">
        <v>0</v>
      </c>
    </row>
    <row r="72" spans="1:22" s="472" customFormat="1" ht="12">
      <c r="A72" s="2270"/>
      <c r="B72" s="500" t="s">
        <v>31</v>
      </c>
      <c r="C72" s="501">
        <f t="shared" si="21"/>
        <v>1614</v>
      </c>
      <c r="D72" s="501">
        <v>971</v>
      </c>
      <c r="E72" s="501">
        <v>0</v>
      </c>
      <c r="F72" s="501">
        <v>0</v>
      </c>
      <c r="G72" s="501">
        <v>643</v>
      </c>
      <c r="H72" s="501">
        <v>0</v>
      </c>
      <c r="I72" s="501">
        <v>0</v>
      </c>
      <c r="J72" s="501">
        <v>0</v>
      </c>
    </row>
    <row r="73" spans="1:22" s="472" customFormat="1" ht="12">
      <c r="A73" s="2270"/>
      <c r="B73" s="500" t="s">
        <v>32</v>
      </c>
      <c r="C73" s="501">
        <f t="shared" si="21"/>
        <v>1681</v>
      </c>
      <c r="D73" s="501">
        <v>1041</v>
      </c>
      <c r="E73" s="501">
        <v>0</v>
      </c>
      <c r="F73" s="501">
        <v>0</v>
      </c>
      <c r="G73" s="501">
        <v>640</v>
      </c>
      <c r="H73" s="501">
        <v>0</v>
      </c>
      <c r="I73" s="501">
        <v>0</v>
      </c>
      <c r="J73" s="501">
        <v>0</v>
      </c>
    </row>
    <row r="74" spans="1:22" s="472" customFormat="1" ht="12">
      <c r="A74" s="2270"/>
      <c r="B74" s="500" t="s">
        <v>33</v>
      </c>
      <c r="C74" s="501">
        <f t="shared" si="21"/>
        <v>1175</v>
      </c>
      <c r="D74" s="501">
        <v>883</v>
      </c>
      <c r="E74" s="501">
        <v>0</v>
      </c>
      <c r="F74" s="501">
        <v>0</v>
      </c>
      <c r="G74" s="501">
        <v>292</v>
      </c>
      <c r="H74" s="501">
        <v>0</v>
      </c>
      <c r="I74" s="501">
        <v>0</v>
      </c>
      <c r="J74" s="501">
        <v>0</v>
      </c>
    </row>
    <row r="75" spans="1:22" s="472" customFormat="1" ht="12">
      <c r="A75" s="2270"/>
      <c r="B75" s="500" t="s">
        <v>34</v>
      </c>
      <c r="C75" s="501">
        <f t="shared" si="21"/>
        <v>1297</v>
      </c>
      <c r="D75" s="501">
        <v>981</v>
      </c>
      <c r="E75" s="501">
        <v>0</v>
      </c>
      <c r="F75" s="501">
        <v>0</v>
      </c>
      <c r="G75" s="501">
        <v>316</v>
      </c>
      <c r="H75" s="501">
        <v>0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512</v>
      </c>
      <c r="C76" s="507">
        <f t="shared" ref="C76:J76" si="22">SUM(C64:C75)</f>
        <v>15471</v>
      </c>
      <c r="D76" s="507">
        <f t="shared" si="22"/>
        <v>9929</v>
      </c>
      <c r="E76" s="507">
        <f t="shared" si="22"/>
        <v>0</v>
      </c>
      <c r="F76" s="507">
        <f t="shared" si="22"/>
        <v>0</v>
      </c>
      <c r="G76" s="507">
        <f t="shared" si="22"/>
        <v>5542</v>
      </c>
      <c r="H76" s="507">
        <f t="shared" si="22"/>
        <v>0</v>
      </c>
      <c r="I76" s="507">
        <f t="shared" si="22"/>
        <v>0</v>
      </c>
      <c r="J76" s="508">
        <f t="shared" si="22"/>
        <v>0</v>
      </c>
    </row>
    <row r="77" spans="1:22" s="472" customFormat="1" ht="12">
      <c r="A77" s="2269" t="s">
        <v>286</v>
      </c>
      <c r="B77" s="496" t="s">
        <v>538</v>
      </c>
      <c r="C77" s="497">
        <f t="shared" ref="C77:C88" si="23">SUM(D77:J77)</f>
        <v>1080</v>
      </c>
      <c r="D77" s="497">
        <v>755</v>
      </c>
      <c r="E77" s="497">
        <v>0</v>
      </c>
      <c r="F77" s="497">
        <v>0</v>
      </c>
      <c r="G77" s="497">
        <v>325</v>
      </c>
      <c r="H77" s="497">
        <v>0</v>
      </c>
      <c r="I77" s="497">
        <v>0</v>
      </c>
      <c r="J77" s="497">
        <v>0</v>
      </c>
    </row>
    <row r="78" spans="1:22" s="472" customFormat="1" ht="12">
      <c r="A78" s="2270"/>
      <c r="B78" s="500" t="s">
        <v>539</v>
      </c>
      <c r="C78" s="501">
        <f t="shared" si="23"/>
        <v>1199</v>
      </c>
      <c r="D78" s="501">
        <v>855</v>
      </c>
      <c r="E78" s="501">
        <v>0</v>
      </c>
      <c r="F78" s="501">
        <v>0</v>
      </c>
      <c r="G78" s="501">
        <v>344</v>
      </c>
      <c r="H78" s="501">
        <v>0</v>
      </c>
      <c r="I78" s="501">
        <v>0</v>
      </c>
      <c r="J78" s="501">
        <v>0</v>
      </c>
    </row>
    <row r="79" spans="1:22" s="472" customFormat="1" ht="12">
      <c r="A79" s="2270"/>
      <c r="B79" s="500" t="s">
        <v>39</v>
      </c>
      <c r="C79" s="501">
        <f t="shared" si="23"/>
        <v>1149</v>
      </c>
      <c r="D79" s="501">
        <v>836</v>
      </c>
      <c r="E79" s="501">
        <v>0</v>
      </c>
      <c r="F79" s="501">
        <v>0</v>
      </c>
      <c r="G79" s="501">
        <v>313</v>
      </c>
      <c r="H79" s="501">
        <v>0</v>
      </c>
      <c r="I79" s="501">
        <v>0</v>
      </c>
      <c r="J79" s="501">
        <v>0</v>
      </c>
    </row>
    <row r="80" spans="1:22" s="472" customFormat="1" ht="12">
      <c r="A80" s="2270"/>
      <c r="B80" s="500" t="s">
        <v>40</v>
      </c>
      <c r="C80" s="501">
        <f t="shared" si="23"/>
        <v>1192</v>
      </c>
      <c r="D80" s="501">
        <v>836</v>
      </c>
      <c r="E80" s="501">
        <v>0</v>
      </c>
      <c r="F80" s="501">
        <v>0</v>
      </c>
      <c r="G80" s="501">
        <v>356</v>
      </c>
      <c r="H80" s="501">
        <v>0</v>
      </c>
      <c r="I80" s="501">
        <v>0</v>
      </c>
      <c r="J80" s="501">
        <v>0</v>
      </c>
    </row>
    <row r="81" spans="1:10" s="472" customFormat="1" ht="12">
      <c r="A81" s="2270"/>
      <c r="B81" s="500" t="s">
        <v>41</v>
      </c>
      <c r="C81" s="501">
        <f t="shared" si="23"/>
        <v>1257</v>
      </c>
      <c r="D81" s="501">
        <v>869</v>
      </c>
      <c r="E81" s="501">
        <v>0</v>
      </c>
      <c r="F81" s="501">
        <v>0</v>
      </c>
      <c r="G81" s="501">
        <v>388</v>
      </c>
      <c r="H81" s="501">
        <v>0</v>
      </c>
      <c r="I81" s="501">
        <v>0</v>
      </c>
      <c r="J81" s="501">
        <v>0</v>
      </c>
    </row>
    <row r="82" spans="1:10" s="472" customFormat="1" ht="12">
      <c r="A82" s="2270"/>
      <c r="B82" s="500" t="s">
        <v>28</v>
      </c>
      <c r="C82" s="501">
        <f t="shared" si="23"/>
        <v>1240</v>
      </c>
      <c r="D82" s="501">
        <v>851</v>
      </c>
      <c r="E82" s="501">
        <v>0</v>
      </c>
      <c r="F82" s="501">
        <v>0</v>
      </c>
      <c r="G82" s="501">
        <v>389</v>
      </c>
      <c r="H82" s="501">
        <v>0</v>
      </c>
      <c r="I82" s="501">
        <v>0</v>
      </c>
      <c r="J82" s="501">
        <v>0</v>
      </c>
    </row>
    <row r="83" spans="1:10" s="472" customFormat="1" ht="12">
      <c r="A83" s="2270"/>
      <c r="B83" s="500" t="s">
        <v>29</v>
      </c>
      <c r="C83" s="501">
        <f t="shared" si="23"/>
        <v>1335</v>
      </c>
      <c r="D83" s="501">
        <v>950</v>
      </c>
      <c r="E83" s="501">
        <v>0</v>
      </c>
      <c r="F83" s="501">
        <v>0</v>
      </c>
      <c r="G83" s="501">
        <v>385</v>
      </c>
      <c r="H83" s="501">
        <v>0</v>
      </c>
      <c r="I83" s="501">
        <v>0</v>
      </c>
      <c r="J83" s="501">
        <v>0</v>
      </c>
    </row>
    <row r="84" spans="1:10" s="472" customFormat="1" ht="12">
      <c r="A84" s="2270"/>
      <c r="B84" s="500" t="s">
        <v>30</v>
      </c>
      <c r="C84" s="501">
        <f t="shared" si="23"/>
        <v>1275</v>
      </c>
      <c r="D84" s="501">
        <v>865</v>
      </c>
      <c r="E84" s="501">
        <v>0</v>
      </c>
      <c r="F84" s="501">
        <v>0</v>
      </c>
      <c r="G84" s="501">
        <v>410</v>
      </c>
      <c r="H84" s="501">
        <v>0</v>
      </c>
      <c r="I84" s="501">
        <v>0</v>
      </c>
      <c r="J84" s="501">
        <v>0</v>
      </c>
    </row>
    <row r="85" spans="1:10" s="472" customFormat="1" ht="12">
      <c r="A85" s="2270"/>
      <c r="B85" s="500" t="s">
        <v>31</v>
      </c>
      <c r="C85" s="501">
        <f t="shared" si="23"/>
        <v>1156</v>
      </c>
      <c r="D85" s="501">
        <v>892</v>
      </c>
      <c r="E85" s="501">
        <v>0</v>
      </c>
      <c r="F85" s="501">
        <v>0</v>
      </c>
      <c r="G85" s="501">
        <v>264</v>
      </c>
      <c r="H85" s="501">
        <v>0</v>
      </c>
      <c r="I85" s="501">
        <v>0</v>
      </c>
      <c r="J85" s="501">
        <v>0</v>
      </c>
    </row>
    <row r="86" spans="1:10" s="472" customFormat="1" ht="12">
      <c r="A86" s="2270"/>
      <c r="B86" s="500" t="s">
        <v>32</v>
      </c>
      <c r="C86" s="501">
        <f t="shared" si="23"/>
        <v>843</v>
      </c>
      <c r="D86" s="501">
        <v>766</v>
      </c>
      <c r="E86" s="501">
        <v>0</v>
      </c>
      <c r="F86" s="501">
        <v>0</v>
      </c>
      <c r="G86" s="501">
        <v>77</v>
      </c>
      <c r="H86" s="501">
        <v>0</v>
      </c>
      <c r="I86" s="501">
        <v>0</v>
      </c>
      <c r="J86" s="501">
        <v>0</v>
      </c>
    </row>
    <row r="87" spans="1:10" s="472" customFormat="1" ht="12">
      <c r="A87" s="2270"/>
      <c r="B87" s="500" t="s">
        <v>33</v>
      </c>
      <c r="C87" s="501">
        <f t="shared" si="23"/>
        <v>915</v>
      </c>
      <c r="D87" s="501">
        <v>834</v>
      </c>
      <c r="E87" s="501">
        <v>0</v>
      </c>
      <c r="F87" s="501">
        <v>0</v>
      </c>
      <c r="G87" s="501">
        <v>81</v>
      </c>
      <c r="H87" s="501">
        <v>0</v>
      </c>
      <c r="I87" s="501">
        <v>0</v>
      </c>
      <c r="J87" s="501">
        <v>0</v>
      </c>
    </row>
    <row r="88" spans="1:10" s="472" customFormat="1" ht="12">
      <c r="A88" s="2270"/>
      <c r="B88" s="500" t="s">
        <v>34</v>
      </c>
      <c r="C88" s="501">
        <f t="shared" si="23"/>
        <v>894</v>
      </c>
      <c r="D88" s="501">
        <v>808</v>
      </c>
      <c r="E88" s="501">
        <v>0</v>
      </c>
      <c r="F88" s="501">
        <v>0</v>
      </c>
      <c r="G88" s="501">
        <v>86</v>
      </c>
      <c r="H88" s="501">
        <v>0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512</v>
      </c>
      <c r="C89" s="507">
        <f t="shared" ref="C89:J89" si="24">SUM(C77:C88)</f>
        <v>13535</v>
      </c>
      <c r="D89" s="507">
        <f t="shared" si="24"/>
        <v>10117</v>
      </c>
      <c r="E89" s="507">
        <f t="shared" si="24"/>
        <v>0</v>
      </c>
      <c r="F89" s="507">
        <f t="shared" si="24"/>
        <v>0</v>
      </c>
      <c r="G89" s="507">
        <f t="shared" si="24"/>
        <v>3418</v>
      </c>
      <c r="H89" s="507">
        <f t="shared" si="24"/>
        <v>0</v>
      </c>
      <c r="I89" s="507">
        <f t="shared" si="24"/>
        <v>0</v>
      </c>
      <c r="J89" s="508">
        <f t="shared" si="24"/>
        <v>0</v>
      </c>
    </row>
    <row r="90" spans="1:10" s="472" customFormat="1" ht="12">
      <c r="A90" s="2269" t="s">
        <v>1524</v>
      </c>
      <c r="B90" s="496" t="s">
        <v>538</v>
      </c>
      <c r="C90" s="497">
        <f t="shared" ref="C90:C101" si="25">SUM(D90:J90)</f>
        <v>727</v>
      </c>
      <c r="D90" s="497">
        <v>642</v>
      </c>
      <c r="E90" s="497">
        <v>0</v>
      </c>
      <c r="F90" s="497">
        <v>0</v>
      </c>
      <c r="G90" s="497">
        <v>85</v>
      </c>
      <c r="H90" s="497">
        <v>0</v>
      </c>
      <c r="I90" s="497">
        <v>0</v>
      </c>
      <c r="J90" s="497">
        <v>0</v>
      </c>
    </row>
    <row r="91" spans="1:10" s="472" customFormat="1" ht="12">
      <c r="A91" s="2270"/>
      <c r="B91" s="500" t="s">
        <v>539</v>
      </c>
      <c r="C91" s="501">
        <f t="shared" si="25"/>
        <v>706</v>
      </c>
      <c r="D91" s="501">
        <v>614</v>
      </c>
      <c r="E91" s="501">
        <v>0</v>
      </c>
      <c r="F91" s="501">
        <v>0</v>
      </c>
      <c r="G91" s="501">
        <v>92</v>
      </c>
      <c r="H91" s="501">
        <v>0</v>
      </c>
      <c r="I91" s="501">
        <v>0</v>
      </c>
      <c r="J91" s="501">
        <v>0</v>
      </c>
    </row>
    <row r="92" spans="1:10" s="472" customFormat="1" ht="12">
      <c r="A92" s="2270"/>
      <c r="B92" s="500" t="s">
        <v>39</v>
      </c>
      <c r="C92" s="501">
        <f t="shared" si="25"/>
        <v>807</v>
      </c>
      <c r="D92" s="501">
        <v>748</v>
      </c>
      <c r="E92" s="501">
        <v>0</v>
      </c>
      <c r="F92" s="501">
        <v>0</v>
      </c>
      <c r="G92" s="501">
        <v>59</v>
      </c>
      <c r="H92" s="501">
        <v>0</v>
      </c>
      <c r="I92" s="501">
        <v>0</v>
      </c>
      <c r="J92" s="501">
        <v>0</v>
      </c>
    </row>
    <row r="93" spans="1:10" s="472" customFormat="1" ht="12">
      <c r="A93" s="2270"/>
      <c r="B93" s="500" t="s">
        <v>40</v>
      </c>
      <c r="C93" s="501">
        <f t="shared" si="25"/>
        <v>752</v>
      </c>
      <c r="D93" s="501">
        <v>676</v>
      </c>
      <c r="E93" s="501">
        <v>0</v>
      </c>
      <c r="F93" s="501">
        <v>0</v>
      </c>
      <c r="G93" s="501">
        <v>76</v>
      </c>
      <c r="H93" s="501">
        <v>0</v>
      </c>
      <c r="I93" s="501">
        <v>0</v>
      </c>
      <c r="J93" s="501">
        <v>0</v>
      </c>
    </row>
    <row r="94" spans="1:10" s="472" customFormat="1" ht="12">
      <c r="A94" s="2270"/>
      <c r="B94" s="500" t="s">
        <v>41</v>
      </c>
      <c r="C94" s="501">
        <f t="shared" si="25"/>
        <v>835</v>
      </c>
      <c r="D94" s="501">
        <v>713</v>
      </c>
      <c r="E94" s="501">
        <v>0</v>
      </c>
      <c r="F94" s="501">
        <v>0</v>
      </c>
      <c r="G94" s="501">
        <v>122</v>
      </c>
      <c r="H94" s="501">
        <v>0</v>
      </c>
      <c r="I94" s="501">
        <v>0</v>
      </c>
      <c r="J94" s="501">
        <v>0</v>
      </c>
    </row>
    <row r="95" spans="1:10" s="472" customFormat="1" ht="12">
      <c r="A95" s="2270"/>
      <c r="B95" s="500" t="s">
        <v>28</v>
      </c>
      <c r="C95" s="501">
        <f t="shared" si="25"/>
        <v>823</v>
      </c>
      <c r="D95" s="501">
        <v>745</v>
      </c>
      <c r="E95" s="501">
        <v>0</v>
      </c>
      <c r="F95" s="501">
        <v>0</v>
      </c>
      <c r="G95" s="501">
        <v>78</v>
      </c>
      <c r="H95" s="501">
        <v>0</v>
      </c>
      <c r="I95" s="501">
        <v>0</v>
      </c>
      <c r="J95" s="501">
        <v>0</v>
      </c>
    </row>
    <row r="96" spans="1:10" s="472" customFormat="1" ht="12">
      <c r="A96" s="2270"/>
      <c r="B96" s="500" t="s">
        <v>29</v>
      </c>
      <c r="C96" s="501">
        <f t="shared" si="25"/>
        <v>855</v>
      </c>
      <c r="D96" s="501">
        <v>777</v>
      </c>
      <c r="E96" s="501">
        <v>0</v>
      </c>
      <c r="F96" s="501">
        <v>0</v>
      </c>
      <c r="G96" s="501">
        <v>78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500" t="s">
        <v>30</v>
      </c>
      <c r="C97" s="501">
        <f t="shared" si="25"/>
        <v>846</v>
      </c>
      <c r="D97" s="501">
        <v>765</v>
      </c>
      <c r="E97" s="501">
        <v>0</v>
      </c>
      <c r="F97" s="501">
        <v>0</v>
      </c>
      <c r="G97" s="501">
        <v>81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500" t="s">
        <v>31</v>
      </c>
      <c r="C98" s="501">
        <f t="shared" si="25"/>
        <v>908</v>
      </c>
      <c r="D98" s="501">
        <v>827</v>
      </c>
      <c r="E98" s="501">
        <v>0</v>
      </c>
      <c r="F98" s="501">
        <v>0</v>
      </c>
      <c r="G98" s="501">
        <v>81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500" t="s">
        <v>32</v>
      </c>
      <c r="C99" s="501">
        <f t="shared" si="25"/>
        <v>1218</v>
      </c>
      <c r="D99" s="501">
        <v>1140</v>
      </c>
      <c r="E99" s="501">
        <v>0</v>
      </c>
      <c r="F99" s="501">
        <v>0</v>
      </c>
      <c r="G99" s="501">
        <v>78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500" t="s">
        <v>33</v>
      </c>
      <c r="C100" s="501">
        <f t="shared" si="25"/>
        <v>693</v>
      </c>
      <c r="D100" s="501">
        <v>620</v>
      </c>
      <c r="E100" s="501">
        <v>0</v>
      </c>
      <c r="F100" s="501">
        <v>0</v>
      </c>
      <c r="G100" s="501">
        <v>73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500" t="s">
        <v>34</v>
      </c>
      <c r="C101" s="501">
        <f t="shared" si="25"/>
        <v>910</v>
      </c>
      <c r="D101" s="501">
        <v>831</v>
      </c>
      <c r="E101" s="501">
        <v>0</v>
      </c>
      <c r="F101" s="501">
        <v>0</v>
      </c>
      <c r="G101" s="501">
        <v>79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512</v>
      </c>
      <c r="C102" s="507">
        <f t="shared" ref="C102:J102" si="26">SUM(C90:C101)</f>
        <v>10080</v>
      </c>
      <c r="D102" s="507">
        <f t="shared" si="26"/>
        <v>9098</v>
      </c>
      <c r="E102" s="507">
        <f t="shared" si="26"/>
        <v>0</v>
      </c>
      <c r="F102" s="507">
        <f t="shared" si="26"/>
        <v>0</v>
      </c>
      <c r="G102" s="507">
        <f t="shared" si="26"/>
        <v>982</v>
      </c>
      <c r="H102" s="507">
        <f t="shared" si="26"/>
        <v>0</v>
      </c>
      <c r="I102" s="507">
        <f t="shared" si="26"/>
        <v>0</v>
      </c>
      <c r="J102" s="508">
        <f t="shared" si="26"/>
        <v>0</v>
      </c>
    </row>
    <row r="103" spans="1:11" s="472" customFormat="1" ht="12">
      <c r="A103" s="2269"/>
      <c r="B103" s="49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500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500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500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500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500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500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500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500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500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500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500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workbookViewId="0">
      <selection activeCell="J19" sqref="J19"/>
    </sheetView>
  </sheetViews>
  <sheetFormatPr defaultRowHeight="13.5"/>
  <cols>
    <col min="1" max="1" width="16.109375" customWidth="1"/>
    <col min="2" max="2" width="13.21875" customWidth="1"/>
    <col min="3" max="7" width="10.77734375" customWidth="1"/>
  </cols>
  <sheetData>
    <row r="1" spans="1:8" s="845" customFormat="1" ht="30" customHeight="1">
      <c r="A1" s="311" t="s">
        <v>334</v>
      </c>
      <c r="B1" s="313"/>
      <c r="C1" s="313"/>
      <c r="D1" s="456"/>
      <c r="E1" s="313"/>
      <c r="F1" s="313"/>
      <c r="G1" s="313"/>
      <c r="H1" s="313"/>
    </row>
    <row r="2" spans="1:8" s="845" customFormat="1" ht="30" customHeight="1">
      <c r="A2" s="1700" t="s">
        <v>35</v>
      </c>
      <c r="B2" s="1702" t="s">
        <v>335</v>
      </c>
      <c r="C2" s="1702"/>
      <c r="D2" s="1702"/>
      <c r="E2" s="1702"/>
      <c r="F2" s="1702"/>
      <c r="G2" s="1702" t="s">
        <v>336</v>
      </c>
      <c r="H2" s="1704" t="s">
        <v>337</v>
      </c>
    </row>
    <row r="3" spans="1:8" s="845" customFormat="1" ht="30" customHeight="1">
      <c r="A3" s="1701"/>
      <c r="B3" s="1276" t="s">
        <v>445</v>
      </c>
      <c r="C3" s="1276" t="s">
        <v>446</v>
      </c>
      <c r="D3" s="1276" t="s">
        <v>447</v>
      </c>
      <c r="E3" s="1276" t="s">
        <v>448</v>
      </c>
      <c r="F3" s="1276" t="s">
        <v>880</v>
      </c>
      <c r="G3" s="1703"/>
      <c r="H3" s="1705"/>
    </row>
    <row r="4" spans="1:8" s="845" customFormat="1" ht="30" customHeight="1">
      <c r="A4" s="352" t="s">
        <v>1809</v>
      </c>
      <c r="B4" s="440">
        <f>+'3.면별급수현황'!D19</f>
        <v>15556</v>
      </c>
      <c r="C4" s="440">
        <f>+'3.면별급수현황'!D20</f>
        <v>15845</v>
      </c>
      <c r="D4" s="440">
        <f>+'3.면별급수현황'!D21</f>
        <v>15227</v>
      </c>
      <c r="E4" s="440">
        <f>+'3.면별급수현황'!D22</f>
        <v>15429</v>
      </c>
      <c r="F4" s="440">
        <f>+'3.면별급수현황'!D23</f>
        <v>16429</v>
      </c>
      <c r="G4" s="441">
        <f>AVERAGE(B4:F4)</f>
        <v>15697.2</v>
      </c>
      <c r="H4" s="353"/>
    </row>
    <row r="5" spans="1:8" s="845" customFormat="1" ht="30" customHeight="1">
      <c r="A5" s="352" t="s">
        <v>1509</v>
      </c>
      <c r="B5" s="442">
        <f>+'3.면별급수현황'!G19</f>
        <v>4270</v>
      </c>
      <c r="C5" s="442">
        <f>+'3.면별급수현황'!G20</f>
        <v>3609</v>
      </c>
      <c r="D5" s="442">
        <f>+'3.면별급수현황'!G21</f>
        <v>3664</v>
      </c>
      <c r="E5" s="442">
        <f>+'3.면별급수현황'!G22</f>
        <v>3882</v>
      </c>
      <c r="F5" s="442">
        <f>+'3.면별급수현황'!G23</f>
        <v>4795</v>
      </c>
      <c r="G5" s="442">
        <f>AVERAGE(B5:F5)</f>
        <v>4044</v>
      </c>
      <c r="H5" s="354"/>
    </row>
    <row r="6" spans="1:8" s="845" customFormat="1" ht="30" customHeight="1">
      <c r="A6" s="352" t="s">
        <v>338</v>
      </c>
      <c r="B6" s="443">
        <f>+'5.생산량분석'!R22</f>
        <v>0.10656998755956365</v>
      </c>
      <c r="C6" s="443">
        <f>+'5.생산량분석'!R23</f>
        <v>0.12086961793545428</v>
      </c>
      <c r="D6" s="443">
        <f>+'5.생산량분석'!R24</f>
        <v>4.4999959927204902E-2</v>
      </c>
      <c r="E6" s="443">
        <f>+'5.생산량분석'!R25</f>
        <v>9.5609116701252439E-2</v>
      </c>
      <c r="F6" s="443">
        <f>+'5.생산량분석'!R26</f>
        <v>0.10646092892187314</v>
      </c>
      <c r="G6" s="443">
        <f>AVERAGE(B6:F6)</f>
        <v>9.4901922209069678E-2</v>
      </c>
      <c r="H6" s="354"/>
    </row>
    <row r="7" spans="1:8" s="845" customFormat="1" ht="30" customHeight="1">
      <c r="A7" s="352" t="s">
        <v>339</v>
      </c>
      <c r="B7" s="442">
        <f>+B5*B6</f>
        <v>455.05384687933679</v>
      </c>
      <c r="C7" s="442">
        <f>+C5*C6</f>
        <v>436.21845112905453</v>
      </c>
      <c r="D7" s="442">
        <f>+D5*D6</f>
        <v>164.87985317327878</v>
      </c>
      <c r="E7" s="442">
        <f>+E5*E6</f>
        <v>371.15459103426195</v>
      </c>
      <c r="F7" s="442">
        <f>+F5*F6</f>
        <v>510.4801541803817</v>
      </c>
      <c r="G7" s="442">
        <f>AVERAGE(B7:F7)</f>
        <v>387.55737927926276</v>
      </c>
      <c r="H7" s="354"/>
    </row>
    <row r="8" spans="1:8" s="845" customFormat="1" ht="30" customHeight="1">
      <c r="A8" s="352" t="s">
        <v>340</v>
      </c>
      <c r="B8" s="445">
        <f>+B7/B4*1000</f>
        <v>29.252625795791769</v>
      </c>
      <c r="C8" s="445">
        <f t="shared" ref="C8:F8" si="0">+C7/C4*1000</f>
        <v>27.530353495049198</v>
      </c>
      <c r="D8" s="445">
        <f t="shared" si="0"/>
        <v>10.828124592715492</v>
      </c>
      <c r="E8" s="445">
        <f t="shared" si="0"/>
        <v>24.055647873113095</v>
      </c>
      <c r="F8" s="445">
        <f t="shared" si="0"/>
        <v>31.071894465906734</v>
      </c>
      <c r="G8" s="446">
        <f>AVERAGE(B8:F8)</f>
        <v>24.54772924451526</v>
      </c>
      <c r="H8" s="447"/>
    </row>
    <row r="9" spans="1:8" s="845" customFormat="1" ht="30" customHeight="1">
      <c r="A9" s="355" t="s">
        <v>55</v>
      </c>
      <c r="B9" s="1706">
        <f>G8</f>
        <v>24.54772924451526</v>
      </c>
      <c r="C9" s="1707"/>
      <c r="D9" s="1707"/>
      <c r="E9" s="1707"/>
      <c r="F9" s="1707"/>
      <c r="G9" s="1707"/>
      <c r="H9" s="356"/>
    </row>
    <row r="10" spans="1:8" s="845" customFormat="1" ht="30" customHeight="1">
      <c r="A10" s="1700" t="s">
        <v>35</v>
      </c>
      <c r="B10" s="1702" t="s">
        <v>335</v>
      </c>
      <c r="C10" s="1702"/>
      <c r="D10" s="1702"/>
      <c r="E10" s="1702"/>
      <c r="F10" s="1702"/>
      <c r="G10" s="1702" t="s">
        <v>336</v>
      </c>
      <c r="H10" s="1704" t="s">
        <v>337</v>
      </c>
    </row>
    <row r="11" spans="1:8" s="845" customFormat="1" ht="30" customHeight="1">
      <c r="A11" s="1701"/>
      <c r="B11" s="1276" t="s">
        <v>445</v>
      </c>
      <c r="C11" s="1276" t="s">
        <v>446</v>
      </c>
      <c r="D11" s="1276" t="s">
        <v>447</v>
      </c>
      <c r="E11" s="1276" t="s">
        <v>448</v>
      </c>
      <c r="F11" s="1276" t="s">
        <v>880</v>
      </c>
      <c r="G11" s="1703"/>
      <c r="H11" s="1705"/>
    </row>
    <row r="12" spans="1:8" s="845" customFormat="1" ht="30" customHeight="1">
      <c r="A12" s="352" t="s">
        <v>1808</v>
      </c>
      <c r="B12" s="440">
        <f>+'3.면별급수현황'!D29</f>
        <v>15985</v>
      </c>
      <c r="C12" s="440">
        <f>+'3.면별급수현황'!D30</f>
        <v>16978</v>
      </c>
      <c r="D12" s="440">
        <f>+'3.면별급수현황'!D31</f>
        <v>18885</v>
      </c>
      <c r="E12" s="440">
        <f>+'3.면별급수현황'!D32</f>
        <v>19253</v>
      </c>
      <c r="F12" s="440">
        <f>+'3.면별급수현황'!D33</f>
        <v>20253</v>
      </c>
      <c r="G12" s="441">
        <f>AVERAGE(B12:F12)</f>
        <v>18270.8</v>
      </c>
      <c r="H12" s="353"/>
    </row>
    <row r="13" spans="1:8" s="845" customFormat="1" ht="30" customHeight="1">
      <c r="A13" s="352" t="s">
        <v>1787</v>
      </c>
      <c r="B13" s="442">
        <f>+'3.면별급수현황'!G29</f>
        <v>5229</v>
      </c>
      <c r="C13" s="442">
        <f>+'3.면별급수현황'!G30</f>
        <v>3912</v>
      </c>
      <c r="D13" s="442">
        <f>+'3.면별급수현황'!G31</f>
        <v>4051</v>
      </c>
      <c r="E13" s="442">
        <f>+'3.면별급수현황'!G32</f>
        <v>4346</v>
      </c>
      <c r="F13" s="442">
        <f>+'3.면별급수현황'!G33</f>
        <v>5609</v>
      </c>
      <c r="G13" s="442">
        <f>AVERAGE(B13:F13)</f>
        <v>4629.3999999999996</v>
      </c>
      <c r="H13" s="354"/>
    </row>
    <row r="14" spans="1:8" s="845" customFormat="1" ht="30" customHeight="1">
      <c r="A14" s="352" t="s">
        <v>338</v>
      </c>
      <c r="B14" s="443">
        <f>B6</f>
        <v>0.10656998755956365</v>
      </c>
      <c r="C14" s="443">
        <f>C6</f>
        <v>0.12086961793545428</v>
      </c>
      <c r="D14" s="443">
        <f>D6</f>
        <v>4.4999959927204902E-2</v>
      </c>
      <c r="E14" s="443">
        <f>E6</f>
        <v>9.5609116701252439E-2</v>
      </c>
      <c r="F14" s="443">
        <f>F6</f>
        <v>0.10646092892187314</v>
      </c>
      <c r="G14" s="443">
        <f>AVERAGE(B14:F14)</f>
        <v>9.4901922209069678E-2</v>
      </c>
      <c r="H14" s="354"/>
    </row>
    <row r="15" spans="1:8" s="845" customFormat="1" ht="30" customHeight="1">
      <c r="A15" s="352" t="s">
        <v>339</v>
      </c>
      <c r="B15" s="442">
        <f>+B13*B14</f>
        <v>557.25446494895834</v>
      </c>
      <c r="C15" s="442">
        <f>+C13*C14</f>
        <v>472.84194536349713</v>
      </c>
      <c r="D15" s="442">
        <f>+D13*D14</f>
        <v>182.29483766510705</v>
      </c>
      <c r="E15" s="442">
        <f>+E13*E14</f>
        <v>415.51722118364307</v>
      </c>
      <c r="F15" s="442">
        <f>+F13*F14</f>
        <v>597.13935032278641</v>
      </c>
      <c r="G15" s="442">
        <f>AVERAGE(B15:F15)</f>
        <v>445.0095638967984</v>
      </c>
      <c r="H15" s="354"/>
    </row>
    <row r="16" spans="1:8" s="845" customFormat="1" ht="30" customHeight="1">
      <c r="A16" s="352" t="s">
        <v>340</v>
      </c>
      <c r="B16" s="445">
        <f>+B15/B12*1000</f>
        <v>34.86108632774215</v>
      </c>
      <c r="C16" s="445">
        <f t="shared" ref="C16:F16" si="1">+C15/C12*1000</f>
        <v>27.850273610760816</v>
      </c>
      <c r="D16" s="445">
        <f t="shared" si="1"/>
        <v>9.6528905303207342</v>
      </c>
      <c r="E16" s="445">
        <f t="shared" si="1"/>
        <v>21.581946771082066</v>
      </c>
      <c r="F16" s="445">
        <f t="shared" si="1"/>
        <v>29.483994979646791</v>
      </c>
      <c r="G16" s="446">
        <f>AVERAGE(B16:F16)</f>
        <v>24.686038443910512</v>
      </c>
      <c r="H16" s="447"/>
    </row>
    <row r="17" spans="1:8" s="845" customFormat="1" ht="30" customHeight="1">
      <c r="A17" s="355" t="s">
        <v>55</v>
      </c>
      <c r="B17" s="1706">
        <f>G16</f>
        <v>24.686038443910512</v>
      </c>
      <c r="C17" s="1707"/>
      <c r="D17" s="1707"/>
      <c r="E17" s="1707"/>
      <c r="F17" s="1707"/>
      <c r="G17" s="1707"/>
      <c r="H17" s="356"/>
    </row>
    <row r="18" spans="1:8" s="845" customFormat="1" ht="30" customHeight="1">
      <c r="A18" s="1700" t="s">
        <v>35</v>
      </c>
      <c r="B18" s="1702" t="s">
        <v>335</v>
      </c>
      <c r="C18" s="1702"/>
      <c r="D18" s="1702"/>
      <c r="E18" s="1702"/>
      <c r="F18" s="1702"/>
      <c r="G18" s="1702" t="s">
        <v>336</v>
      </c>
      <c r="H18" s="1704" t="s">
        <v>337</v>
      </c>
    </row>
    <row r="19" spans="1:8" s="845" customFormat="1" ht="30" customHeight="1">
      <c r="A19" s="1701"/>
      <c r="B19" s="1276" t="s">
        <v>445</v>
      </c>
      <c r="C19" s="1276" t="s">
        <v>446</v>
      </c>
      <c r="D19" s="1276" t="s">
        <v>447</v>
      </c>
      <c r="E19" s="1276" t="s">
        <v>448</v>
      </c>
      <c r="F19" s="1276" t="s">
        <v>880</v>
      </c>
      <c r="G19" s="1703"/>
      <c r="H19" s="1705"/>
    </row>
    <row r="20" spans="1:8" s="845" customFormat="1" ht="30" customHeight="1">
      <c r="A20" s="352" t="s">
        <v>1807</v>
      </c>
      <c r="B20" s="440">
        <f>+'3.면별급수현황'!D69</f>
        <v>12562</v>
      </c>
      <c r="C20" s="440">
        <f>+'3.면별급수현황'!D70</f>
        <v>14898</v>
      </c>
      <c r="D20" s="440">
        <f>+'3.면별급수현황'!D71</f>
        <v>14201</v>
      </c>
      <c r="E20" s="440">
        <f>+'3.면별급수현황'!D72</f>
        <v>14561</v>
      </c>
      <c r="F20" s="440">
        <f>+'3.면별급수현황'!D73</f>
        <v>16561</v>
      </c>
      <c r="G20" s="441">
        <f>AVERAGE(B20:F20)</f>
        <v>14556.6</v>
      </c>
      <c r="H20" s="353"/>
    </row>
    <row r="21" spans="1:8" s="845" customFormat="1" ht="30" customHeight="1">
      <c r="A21" s="352" t="s">
        <v>1800</v>
      </c>
      <c r="B21" s="442">
        <f>+'3.면별급수현황'!G69</f>
        <v>4405</v>
      </c>
      <c r="C21" s="442">
        <f>+'3.면별급수현황'!G70</f>
        <v>2801</v>
      </c>
      <c r="D21" s="442">
        <f>+'3.면별급수현황'!G71</f>
        <v>2989</v>
      </c>
      <c r="E21" s="442">
        <f>+'3.면별급수현황'!G72</f>
        <v>3286</v>
      </c>
      <c r="F21" s="442">
        <f>+'3.면별급수현황'!G73</f>
        <v>4622</v>
      </c>
      <c r="G21" s="442">
        <f>AVERAGE(B21:F21)</f>
        <v>3620.6</v>
      </c>
      <c r="H21" s="354"/>
    </row>
    <row r="22" spans="1:8" s="845" customFormat="1" ht="30" customHeight="1">
      <c r="A22" s="352" t="s">
        <v>338</v>
      </c>
      <c r="B22" s="443">
        <f>B14</f>
        <v>0.10656998755956365</v>
      </c>
      <c r="C22" s="443">
        <f>C14</f>
        <v>0.12086961793545428</v>
      </c>
      <c r="D22" s="443">
        <f>D14</f>
        <v>4.4999959927204902E-2</v>
      </c>
      <c r="E22" s="443">
        <f>E14</f>
        <v>9.5609116701252439E-2</v>
      </c>
      <c r="F22" s="443">
        <f>F14</f>
        <v>0.10646092892187314</v>
      </c>
      <c r="G22" s="443">
        <f>AVERAGE(B22:F22)</f>
        <v>9.4901922209069678E-2</v>
      </c>
      <c r="H22" s="354"/>
    </row>
    <row r="23" spans="1:8" s="845" customFormat="1" ht="30" customHeight="1">
      <c r="A23" s="352" t="s">
        <v>339</v>
      </c>
      <c r="B23" s="442">
        <f>+B21*B22</f>
        <v>469.44079519987787</v>
      </c>
      <c r="C23" s="442">
        <f>+C21*C22</f>
        <v>338.55579983720742</v>
      </c>
      <c r="D23" s="442">
        <f>+D21*D22</f>
        <v>134.50488022241547</v>
      </c>
      <c r="E23" s="442">
        <f>+E21*E22</f>
        <v>314.17155748031553</v>
      </c>
      <c r="F23" s="442">
        <f>+F21*F22</f>
        <v>492.06241347689769</v>
      </c>
      <c r="G23" s="442">
        <f>AVERAGE(B23:F23)</f>
        <v>349.74708924334283</v>
      </c>
      <c r="H23" s="354"/>
    </row>
    <row r="24" spans="1:8" s="845" customFormat="1" ht="30" customHeight="1">
      <c r="A24" s="352" t="s">
        <v>340</v>
      </c>
      <c r="B24" s="445">
        <f>+B23/B20*1000</f>
        <v>37.369908868004927</v>
      </c>
      <c r="C24" s="445">
        <f t="shared" ref="C24:F24" si="2">+C23/C20*1000</f>
        <v>22.724916085193144</v>
      </c>
      <c r="D24" s="445">
        <f t="shared" si="2"/>
        <v>9.4715076559689795</v>
      </c>
      <c r="E24" s="445">
        <f t="shared" si="2"/>
        <v>21.576234975641476</v>
      </c>
      <c r="F24" s="445">
        <f t="shared" si="2"/>
        <v>29.712119647176962</v>
      </c>
      <c r="G24" s="446">
        <f>AVERAGE(B24:F24)</f>
        <v>24.170937446397097</v>
      </c>
      <c r="H24" s="447"/>
    </row>
    <row r="25" spans="1:8" s="845" customFormat="1" ht="30" customHeight="1">
      <c r="A25" s="355" t="s">
        <v>55</v>
      </c>
      <c r="B25" s="1706">
        <f>G24</f>
        <v>24.170937446397097</v>
      </c>
      <c r="C25" s="1707"/>
      <c r="D25" s="1707"/>
      <c r="E25" s="1707"/>
      <c r="F25" s="1707"/>
      <c r="G25" s="1707"/>
      <c r="H25" s="356"/>
    </row>
    <row r="26" spans="1:8" s="845" customFormat="1" ht="30" customHeight="1">
      <c r="A26" s="1700" t="s">
        <v>35</v>
      </c>
      <c r="B26" s="1702" t="s">
        <v>335</v>
      </c>
      <c r="C26" s="1702"/>
      <c r="D26" s="1702"/>
      <c r="E26" s="1702"/>
      <c r="F26" s="1702"/>
      <c r="G26" s="1702" t="s">
        <v>336</v>
      </c>
      <c r="H26" s="1704" t="s">
        <v>337</v>
      </c>
    </row>
    <row r="27" spans="1:8" s="845" customFormat="1" ht="30" customHeight="1">
      <c r="A27" s="1701"/>
      <c r="B27" s="1276" t="s">
        <v>445</v>
      </c>
      <c r="C27" s="1276" t="s">
        <v>446</v>
      </c>
      <c r="D27" s="1276" t="s">
        <v>447</v>
      </c>
      <c r="E27" s="1276" t="s">
        <v>448</v>
      </c>
      <c r="F27" s="1276" t="s">
        <v>880</v>
      </c>
      <c r="G27" s="1703"/>
      <c r="H27" s="1705"/>
    </row>
    <row r="28" spans="1:8" s="845" customFormat="1" ht="30" customHeight="1">
      <c r="A28" s="352" t="s">
        <v>1806</v>
      </c>
      <c r="B28" s="440">
        <f>+'3.면별급수현황'!D79</f>
        <v>4165</v>
      </c>
      <c r="C28" s="440">
        <f>+'3.면별급수현황'!D80</f>
        <v>5895</v>
      </c>
      <c r="D28" s="440">
        <f>+'3.면별급수현황'!D81</f>
        <v>5509</v>
      </c>
      <c r="E28" s="440">
        <f>+'3.면별급수현황'!D82</f>
        <v>6607</v>
      </c>
      <c r="F28" s="440">
        <f>+'3.면별급수현황'!D83</f>
        <v>7910</v>
      </c>
      <c r="G28" s="441">
        <f>AVERAGE(B28:F28)</f>
        <v>6017.2</v>
      </c>
      <c r="H28" s="353"/>
    </row>
    <row r="29" spans="1:8" s="845" customFormat="1" ht="30" customHeight="1">
      <c r="A29" s="352" t="s">
        <v>1801</v>
      </c>
      <c r="B29" s="442">
        <f>+'3.면별급수현황'!G79</f>
        <v>1507</v>
      </c>
      <c r="C29" s="442">
        <f>+'3.면별급수현황'!G80</f>
        <v>723</v>
      </c>
      <c r="D29" s="442">
        <f>+'3.면별급수현황'!G81</f>
        <v>1323</v>
      </c>
      <c r="E29" s="442">
        <f>+'3.면별급수현황'!G82</f>
        <v>1416</v>
      </c>
      <c r="F29" s="442">
        <f>+'3.면별급수현황'!G83</f>
        <v>2637</v>
      </c>
      <c r="G29" s="442">
        <f>AVERAGE(B29:F29)</f>
        <v>1521.2</v>
      </c>
      <c r="H29" s="354"/>
    </row>
    <row r="30" spans="1:8" s="845" customFormat="1" ht="30" customHeight="1">
      <c r="A30" s="352" t="s">
        <v>338</v>
      </c>
      <c r="B30" s="443">
        <f>B22</f>
        <v>0.10656998755956365</v>
      </c>
      <c r="C30" s="443">
        <f>C22</f>
        <v>0.12086961793545428</v>
      </c>
      <c r="D30" s="443">
        <f>D22</f>
        <v>4.4999959927204902E-2</v>
      </c>
      <c r="E30" s="443">
        <f>E22</f>
        <v>9.5609116701252439E-2</v>
      </c>
      <c r="F30" s="443">
        <f>F22</f>
        <v>0.10646092892187314</v>
      </c>
      <c r="G30" s="443">
        <f>AVERAGE(B30:F30)</f>
        <v>9.4901922209069678E-2</v>
      </c>
      <c r="H30" s="354"/>
    </row>
    <row r="31" spans="1:8" s="845" customFormat="1" ht="30" customHeight="1">
      <c r="A31" s="352" t="s">
        <v>339</v>
      </c>
      <c r="B31" s="442">
        <f>+B29*B30</f>
        <v>160.60097125226241</v>
      </c>
      <c r="C31" s="442">
        <f>+C29*C30</f>
        <v>87.388733767333449</v>
      </c>
      <c r="D31" s="442">
        <f>+D29*D30</f>
        <v>59.534946983692087</v>
      </c>
      <c r="E31" s="442">
        <f>+E29*E30</f>
        <v>135.38250924897346</v>
      </c>
      <c r="F31" s="442">
        <f>+F29*F30</f>
        <v>280.73746956697948</v>
      </c>
      <c r="G31" s="442">
        <f>AVERAGE(B31:F31)</f>
        <v>144.72892616384817</v>
      </c>
      <c r="H31" s="354"/>
    </row>
    <row r="32" spans="1:8" s="845" customFormat="1" ht="30" customHeight="1">
      <c r="A32" s="352" t="s">
        <v>340</v>
      </c>
      <c r="B32" s="445">
        <f>+B31/B28*1000</f>
        <v>38.559656963328308</v>
      </c>
      <c r="C32" s="445">
        <f t="shared" ref="C32:F32" si="3">+C31/C28*1000</f>
        <v>14.824212683177855</v>
      </c>
      <c r="D32" s="445">
        <f t="shared" si="3"/>
        <v>10.806851875783643</v>
      </c>
      <c r="E32" s="445">
        <f t="shared" si="3"/>
        <v>20.49076876781799</v>
      </c>
      <c r="F32" s="445">
        <f t="shared" si="3"/>
        <v>35.491462650692732</v>
      </c>
      <c r="G32" s="446">
        <f>AVERAGE(B32:F32)</f>
        <v>24.034590588160107</v>
      </c>
      <c r="H32" s="447"/>
    </row>
    <row r="33" spans="1:8" s="845" customFormat="1" ht="30" customHeight="1">
      <c r="A33" s="355" t="s">
        <v>55</v>
      </c>
      <c r="B33" s="1706">
        <f>G32</f>
        <v>24.034590588160107</v>
      </c>
      <c r="C33" s="1707"/>
      <c r="D33" s="1707"/>
      <c r="E33" s="1707"/>
      <c r="F33" s="1707"/>
      <c r="G33" s="1707"/>
      <c r="H33" s="356"/>
    </row>
    <row r="34" spans="1:8" s="845" customFormat="1" ht="30" customHeight="1">
      <c r="A34" s="1700" t="s">
        <v>35</v>
      </c>
      <c r="B34" s="1702" t="s">
        <v>335</v>
      </c>
      <c r="C34" s="1702"/>
      <c r="D34" s="1702"/>
      <c r="E34" s="1702"/>
      <c r="F34" s="1702"/>
      <c r="G34" s="1702" t="s">
        <v>336</v>
      </c>
      <c r="H34" s="1704" t="s">
        <v>337</v>
      </c>
    </row>
    <row r="35" spans="1:8" s="845" customFormat="1" ht="30" customHeight="1">
      <c r="A35" s="1701"/>
      <c r="B35" s="1276" t="s">
        <v>445</v>
      </c>
      <c r="C35" s="1276" t="s">
        <v>446</v>
      </c>
      <c r="D35" s="1276" t="s">
        <v>447</v>
      </c>
      <c r="E35" s="1276" t="s">
        <v>448</v>
      </c>
      <c r="F35" s="1276" t="s">
        <v>880</v>
      </c>
      <c r="G35" s="1703"/>
      <c r="H35" s="1705"/>
    </row>
    <row r="36" spans="1:8" s="845" customFormat="1" ht="30" customHeight="1">
      <c r="A36" s="352" t="s">
        <v>1805</v>
      </c>
      <c r="B36" s="440">
        <f>+'3.면별급수현황'!D89</f>
        <v>3421</v>
      </c>
      <c r="C36" s="440">
        <f>+'3.면별급수현황'!D90</f>
        <v>3204</v>
      </c>
      <c r="D36" s="440">
        <f>+'3.면별급수현황'!D91</f>
        <v>4765</v>
      </c>
      <c r="E36" s="440">
        <f>+'3.면별급수현황'!D92</f>
        <v>4882</v>
      </c>
      <c r="F36" s="440">
        <f>+'3.면별급수현황'!D93</f>
        <v>9669</v>
      </c>
      <c r="G36" s="441">
        <f>AVERAGE(B36:F36)</f>
        <v>5188.2</v>
      </c>
      <c r="H36" s="353"/>
    </row>
    <row r="37" spans="1:8" s="845" customFormat="1" ht="30" customHeight="1">
      <c r="A37" s="352" t="s">
        <v>1802</v>
      </c>
      <c r="B37" s="442">
        <f>+'3.면별급수현황'!G89</f>
        <v>1515</v>
      </c>
      <c r="C37" s="442">
        <f>+'3.면별급수현황'!G90</f>
        <v>1218</v>
      </c>
      <c r="D37" s="442">
        <f>+'3.면별급수현황'!G91</f>
        <v>1362</v>
      </c>
      <c r="E37" s="442">
        <f>+'3.면별급수현황'!G92</f>
        <v>1311</v>
      </c>
      <c r="F37" s="442">
        <f>+'3.면별급수현황'!G93</f>
        <v>2745</v>
      </c>
      <c r="G37" s="442">
        <f>AVERAGE(B37:F37)</f>
        <v>1630.2</v>
      </c>
      <c r="H37" s="354"/>
    </row>
    <row r="38" spans="1:8" s="845" customFormat="1" ht="30" customHeight="1">
      <c r="A38" s="352" t="s">
        <v>338</v>
      </c>
      <c r="B38" s="443">
        <f>B30</f>
        <v>0.10656998755956365</v>
      </c>
      <c r="C38" s="443">
        <f>C30</f>
        <v>0.12086961793545428</v>
      </c>
      <c r="D38" s="443">
        <f>D30</f>
        <v>4.4999959927204902E-2</v>
      </c>
      <c r="E38" s="443">
        <f>E30</f>
        <v>9.5609116701252439E-2</v>
      </c>
      <c r="F38" s="443">
        <f>F30</f>
        <v>0.10646092892187314</v>
      </c>
      <c r="G38" s="443">
        <f>AVERAGE(B38:F38)</f>
        <v>9.4901922209069678E-2</v>
      </c>
      <c r="H38" s="354"/>
    </row>
    <row r="39" spans="1:8" s="845" customFormat="1" ht="30" customHeight="1">
      <c r="A39" s="352" t="s">
        <v>339</v>
      </c>
      <c r="B39" s="442">
        <f>+B37*B38</f>
        <v>161.45353115273892</v>
      </c>
      <c r="C39" s="442">
        <f>+C37*C38</f>
        <v>147.21919464538331</v>
      </c>
      <c r="D39" s="442">
        <f>+D37*D38</f>
        <v>61.28994542085308</v>
      </c>
      <c r="E39" s="442">
        <f>+E37*E38</f>
        <v>125.34355199534195</v>
      </c>
      <c r="F39" s="442">
        <f>+F37*F38</f>
        <v>292.23524989054175</v>
      </c>
      <c r="G39" s="442">
        <f>AVERAGE(B39:F39)</f>
        <v>157.50829462097181</v>
      </c>
      <c r="H39" s="354"/>
    </row>
    <row r="40" spans="1:8" s="845" customFormat="1" ht="30" customHeight="1">
      <c r="A40" s="352" t="s">
        <v>340</v>
      </c>
      <c r="B40" s="445">
        <f>+B39/B36*1000</f>
        <v>47.194835180572618</v>
      </c>
      <c r="C40" s="445">
        <f t="shared" ref="C40:F40" si="4">+C39/C36*1000</f>
        <v>45.948562623403028</v>
      </c>
      <c r="D40" s="445">
        <f t="shared" si="4"/>
        <v>12.862527895247236</v>
      </c>
      <c r="E40" s="445">
        <f t="shared" si="4"/>
        <v>25.674631707362138</v>
      </c>
      <c r="F40" s="445">
        <f t="shared" si="4"/>
        <v>30.223937314152629</v>
      </c>
      <c r="G40" s="446">
        <f>AVERAGE(B40:F40)</f>
        <v>32.380898944147532</v>
      </c>
      <c r="H40" s="447"/>
    </row>
    <row r="41" spans="1:8" s="845" customFormat="1" ht="30" customHeight="1">
      <c r="A41" s="355" t="s">
        <v>55</v>
      </c>
      <c r="B41" s="1706">
        <f>G40</f>
        <v>32.380898944147532</v>
      </c>
      <c r="C41" s="1707"/>
      <c r="D41" s="1707"/>
      <c r="E41" s="1707"/>
      <c r="F41" s="1707"/>
      <c r="G41" s="1707"/>
      <c r="H41" s="356"/>
    </row>
    <row r="42" spans="1:8" s="845" customFormat="1" ht="30" customHeight="1">
      <c r="A42" s="1700" t="s">
        <v>35</v>
      </c>
      <c r="B42" s="1702" t="s">
        <v>335</v>
      </c>
      <c r="C42" s="1702"/>
      <c r="D42" s="1702"/>
      <c r="E42" s="1702"/>
      <c r="F42" s="1702"/>
      <c r="G42" s="1702" t="s">
        <v>336</v>
      </c>
      <c r="H42" s="1704" t="s">
        <v>337</v>
      </c>
    </row>
    <row r="43" spans="1:8" s="845" customFormat="1" ht="30" customHeight="1">
      <c r="A43" s="1701"/>
      <c r="B43" s="1276" t="s">
        <v>445</v>
      </c>
      <c r="C43" s="1276" t="s">
        <v>446</v>
      </c>
      <c r="D43" s="1276" t="s">
        <v>447</v>
      </c>
      <c r="E43" s="1276" t="s">
        <v>448</v>
      </c>
      <c r="F43" s="1276" t="s">
        <v>880</v>
      </c>
      <c r="G43" s="1703"/>
      <c r="H43" s="1705"/>
    </row>
    <row r="44" spans="1:8" s="845" customFormat="1" ht="30" customHeight="1">
      <c r="A44" s="352" t="s">
        <v>1804</v>
      </c>
      <c r="B44" s="440">
        <f>+'3.면별급수현황'!D99</f>
        <v>7659</v>
      </c>
      <c r="C44" s="440">
        <f>+'3.면별급수현황'!D100</f>
        <v>8786</v>
      </c>
      <c r="D44" s="440">
        <f>+'3.면별급수현황'!D101</f>
        <v>9029</v>
      </c>
      <c r="E44" s="440">
        <f>+'3.면별급수현황'!D102</f>
        <v>9061</v>
      </c>
      <c r="F44" s="440">
        <f>+'3.면별급수현황'!D103</f>
        <v>9061</v>
      </c>
      <c r="G44" s="441">
        <f>AVERAGE(B44:F44)</f>
        <v>8719.2000000000007</v>
      </c>
      <c r="H44" s="353"/>
    </row>
    <row r="45" spans="1:8" s="845" customFormat="1" ht="30" customHeight="1">
      <c r="A45" s="352" t="s">
        <v>1803</v>
      </c>
      <c r="B45" s="442">
        <f>+'3.면별급수현황'!G99</f>
        <v>2799</v>
      </c>
      <c r="C45" s="442">
        <f>+'3.면별급수현황'!G100</f>
        <v>2183</v>
      </c>
      <c r="D45" s="442">
        <f>+'3.면별급수현황'!G101</f>
        <v>2188</v>
      </c>
      <c r="E45" s="442">
        <f>+'3.면별급수현황'!G102</f>
        <v>2256</v>
      </c>
      <c r="F45" s="442">
        <f>+'3.면별급수현황'!G103</f>
        <v>4462</v>
      </c>
      <c r="G45" s="442">
        <f>AVERAGE(B45:F45)</f>
        <v>2777.6</v>
      </c>
      <c r="H45" s="354"/>
    </row>
    <row r="46" spans="1:8" s="845" customFormat="1" ht="30" customHeight="1">
      <c r="A46" s="352" t="s">
        <v>338</v>
      </c>
      <c r="B46" s="443">
        <f>B38</f>
        <v>0.10656998755956365</v>
      </c>
      <c r="C46" s="443">
        <f>C38</f>
        <v>0.12086961793545428</v>
      </c>
      <c r="D46" s="443">
        <f>D38</f>
        <v>4.4999959927204902E-2</v>
      </c>
      <c r="E46" s="443">
        <f>E38</f>
        <v>9.5609116701252439E-2</v>
      </c>
      <c r="F46" s="443">
        <f>F38</f>
        <v>0.10646092892187314</v>
      </c>
      <c r="G46" s="443">
        <f>AVERAGE(B46:F46)</f>
        <v>9.4901922209069678E-2</v>
      </c>
      <c r="H46" s="354"/>
    </row>
    <row r="47" spans="1:8" s="845" customFormat="1" ht="30" customHeight="1">
      <c r="A47" s="352" t="s">
        <v>339</v>
      </c>
      <c r="B47" s="442">
        <f>+B45*B46</f>
        <v>298.28939517921867</v>
      </c>
      <c r="C47" s="442">
        <f>+C45*C46</f>
        <v>263.8583759530967</v>
      </c>
      <c r="D47" s="442">
        <f>+D45*D46</f>
        <v>98.459912320724328</v>
      </c>
      <c r="E47" s="442">
        <f>+E45*E46</f>
        <v>215.6941672780255</v>
      </c>
      <c r="F47" s="442">
        <f>+F45*F46</f>
        <v>475.02866484939796</v>
      </c>
      <c r="G47" s="442">
        <f>AVERAGE(B47:F47)</f>
        <v>270.26610311609267</v>
      </c>
      <c r="H47" s="354"/>
    </row>
    <row r="48" spans="1:8" s="845" customFormat="1" ht="30" customHeight="1">
      <c r="A48" s="352" t="s">
        <v>340</v>
      </c>
      <c r="B48" s="445">
        <f>+B47/B44*1000</f>
        <v>38.946258673354052</v>
      </c>
      <c r="C48" s="445">
        <f t="shared" ref="C48:F48" si="5">+C47/C44*1000</f>
        <v>30.031684037456944</v>
      </c>
      <c r="D48" s="445">
        <f t="shared" si="5"/>
        <v>10.904852400124524</v>
      </c>
      <c r="E48" s="445">
        <f t="shared" si="5"/>
        <v>23.804675783911875</v>
      </c>
      <c r="F48" s="445">
        <f t="shared" si="5"/>
        <v>52.425633467541992</v>
      </c>
      <c r="G48" s="446">
        <f>AVERAGE(B48:F48)</f>
        <v>31.222620872477876</v>
      </c>
      <c r="H48" s="447"/>
    </row>
    <row r="49" spans="1:8" s="845" customFormat="1" ht="30" customHeight="1">
      <c r="A49" s="355" t="s">
        <v>55</v>
      </c>
      <c r="B49" s="1706">
        <f>G48</f>
        <v>31.222620872477876</v>
      </c>
      <c r="C49" s="1707"/>
      <c r="D49" s="1707"/>
      <c r="E49" s="1707"/>
      <c r="F49" s="1707"/>
      <c r="G49" s="1707"/>
      <c r="H49" s="356"/>
    </row>
  </sheetData>
  <mergeCells count="30">
    <mergeCell ref="A42:A43"/>
    <mergeCell ref="B42:F42"/>
    <mergeCell ref="G42:G43"/>
    <mergeCell ref="H42:H43"/>
    <mergeCell ref="B49:G49"/>
    <mergeCell ref="A34:A35"/>
    <mergeCell ref="B34:F34"/>
    <mergeCell ref="G34:G35"/>
    <mergeCell ref="H34:H35"/>
    <mergeCell ref="B41:G41"/>
    <mergeCell ref="A26:A27"/>
    <mergeCell ref="B26:F26"/>
    <mergeCell ref="G26:G27"/>
    <mergeCell ref="H26:H27"/>
    <mergeCell ref="B33:G33"/>
    <mergeCell ref="A18:A19"/>
    <mergeCell ref="B18:F18"/>
    <mergeCell ref="G18:G19"/>
    <mergeCell ref="H18:H19"/>
    <mergeCell ref="B25:G25"/>
    <mergeCell ref="A10:A11"/>
    <mergeCell ref="B10:F10"/>
    <mergeCell ref="G10:G11"/>
    <mergeCell ref="H10:H11"/>
    <mergeCell ref="B17:G17"/>
    <mergeCell ref="A2:A3"/>
    <mergeCell ref="B2:F2"/>
    <mergeCell ref="G2:G3"/>
    <mergeCell ref="H2:H3"/>
    <mergeCell ref="B9:G9"/>
  </mergeCells>
  <phoneticPr fontId="7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115"/>
  <sheetViews>
    <sheetView workbookViewId="0"/>
  </sheetViews>
  <sheetFormatPr defaultRowHeight="13.5"/>
  <cols>
    <col min="1" max="2" width="8.88671875" style="470"/>
    <col min="3" max="3" width="10.21875" style="470" bestFit="1" customWidth="1"/>
    <col min="4" max="7" width="10.33203125" style="470" customWidth="1"/>
    <col min="8" max="10" width="8.88671875" style="470"/>
    <col min="11" max="11" width="10.21875" style="470" bestFit="1" customWidth="1"/>
    <col min="12" max="14" width="8.88671875" style="470"/>
    <col min="15" max="15" width="11.5546875" style="470" bestFit="1" customWidth="1"/>
    <col min="16" max="16" width="11.5546875" style="470" customWidth="1"/>
    <col min="17" max="17" width="3.33203125" style="470" customWidth="1"/>
    <col min="18" max="258" width="8.88671875" style="470"/>
    <col min="259" max="259" width="10.21875" style="470" bestFit="1" customWidth="1"/>
    <col min="260" max="263" width="10.33203125" style="470" customWidth="1"/>
    <col min="264" max="266" width="8.88671875" style="470"/>
    <col min="267" max="267" width="10.21875" style="470" bestFit="1" customWidth="1"/>
    <col min="268" max="270" width="8.88671875" style="470"/>
    <col min="271" max="271" width="11.5546875" style="470" bestFit="1" customWidth="1"/>
    <col min="272" max="272" width="11.5546875" style="470" customWidth="1"/>
    <col min="273" max="273" width="3.33203125" style="470" customWidth="1"/>
    <col min="274" max="514" width="8.88671875" style="470"/>
    <col min="515" max="515" width="10.21875" style="470" bestFit="1" customWidth="1"/>
    <col min="516" max="519" width="10.33203125" style="470" customWidth="1"/>
    <col min="520" max="522" width="8.88671875" style="470"/>
    <col min="523" max="523" width="10.21875" style="470" bestFit="1" customWidth="1"/>
    <col min="524" max="526" width="8.88671875" style="470"/>
    <col min="527" max="527" width="11.5546875" style="470" bestFit="1" customWidth="1"/>
    <col min="528" max="528" width="11.5546875" style="470" customWidth="1"/>
    <col min="529" max="529" width="3.33203125" style="470" customWidth="1"/>
    <col min="530" max="770" width="8.88671875" style="470"/>
    <col min="771" max="771" width="10.21875" style="470" bestFit="1" customWidth="1"/>
    <col min="772" max="775" width="10.33203125" style="470" customWidth="1"/>
    <col min="776" max="778" width="8.88671875" style="470"/>
    <col min="779" max="779" width="10.21875" style="470" bestFit="1" customWidth="1"/>
    <col min="780" max="782" width="8.88671875" style="470"/>
    <col min="783" max="783" width="11.5546875" style="470" bestFit="1" customWidth="1"/>
    <col min="784" max="784" width="11.5546875" style="470" customWidth="1"/>
    <col min="785" max="785" width="3.33203125" style="470" customWidth="1"/>
    <col min="786" max="1026" width="8.88671875" style="470"/>
    <col min="1027" max="1027" width="10.21875" style="470" bestFit="1" customWidth="1"/>
    <col min="1028" max="1031" width="10.33203125" style="470" customWidth="1"/>
    <col min="1032" max="1034" width="8.88671875" style="470"/>
    <col min="1035" max="1035" width="10.21875" style="470" bestFit="1" customWidth="1"/>
    <col min="1036" max="1038" width="8.88671875" style="470"/>
    <col min="1039" max="1039" width="11.5546875" style="470" bestFit="1" customWidth="1"/>
    <col min="1040" max="1040" width="11.5546875" style="470" customWidth="1"/>
    <col min="1041" max="1041" width="3.33203125" style="470" customWidth="1"/>
    <col min="1042" max="1282" width="8.88671875" style="470"/>
    <col min="1283" max="1283" width="10.21875" style="470" bestFit="1" customWidth="1"/>
    <col min="1284" max="1287" width="10.33203125" style="470" customWidth="1"/>
    <col min="1288" max="1290" width="8.88671875" style="470"/>
    <col min="1291" max="1291" width="10.21875" style="470" bestFit="1" customWidth="1"/>
    <col min="1292" max="1294" width="8.88671875" style="470"/>
    <col min="1295" max="1295" width="11.5546875" style="470" bestFit="1" customWidth="1"/>
    <col min="1296" max="1296" width="11.5546875" style="470" customWidth="1"/>
    <col min="1297" max="1297" width="3.33203125" style="470" customWidth="1"/>
    <col min="1298" max="1538" width="8.88671875" style="470"/>
    <col min="1539" max="1539" width="10.21875" style="470" bestFit="1" customWidth="1"/>
    <col min="1540" max="1543" width="10.33203125" style="470" customWidth="1"/>
    <col min="1544" max="1546" width="8.88671875" style="470"/>
    <col min="1547" max="1547" width="10.21875" style="470" bestFit="1" customWidth="1"/>
    <col min="1548" max="1550" width="8.88671875" style="470"/>
    <col min="1551" max="1551" width="11.5546875" style="470" bestFit="1" customWidth="1"/>
    <col min="1552" max="1552" width="11.5546875" style="470" customWidth="1"/>
    <col min="1553" max="1553" width="3.33203125" style="470" customWidth="1"/>
    <col min="1554" max="1794" width="8.88671875" style="470"/>
    <col min="1795" max="1795" width="10.21875" style="470" bestFit="1" customWidth="1"/>
    <col min="1796" max="1799" width="10.33203125" style="470" customWidth="1"/>
    <col min="1800" max="1802" width="8.88671875" style="470"/>
    <col min="1803" max="1803" width="10.21875" style="470" bestFit="1" customWidth="1"/>
    <col min="1804" max="1806" width="8.88671875" style="470"/>
    <col min="1807" max="1807" width="11.5546875" style="470" bestFit="1" customWidth="1"/>
    <col min="1808" max="1808" width="11.5546875" style="470" customWidth="1"/>
    <col min="1809" max="1809" width="3.33203125" style="470" customWidth="1"/>
    <col min="1810" max="2050" width="8.88671875" style="470"/>
    <col min="2051" max="2051" width="10.21875" style="470" bestFit="1" customWidth="1"/>
    <col min="2052" max="2055" width="10.33203125" style="470" customWidth="1"/>
    <col min="2056" max="2058" width="8.88671875" style="470"/>
    <col min="2059" max="2059" width="10.21875" style="470" bestFit="1" customWidth="1"/>
    <col min="2060" max="2062" width="8.88671875" style="470"/>
    <col min="2063" max="2063" width="11.5546875" style="470" bestFit="1" customWidth="1"/>
    <col min="2064" max="2064" width="11.5546875" style="470" customWidth="1"/>
    <col min="2065" max="2065" width="3.33203125" style="470" customWidth="1"/>
    <col min="2066" max="2306" width="8.88671875" style="470"/>
    <col min="2307" max="2307" width="10.21875" style="470" bestFit="1" customWidth="1"/>
    <col min="2308" max="2311" width="10.33203125" style="470" customWidth="1"/>
    <col min="2312" max="2314" width="8.88671875" style="470"/>
    <col min="2315" max="2315" width="10.21875" style="470" bestFit="1" customWidth="1"/>
    <col min="2316" max="2318" width="8.88671875" style="470"/>
    <col min="2319" max="2319" width="11.5546875" style="470" bestFit="1" customWidth="1"/>
    <col min="2320" max="2320" width="11.5546875" style="470" customWidth="1"/>
    <col min="2321" max="2321" width="3.33203125" style="470" customWidth="1"/>
    <col min="2322" max="2562" width="8.88671875" style="470"/>
    <col min="2563" max="2563" width="10.21875" style="470" bestFit="1" customWidth="1"/>
    <col min="2564" max="2567" width="10.33203125" style="470" customWidth="1"/>
    <col min="2568" max="2570" width="8.88671875" style="470"/>
    <col min="2571" max="2571" width="10.21875" style="470" bestFit="1" customWidth="1"/>
    <col min="2572" max="2574" width="8.88671875" style="470"/>
    <col min="2575" max="2575" width="11.5546875" style="470" bestFit="1" customWidth="1"/>
    <col min="2576" max="2576" width="11.5546875" style="470" customWidth="1"/>
    <col min="2577" max="2577" width="3.33203125" style="470" customWidth="1"/>
    <col min="2578" max="2818" width="8.88671875" style="470"/>
    <col min="2819" max="2819" width="10.21875" style="470" bestFit="1" customWidth="1"/>
    <col min="2820" max="2823" width="10.33203125" style="470" customWidth="1"/>
    <col min="2824" max="2826" width="8.88671875" style="470"/>
    <col min="2827" max="2827" width="10.21875" style="470" bestFit="1" customWidth="1"/>
    <col min="2828" max="2830" width="8.88671875" style="470"/>
    <col min="2831" max="2831" width="11.5546875" style="470" bestFit="1" customWidth="1"/>
    <col min="2832" max="2832" width="11.5546875" style="470" customWidth="1"/>
    <col min="2833" max="2833" width="3.33203125" style="470" customWidth="1"/>
    <col min="2834" max="3074" width="8.88671875" style="470"/>
    <col min="3075" max="3075" width="10.21875" style="470" bestFit="1" customWidth="1"/>
    <col min="3076" max="3079" width="10.33203125" style="470" customWidth="1"/>
    <col min="3080" max="3082" width="8.88671875" style="470"/>
    <col min="3083" max="3083" width="10.21875" style="470" bestFit="1" customWidth="1"/>
    <col min="3084" max="3086" width="8.88671875" style="470"/>
    <col min="3087" max="3087" width="11.5546875" style="470" bestFit="1" customWidth="1"/>
    <col min="3088" max="3088" width="11.5546875" style="470" customWidth="1"/>
    <col min="3089" max="3089" width="3.33203125" style="470" customWidth="1"/>
    <col min="3090" max="3330" width="8.88671875" style="470"/>
    <col min="3331" max="3331" width="10.21875" style="470" bestFit="1" customWidth="1"/>
    <col min="3332" max="3335" width="10.33203125" style="470" customWidth="1"/>
    <col min="3336" max="3338" width="8.88671875" style="470"/>
    <col min="3339" max="3339" width="10.21875" style="470" bestFit="1" customWidth="1"/>
    <col min="3340" max="3342" width="8.88671875" style="470"/>
    <col min="3343" max="3343" width="11.5546875" style="470" bestFit="1" customWidth="1"/>
    <col min="3344" max="3344" width="11.5546875" style="470" customWidth="1"/>
    <col min="3345" max="3345" width="3.33203125" style="470" customWidth="1"/>
    <col min="3346" max="3586" width="8.88671875" style="470"/>
    <col min="3587" max="3587" width="10.21875" style="470" bestFit="1" customWidth="1"/>
    <col min="3588" max="3591" width="10.33203125" style="470" customWidth="1"/>
    <col min="3592" max="3594" width="8.88671875" style="470"/>
    <col min="3595" max="3595" width="10.21875" style="470" bestFit="1" customWidth="1"/>
    <col min="3596" max="3598" width="8.88671875" style="470"/>
    <col min="3599" max="3599" width="11.5546875" style="470" bestFit="1" customWidth="1"/>
    <col min="3600" max="3600" width="11.5546875" style="470" customWidth="1"/>
    <col min="3601" max="3601" width="3.33203125" style="470" customWidth="1"/>
    <col min="3602" max="3842" width="8.88671875" style="470"/>
    <col min="3843" max="3843" width="10.21875" style="470" bestFit="1" customWidth="1"/>
    <col min="3844" max="3847" width="10.33203125" style="470" customWidth="1"/>
    <col min="3848" max="3850" width="8.88671875" style="470"/>
    <col min="3851" max="3851" width="10.21875" style="470" bestFit="1" customWidth="1"/>
    <col min="3852" max="3854" width="8.88671875" style="470"/>
    <col min="3855" max="3855" width="11.5546875" style="470" bestFit="1" customWidth="1"/>
    <col min="3856" max="3856" width="11.5546875" style="470" customWidth="1"/>
    <col min="3857" max="3857" width="3.33203125" style="470" customWidth="1"/>
    <col min="3858" max="4098" width="8.88671875" style="470"/>
    <col min="4099" max="4099" width="10.21875" style="470" bestFit="1" customWidth="1"/>
    <col min="4100" max="4103" width="10.33203125" style="470" customWidth="1"/>
    <col min="4104" max="4106" width="8.88671875" style="470"/>
    <col min="4107" max="4107" width="10.21875" style="470" bestFit="1" customWidth="1"/>
    <col min="4108" max="4110" width="8.88671875" style="470"/>
    <col min="4111" max="4111" width="11.5546875" style="470" bestFit="1" customWidth="1"/>
    <col min="4112" max="4112" width="11.5546875" style="470" customWidth="1"/>
    <col min="4113" max="4113" width="3.33203125" style="470" customWidth="1"/>
    <col min="4114" max="4354" width="8.88671875" style="470"/>
    <col min="4355" max="4355" width="10.21875" style="470" bestFit="1" customWidth="1"/>
    <col min="4356" max="4359" width="10.33203125" style="470" customWidth="1"/>
    <col min="4360" max="4362" width="8.88671875" style="470"/>
    <col min="4363" max="4363" width="10.21875" style="470" bestFit="1" customWidth="1"/>
    <col min="4364" max="4366" width="8.88671875" style="470"/>
    <col min="4367" max="4367" width="11.5546875" style="470" bestFit="1" customWidth="1"/>
    <col min="4368" max="4368" width="11.5546875" style="470" customWidth="1"/>
    <col min="4369" max="4369" width="3.33203125" style="470" customWidth="1"/>
    <col min="4370" max="4610" width="8.88671875" style="470"/>
    <col min="4611" max="4611" width="10.21875" style="470" bestFit="1" customWidth="1"/>
    <col min="4612" max="4615" width="10.33203125" style="470" customWidth="1"/>
    <col min="4616" max="4618" width="8.88671875" style="470"/>
    <col min="4619" max="4619" width="10.21875" style="470" bestFit="1" customWidth="1"/>
    <col min="4620" max="4622" width="8.88671875" style="470"/>
    <col min="4623" max="4623" width="11.5546875" style="470" bestFit="1" customWidth="1"/>
    <col min="4624" max="4624" width="11.5546875" style="470" customWidth="1"/>
    <col min="4625" max="4625" width="3.33203125" style="470" customWidth="1"/>
    <col min="4626" max="4866" width="8.88671875" style="470"/>
    <col min="4867" max="4867" width="10.21875" style="470" bestFit="1" customWidth="1"/>
    <col min="4868" max="4871" width="10.33203125" style="470" customWidth="1"/>
    <col min="4872" max="4874" width="8.88671875" style="470"/>
    <col min="4875" max="4875" width="10.21875" style="470" bestFit="1" customWidth="1"/>
    <col min="4876" max="4878" width="8.88671875" style="470"/>
    <col min="4879" max="4879" width="11.5546875" style="470" bestFit="1" customWidth="1"/>
    <col min="4880" max="4880" width="11.5546875" style="470" customWidth="1"/>
    <col min="4881" max="4881" width="3.33203125" style="470" customWidth="1"/>
    <col min="4882" max="5122" width="8.88671875" style="470"/>
    <col min="5123" max="5123" width="10.21875" style="470" bestFit="1" customWidth="1"/>
    <col min="5124" max="5127" width="10.33203125" style="470" customWidth="1"/>
    <col min="5128" max="5130" width="8.88671875" style="470"/>
    <col min="5131" max="5131" width="10.21875" style="470" bestFit="1" customWidth="1"/>
    <col min="5132" max="5134" width="8.88671875" style="470"/>
    <col min="5135" max="5135" width="11.5546875" style="470" bestFit="1" customWidth="1"/>
    <col min="5136" max="5136" width="11.5546875" style="470" customWidth="1"/>
    <col min="5137" max="5137" width="3.33203125" style="470" customWidth="1"/>
    <col min="5138" max="5378" width="8.88671875" style="470"/>
    <col min="5379" max="5379" width="10.21875" style="470" bestFit="1" customWidth="1"/>
    <col min="5380" max="5383" width="10.33203125" style="470" customWidth="1"/>
    <col min="5384" max="5386" width="8.88671875" style="470"/>
    <col min="5387" max="5387" width="10.21875" style="470" bestFit="1" customWidth="1"/>
    <col min="5388" max="5390" width="8.88671875" style="470"/>
    <col min="5391" max="5391" width="11.5546875" style="470" bestFit="1" customWidth="1"/>
    <col min="5392" max="5392" width="11.5546875" style="470" customWidth="1"/>
    <col min="5393" max="5393" width="3.33203125" style="470" customWidth="1"/>
    <col min="5394" max="5634" width="8.88671875" style="470"/>
    <col min="5635" max="5635" width="10.21875" style="470" bestFit="1" customWidth="1"/>
    <col min="5636" max="5639" width="10.33203125" style="470" customWidth="1"/>
    <col min="5640" max="5642" width="8.88671875" style="470"/>
    <col min="5643" max="5643" width="10.21875" style="470" bestFit="1" customWidth="1"/>
    <col min="5644" max="5646" width="8.88671875" style="470"/>
    <col min="5647" max="5647" width="11.5546875" style="470" bestFit="1" customWidth="1"/>
    <col min="5648" max="5648" width="11.5546875" style="470" customWidth="1"/>
    <col min="5649" max="5649" width="3.33203125" style="470" customWidth="1"/>
    <col min="5650" max="5890" width="8.88671875" style="470"/>
    <col min="5891" max="5891" width="10.21875" style="470" bestFit="1" customWidth="1"/>
    <col min="5892" max="5895" width="10.33203125" style="470" customWidth="1"/>
    <col min="5896" max="5898" width="8.88671875" style="470"/>
    <col min="5899" max="5899" width="10.21875" style="470" bestFit="1" customWidth="1"/>
    <col min="5900" max="5902" width="8.88671875" style="470"/>
    <col min="5903" max="5903" width="11.5546875" style="470" bestFit="1" customWidth="1"/>
    <col min="5904" max="5904" width="11.5546875" style="470" customWidth="1"/>
    <col min="5905" max="5905" width="3.33203125" style="470" customWidth="1"/>
    <col min="5906" max="6146" width="8.88671875" style="470"/>
    <col min="6147" max="6147" width="10.21875" style="470" bestFit="1" customWidth="1"/>
    <col min="6148" max="6151" width="10.33203125" style="470" customWidth="1"/>
    <col min="6152" max="6154" width="8.88671875" style="470"/>
    <col min="6155" max="6155" width="10.21875" style="470" bestFit="1" customWidth="1"/>
    <col min="6156" max="6158" width="8.88671875" style="470"/>
    <col min="6159" max="6159" width="11.5546875" style="470" bestFit="1" customWidth="1"/>
    <col min="6160" max="6160" width="11.5546875" style="470" customWidth="1"/>
    <col min="6161" max="6161" width="3.33203125" style="470" customWidth="1"/>
    <col min="6162" max="6402" width="8.88671875" style="470"/>
    <col min="6403" max="6403" width="10.21875" style="470" bestFit="1" customWidth="1"/>
    <col min="6404" max="6407" width="10.33203125" style="470" customWidth="1"/>
    <col min="6408" max="6410" width="8.88671875" style="470"/>
    <col min="6411" max="6411" width="10.21875" style="470" bestFit="1" customWidth="1"/>
    <col min="6412" max="6414" width="8.88671875" style="470"/>
    <col min="6415" max="6415" width="11.5546875" style="470" bestFit="1" customWidth="1"/>
    <col min="6416" max="6416" width="11.5546875" style="470" customWidth="1"/>
    <col min="6417" max="6417" width="3.33203125" style="470" customWidth="1"/>
    <col min="6418" max="6658" width="8.88671875" style="470"/>
    <col min="6659" max="6659" width="10.21875" style="470" bestFit="1" customWidth="1"/>
    <col min="6660" max="6663" width="10.33203125" style="470" customWidth="1"/>
    <col min="6664" max="6666" width="8.88671875" style="470"/>
    <col min="6667" max="6667" width="10.21875" style="470" bestFit="1" customWidth="1"/>
    <col min="6668" max="6670" width="8.88671875" style="470"/>
    <col min="6671" max="6671" width="11.5546875" style="470" bestFit="1" customWidth="1"/>
    <col min="6672" max="6672" width="11.5546875" style="470" customWidth="1"/>
    <col min="6673" max="6673" width="3.33203125" style="470" customWidth="1"/>
    <col min="6674" max="6914" width="8.88671875" style="470"/>
    <col min="6915" max="6915" width="10.21875" style="470" bestFit="1" customWidth="1"/>
    <col min="6916" max="6919" width="10.33203125" style="470" customWidth="1"/>
    <col min="6920" max="6922" width="8.88671875" style="470"/>
    <col min="6923" max="6923" width="10.21875" style="470" bestFit="1" customWidth="1"/>
    <col min="6924" max="6926" width="8.88671875" style="470"/>
    <col min="6927" max="6927" width="11.5546875" style="470" bestFit="1" customWidth="1"/>
    <col min="6928" max="6928" width="11.5546875" style="470" customWidth="1"/>
    <col min="6929" max="6929" width="3.33203125" style="470" customWidth="1"/>
    <col min="6930" max="7170" width="8.88671875" style="470"/>
    <col min="7171" max="7171" width="10.21875" style="470" bestFit="1" customWidth="1"/>
    <col min="7172" max="7175" width="10.33203125" style="470" customWidth="1"/>
    <col min="7176" max="7178" width="8.88671875" style="470"/>
    <col min="7179" max="7179" width="10.21875" style="470" bestFit="1" customWidth="1"/>
    <col min="7180" max="7182" width="8.88671875" style="470"/>
    <col min="7183" max="7183" width="11.5546875" style="470" bestFit="1" customWidth="1"/>
    <col min="7184" max="7184" width="11.5546875" style="470" customWidth="1"/>
    <col min="7185" max="7185" width="3.33203125" style="470" customWidth="1"/>
    <col min="7186" max="7426" width="8.88671875" style="470"/>
    <col min="7427" max="7427" width="10.21875" style="470" bestFit="1" customWidth="1"/>
    <col min="7428" max="7431" width="10.33203125" style="470" customWidth="1"/>
    <col min="7432" max="7434" width="8.88671875" style="470"/>
    <col min="7435" max="7435" width="10.21875" style="470" bestFit="1" customWidth="1"/>
    <col min="7436" max="7438" width="8.88671875" style="470"/>
    <col min="7439" max="7439" width="11.5546875" style="470" bestFit="1" customWidth="1"/>
    <col min="7440" max="7440" width="11.5546875" style="470" customWidth="1"/>
    <col min="7441" max="7441" width="3.33203125" style="470" customWidth="1"/>
    <col min="7442" max="7682" width="8.88671875" style="470"/>
    <col min="7683" max="7683" width="10.21875" style="470" bestFit="1" customWidth="1"/>
    <col min="7684" max="7687" width="10.33203125" style="470" customWidth="1"/>
    <col min="7688" max="7690" width="8.88671875" style="470"/>
    <col min="7691" max="7691" width="10.21875" style="470" bestFit="1" customWidth="1"/>
    <col min="7692" max="7694" width="8.88671875" style="470"/>
    <col min="7695" max="7695" width="11.5546875" style="470" bestFit="1" customWidth="1"/>
    <col min="7696" max="7696" width="11.5546875" style="470" customWidth="1"/>
    <col min="7697" max="7697" width="3.33203125" style="470" customWidth="1"/>
    <col min="7698" max="7938" width="8.88671875" style="470"/>
    <col min="7939" max="7939" width="10.21875" style="470" bestFit="1" customWidth="1"/>
    <col min="7940" max="7943" width="10.33203125" style="470" customWidth="1"/>
    <col min="7944" max="7946" width="8.88671875" style="470"/>
    <col min="7947" max="7947" width="10.21875" style="470" bestFit="1" customWidth="1"/>
    <col min="7948" max="7950" width="8.88671875" style="470"/>
    <col min="7951" max="7951" width="11.5546875" style="470" bestFit="1" customWidth="1"/>
    <col min="7952" max="7952" width="11.5546875" style="470" customWidth="1"/>
    <col min="7953" max="7953" width="3.33203125" style="470" customWidth="1"/>
    <col min="7954" max="8194" width="8.88671875" style="470"/>
    <col min="8195" max="8195" width="10.21875" style="470" bestFit="1" customWidth="1"/>
    <col min="8196" max="8199" width="10.33203125" style="470" customWidth="1"/>
    <col min="8200" max="8202" width="8.88671875" style="470"/>
    <col min="8203" max="8203" width="10.21875" style="470" bestFit="1" customWidth="1"/>
    <col min="8204" max="8206" width="8.88671875" style="470"/>
    <col min="8207" max="8207" width="11.5546875" style="470" bestFit="1" customWidth="1"/>
    <col min="8208" max="8208" width="11.5546875" style="470" customWidth="1"/>
    <col min="8209" max="8209" width="3.33203125" style="470" customWidth="1"/>
    <col min="8210" max="8450" width="8.88671875" style="470"/>
    <col min="8451" max="8451" width="10.21875" style="470" bestFit="1" customWidth="1"/>
    <col min="8452" max="8455" width="10.33203125" style="470" customWidth="1"/>
    <col min="8456" max="8458" width="8.88671875" style="470"/>
    <col min="8459" max="8459" width="10.21875" style="470" bestFit="1" customWidth="1"/>
    <col min="8460" max="8462" width="8.88671875" style="470"/>
    <col min="8463" max="8463" width="11.5546875" style="470" bestFit="1" customWidth="1"/>
    <col min="8464" max="8464" width="11.5546875" style="470" customWidth="1"/>
    <col min="8465" max="8465" width="3.33203125" style="470" customWidth="1"/>
    <col min="8466" max="8706" width="8.88671875" style="470"/>
    <col min="8707" max="8707" width="10.21875" style="470" bestFit="1" customWidth="1"/>
    <col min="8708" max="8711" width="10.33203125" style="470" customWidth="1"/>
    <col min="8712" max="8714" width="8.88671875" style="470"/>
    <col min="8715" max="8715" width="10.21875" style="470" bestFit="1" customWidth="1"/>
    <col min="8716" max="8718" width="8.88671875" style="470"/>
    <col min="8719" max="8719" width="11.5546875" style="470" bestFit="1" customWidth="1"/>
    <col min="8720" max="8720" width="11.5546875" style="470" customWidth="1"/>
    <col min="8721" max="8721" width="3.33203125" style="470" customWidth="1"/>
    <col min="8722" max="8962" width="8.88671875" style="470"/>
    <col min="8963" max="8963" width="10.21875" style="470" bestFit="1" customWidth="1"/>
    <col min="8964" max="8967" width="10.33203125" style="470" customWidth="1"/>
    <col min="8968" max="8970" width="8.88671875" style="470"/>
    <col min="8971" max="8971" width="10.21875" style="470" bestFit="1" customWidth="1"/>
    <col min="8972" max="8974" width="8.88671875" style="470"/>
    <col min="8975" max="8975" width="11.5546875" style="470" bestFit="1" customWidth="1"/>
    <col min="8976" max="8976" width="11.5546875" style="470" customWidth="1"/>
    <col min="8977" max="8977" width="3.33203125" style="470" customWidth="1"/>
    <col min="8978" max="9218" width="8.88671875" style="470"/>
    <col min="9219" max="9219" width="10.21875" style="470" bestFit="1" customWidth="1"/>
    <col min="9220" max="9223" width="10.33203125" style="470" customWidth="1"/>
    <col min="9224" max="9226" width="8.88671875" style="470"/>
    <col min="9227" max="9227" width="10.21875" style="470" bestFit="1" customWidth="1"/>
    <col min="9228" max="9230" width="8.88671875" style="470"/>
    <col min="9231" max="9231" width="11.5546875" style="470" bestFit="1" customWidth="1"/>
    <col min="9232" max="9232" width="11.5546875" style="470" customWidth="1"/>
    <col min="9233" max="9233" width="3.33203125" style="470" customWidth="1"/>
    <col min="9234" max="9474" width="8.88671875" style="470"/>
    <col min="9475" max="9475" width="10.21875" style="470" bestFit="1" customWidth="1"/>
    <col min="9476" max="9479" width="10.33203125" style="470" customWidth="1"/>
    <col min="9480" max="9482" width="8.88671875" style="470"/>
    <col min="9483" max="9483" width="10.21875" style="470" bestFit="1" customWidth="1"/>
    <col min="9484" max="9486" width="8.88671875" style="470"/>
    <col min="9487" max="9487" width="11.5546875" style="470" bestFit="1" customWidth="1"/>
    <col min="9488" max="9488" width="11.5546875" style="470" customWidth="1"/>
    <col min="9489" max="9489" width="3.33203125" style="470" customWidth="1"/>
    <col min="9490" max="9730" width="8.88671875" style="470"/>
    <col min="9731" max="9731" width="10.21875" style="470" bestFit="1" customWidth="1"/>
    <col min="9732" max="9735" width="10.33203125" style="470" customWidth="1"/>
    <col min="9736" max="9738" width="8.88671875" style="470"/>
    <col min="9739" max="9739" width="10.21875" style="470" bestFit="1" customWidth="1"/>
    <col min="9740" max="9742" width="8.88671875" style="470"/>
    <col min="9743" max="9743" width="11.5546875" style="470" bestFit="1" customWidth="1"/>
    <col min="9744" max="9744" width="11.5546875" style="470" customWidth="1"/>
    <col min="9745" max="9745" width="3.33203125" style="470" customWidth="1"/>
    <col min="9746" max="9986" width="8.88671875" style="470"/>
    <col min="9987" max="9987" width="10.21875" style="470" bestFit="1" customWidth="1"/>
    <col min="9988" max="9991" width="10.33203125" style="470" customWidth="1"/>
    <col min="9992" max="9994" width="8.88671875" style="470"/>
    <col min="9995" max="9995" width="10.21875" style="470" bestFit="1" customWidth="1"/>
    <col min="9996" max="9998" width="8.88671875" style="470"/>
    <col min="9999" max="9999" width="11.5546875" style="470" bestFit="1" customWidth="1"/>
    <col min="10000" max="10000" width="11.5546875" style="470" customWidth="1"/>
    <col min="10001" max="10001" width="3.33203125" style="470" customWidth="1"/>
    <col min="10002" max="10242" width="8.88671875" style="470"/>
    <col min="10243" max="10243" width="10.21875" style="470" bestFit="1" customWidth="1"/>
    <col min="10244" max="10247" width="10.33203125" style="470" customWidth="1"/>
    <col min="10248" max="10250" width="8.88671875" style="470"/>
    <col min="10251" max="10251" width="10.21875" style="470" bestFit="1" customWidth="1"/>
    <col min="10252" max="10254" width="8.88671875" style="470"/>
    <col min="10255" max="10255" width="11.5546875" style="470" bestFit="1" customWidth="1"/>
    <col min="10256" max="10256" width="11.5546875" style="470" customWidth="1"/>
    <col min="10257" max="10257" width="3.33203125" style="470" customWidth="1"/>
    <col min="10258" max="10498" width="8.88671875" style="470"/>
    <col min="10499" max="10499" width="10.21875" style="470" bestFit="1" customWidth="1"/>
    <col min="10500" max="10503" width="10.33203125" style="470" customWidth="1"/>
    <col min="10504" max="10506" width="8.88671875" style="470"/>
    <col min="10507" max="10507" width="10.21875" style="470" bestFit="1" customWidth="1"/>
    <col min="10508" max="10510" width="8.88671875" style="470"/>
    <col min="10511" max="10511" width="11.5546875" style="470" bestFit="1" customWidth="1"/>
    <col min="10512" max="10512" width="11.5546875" style="470" customWidth="1"/>
    <col min="10513" max="10513" width="3.33203125" style="470" customWidth="1"/>
    <col min="10514" max="10754" width="8.88671875" style="470"/>
    <col min="10755" max="10755" width="10.21875" style="470" bestFit="1" customWidth="1"/>
    <col min="10756" max="10759" width="10.33203125" style="470" customWidth="1"/>
    <col min="10760" max="10762" width="8.88671875" style="470"/>
    <col min="10763" max="10763" width="10.21875" style="470" bestFit="1" customWidth="1"/>
    <col min="10764" max="10766" width="8.88671875" style="470"/>
    <col min="10767" max="10767" width="11.5546875" style="470" bestFit="1" customWidth="1"/>
    <col min="10768" max="10768" width="11.5546875" style="470" customWidth="1"/>
    <col min="10769" max="10769" width="3.33203125" style="470" customWidth="1"/>
    <col min="10770" max="11010" width="8.88671875" style="470"/>
    <col min="11011" max="11011" width="10.21875" style="470" bestFit="1" customWidth="1"/>
    <col min="11012" max="11015" width="10.33203125" style="470" customWidth="1"/>
    <col min="11016" max="11018" width="8.88671875" style="470"/>
    <col min="11019" max="11019" width="10.21875" style="470" bestFit="1" customWidth="1"/>
    <col min="11020" max="11022" width="8.88671875" style="470"/>
    <col min="11023" max="11023" width="11.5546875" style="470" bestFit="1" customWidth="1"/>
    <col min="11024" max="11024" width="11.5546875" style="470" customWidth="1"/>
    <col min="11025" max="11025" width="3.33203125" style="470" customWidth="1"/>
    <col min="11026" max="11266" width="8.88671875" style="470"/>
    <col min="11267" max="11267" width="10.21875" style="470" bestFit="1" customWidth="1"/>
    <col min="11268" max="11271" width="10.33203125" style="470" customWidth="1"/>
    <col min="11272" max="11274" width="8.88671875" style="470"/>
    <col min="11275" max="11275" width="10.21875" style="470" bestFit="1" customWidth="1"/>
    <col min="11276" max="11278" width="8.88671875" style="470"/>
    <col min="11279" max="11279" width="11.5546875" style="470" bestFit="1" customWidth="1"/>
    <col min="11280" max="11280" width="11.5546875" style="470" customWidth="1"/>
    <col min="11281" max="11281" width="3.33203125" style="470" customWidth="1"/>
    <col min="11282" max="11522" width="8.88671875" style="470"/>
    <col min="11523" max="11523" width="10.21875" style="470" bestFit="1" customWidth="1"/>
    <col min="11524" max="11527" width="10.33203125" style="470" customWidth="1"/>
    <col min="11528" max="11530" width="8.88671875" style="470"/>
    <col min="11531" max="11531" width="10.21875" style="470" bestFit="1" customWidth="1"/>
    <col min="11532" max="11534" width="8.88671875" style="470"/>
    <col min="11535" max="11535" width="11.5546875" style="470" bestFit="1" customWidth="1"/>
    <col min="11536" max="11536" width="11.5546875" style="470" customWidth="1"/>
    <col min="11537" max="11537" width="3.33203125" style="470" customWidth="1"/>
    <col min="11538" max="11778" width="8.88671875" style="470"/>
    <col min="11779" max="11779" width="10.21875" style="470" bestFit="1" customWidth="1"/>
    <col min="11780" max="11783" width="10.33203125" style="470" customWidth="1"/>
    <col min="11784" max="11786" width="8.88671875" style="470"/>
    <col min="11787" max="11787" width="10.21875" style="470" bestFit="1" customWidth="1"/>
    <col min="11788" max="11790" width="8.88671875" style="470"/>
    <col min="11791" max="11791" width="11.5546875" style="470" bestFit="1" customWidth="1"/>
    <col min="11792" max="11792" width="11.5546875" style="470" customWidth="1"/>
    <col min="11793" max="11793" width="3.33203125" style="470" customWidth="1"/>
    <col min="11794" max="12034" width="8.88671875" style="470"/>
    <col min="12035" max="12035" width="10.21875" style="470" bestFit="1" customWidth="1"/>
    <col min="12036" max="12039" width="10.33203125" style="470" customWidth="1"/>
    <col min="12040" max="12042" width="8.88671875" style="470"/>
    <col min="12043" max="12043" width="10.21875" style="470" bestFit="1" customWidth="1"/>
    <col min="12044" max="12046" width="8.88671875" style="470"/>
    <col min="12047" max="12047" width="11.5546875" style="470" bestFit="1" customWidth="1"/>
    <col min="12048" max="12048" width="11.5546875" style="470" customWidth="1"/>
    <col min="12049" max="12049" width="3.33203125" style="470" customWidth="1"/>
    <col min="12050" max="12290" width="8.88671875" style="470"/>
    <col min="12291" max="12291" width="10.21875" style="470" bestFit="1" customWidth="1"/>
    <col min="12292" max="12295" width="10.33203125" style="470" customWidth="1"/>
    <col min="12296" max="12298" width="8.88671875" style="470"/>
    <col min="12299" max="12299" width="10.21875" style="470" bestFit="1" customWidth="1"/>
    <col min="12300" max="12302" width="8.88671875" style="470"/>
    <col min="12303" max="12303" width="11.5546875" style="470" bestFit="1" customWidth="1"/>
    <col min="12304" max="12304" width="11.5546875" style="470" customWidth="1"/>
    <col min="12305" max="12305" width="3.33203125" style="470" customWidth="1"/>
    <col min="12306" max="12546" width="8.88671875" style="470"/>
    <col min="12547" max="12547" width="10.21875" style="470" bestFit="1" customWidth="1"/>
    <col min="12548" max="12551" width="10.33203125" style="470" customWidth="1"/>
    <col min="12552" max="12554" width="8.88671875" style="470"/>
    <col min="12555" max="12555" width="10.21875" style="470" bestFit="1" customWidth="1"/>
    <col min="12556" max="12558" width="8.88671875" style="470"/>
    <col min="12559" max="12559" width="11.5546875" style="470" bestFit="1" customWidth="1"/>
    <col min="12560" max="12560" width="11.5546875" style="470" customWidth="1"/>
    <col min="12561" max="12561" width="3.33203125" style="470" customWidth="1"/>
    <col min="12562" max="12802" width="8.88671875" style="470"/>
    <col min="12803" max="12803" width="10.21875" style="470" bestFit="1" customWidth="1"/>
    <col min="12804" max="12807" width="10.33203125" style="470" customWidth="1"/>
    <col min="12808" max="12810" width="8.88671875" style="470"/>
    <col min="12811" max="12811" width="10.21875" style="470" bestFit="1" customWidth="1"/>
    <col min="12812" max="12814" width="8.88671875" style="470"/>
    <col min="12815" max="12815" width="11.5546875" style="470" bestFit="1" customWidth="1"/>
    <col min="12816" max="12816" width="11.5546875" style="470" customWidth="1"/>
    <col min="12817" max="12817" width="3.33203125" style="470" customWidth="1"/>
    <col min="12818" max="13058" width="8.88671875" style="470"/>
    <col min="13059" max="13059" width="10.21875" style="470" bestFit="1" customWidth="1"/>
    <col min="13060" max="13063" width="10.33203125" style="470" customWidth="1"/>
    <col min="13064" max="13066" width="8.88671875" style="470"/>
    <col min="13067" max="13067" width="10.21875" style="470" bestFit="1" customWidth="1"/>
    <col min="13068" max="13070" width="8.88671875" style="470"/>
    <col min="13071" max="13071" width="11.5546875" style="470" bestFit="1" customWidth="1"/>
    <col min="13072" max="13072" width="11.5546875" style="470" customWidth="1"/>
    <col min="13073" max="13073" width="3.33203125" style="470" customWidth="1"/>
    <col min="13074" max="13314" width="8.88671875" style="470"/>
    <col min="13315" max="13315" width="10.21875" style="470" bestFit="1" customWidth="1"/>
    <col min="13316" max="13319" width="10.33203125" style="470" customWidth="1"/>
    <col min="13320" max="13322" width="8.88671875" style="470"/>
    <col min="13323" max="13323" width="10.21875" style="470" bestFit="1" customWidth="1"/>
    <col min="13324" max="13326" width="8.88671875" style="470"/>
    <col min="13327" max="13327" width="11.5546875" style="470" bestFit="1" customWidth="1"/>
    <col min="13328" max="13328" width="11.5546875" style="470" customWidth="1"/>
    <col min="13329" max="13329" width="3.33203125" style="470" customWidth="1"/>
    <col min="13330" max="13570" width="8.88671875" style="470"/>
    <col min="13571" max="13571" width="10.21875" style="470" bestFit="1" customWidth="1"/>
    <col min="13572" max="13575" width="10.33203125" style="470" customWidth="1"/>
    <col min="13576" max="13578" width="8.88671875" style="470"/>
    <col min="13579" max="13579" width="10.21875" style="470" bestFit="1" customWidth="1"/>
    <col min="13580" max="13582" width="8.88671875" style="470"/>
    <col min="13583" max="13583" width="11.5546875" style="470" bestFit="1" customWidth="1"/>
    <col min="13584" max="13584" width="11.5546875" style="470" customWidth="1"/>
    <col min="13585" max="13585" width="3.33203125" style="470" customWidth="1"/>
    <col min="13586" max="13826" width="8.88671875" style="470"/>
    <col min="13827" max="13827" width="10.21875" style="470" bestFit="1" customWidth="1"/>
    <col min="13828" max="13831" width="10.33203125" style="470" customWidth="1"/>
    <col min="13832" max="13834" width="8.88671875" style="470"/>
    <col min="13835" max="13835" width="10.21875" style="470" bestFit="1" customWidth="1"/>
    <col min="13836" max="13838" width="8.88671875" style="470"/>
    <col min="13839" max="13839" width="11.5546875" style="470" bestFit="1" customWidth="1"/>
    <col min="13840" max="13840" width="11.5546875" style="470" customWidth="1"/>
    <col min="13841" max="13841" width="3.33203125" style="470" customWidth="1"/>
    <col min="13842" max="14082" width="8.88671875" style="470"/>
    <col min="14083" max="14083" width="10.21875" style="470" bestFit="1" customWidth="1"/>
    <col min="14084" max="14087" width="10.33203125" style="470" customWidth="1"/>
    <col min="14088" max="14090" width="8.88671875" style="470"/>
    <col min="14091" max="14091" width="10.21875" style="470" bestFit="1" customWidth="1"/>
    <col min="14092" max="14094" width="8.88671875" style="470"/>
    <col min="14095" max="14095" width="11.5546875" style="470" bestFit="1" customWidth="1"/>
    <col min="14096" max="14096" width="11.5546875" style="470" customWidth="1"/>
    <col min="14097" max="14097" width="3.33203125" style="470" customWidth="1"/>
    <col min="14098" max="14338" width="8.88671875" style="470"/>
    <col min="14339" max="14339" width="10.21875" style="470" bestFit="1" customWidth="1"/>
    <col min="14340" max="14343" width="10.33203125" style="470" customWidth="1"/>
    <col min="14344" max="14346" width="8.88671875" style="470"/>
    <col min="14347" max="14347" width="10.21875" style="470" bestFit="1" customWidth="1"/>
    <col min="14348" max="14350" width="8.88671875" style="470"/>
    <col min="14351" max="14351" width="11.5546875" style="470" bestFit="1" customWidth="1"/>
    <col min="14352" max="14352" width="11.5546875" style="470" customWidth="1"/>
    <col min="14353" max="14353" width="3.33203125" style="470" customWidth="1"/>
    <col min="14354" max="14594" width="8.88671875" style="470"/>
    <col min="14595" max="14595" width="10.21875" style="470" bestFit="1" customWidth="1"/>
    <col min="14596" max="14599" width="10.33203125" style="470" customWidth="1"/>
    <col min="14600" max="14602" width="8.88671875" style="470"/>
    <col min="14603" max="14603" width="10.21875" style="470" bestFit="1" customWidth="1"/>
    <col min="14604" max="14606" width="8.88671875" style="470"/>
    <col min="14607" max="14607" width="11.5546875" style="470" bestFit="1" customWidth="1"/>
    <col min="14608" max="14608" width="11.5546875" style="470" customWidth="1"/>
    <col min="14609" max="14609" width="3.33203125" style="470" customWidth="1"/>
    <col min="14610" max="14850" width="8.88671875" style="470"/>
    <col min="14851" max="14851" width="10.21875" style="470" bestFit="1" customWidth="1"/>
    <col min="14852" max="14855" width="10.33203125" style="470" customWidth="1"/>
    <col min="14856" max="14858" width="8.88671875" style="470"/>
    <col min="14859" max="14859" width="10.21875" style="470" bestFit="1" customWidth="1"/>
    <col min="14860" max="14862" width="8.88671875" style="470"/>
    <col min="14863" max="14863" width="11.5546875" style="470" bestFit="1" customWidth="1"/>
    <col min="14864" max="14864" width="11.5546875" style="470" customWidth="1"/>
    <col min="14865" max="14865" width="3.33203125" style="470" customWidth="1"/>
    <col min="14866" max="15106" width="8.88671875" style="470"/>
    <col min="15107" max="15107" width="10.21875" style="470" bestFit="1" customWidth="1"/>
    <col min="15108" max="15111" width="10.33203125" style="470" customWidth="1"/>
    <col min="15112" max="15114" width="8.88671875" style="470"/>
    <col min="15115" max="15115" width="10.21875" style="470" bestFit="1" customWidth="1"/>
    <col min="15116" max="15118" width="8.88671875" style="470"/>
    <col min="15119" max="15119" width="11.5546875" style="470" bestFit="1" customWidth="1"/>
    <col min="15120" max="15120" width="11.5546875" style="470" customWidth="1"/>
    <col min="15121" max="15121" width="3.33203125" style="470" customWidth="1"/>
    <col min="15122" max="15362" width="8.88671875" style="470"/>
    <col min="15363" max="15363" width="10.21875" style="470" bestFit="1" customWidth="1"/>
    <col min="15364" max="15367" width="10.33203125" style="470" customWidth="1"/>
    <col min="15368" max="15370" width="8.88671875" style="470"/>
    <col min="15371" max="15371" width="10.21875" style="470" bestFit="1" customWidth="1"/>
    <col min="15372" max="15374" width="8.88671875" style="470"/>
    <col min="15375" max="15375" width="11.5546875" style="470" bestFit="1" customWidth="1"/>
    <col min="15376" max="15376" width="11.5546875" style="470" customWidth="1"/>
    <col min="15377" max="15377" width="3.33203125" style="470" customWidth="1"/>
    <col min="15378" max="15618" width="8.88671875" style="470"/>
    <col min="15619" max="15619" width="10.21875" style="470" bestFit="1" customWidth="1"/>
    <col min="15620" max="15623" width="10.33203125" style="470" customWidth="1"/>
    <col min="15624" max="15626" width="8.88671875" style="470"/>
    <col min="15627" max="15627" width="10.21875" style="470" bestFit="1" customWidth="1"/>
    <col min="15628" max="15630" width="8.88671875" style="470"/>
    <col min="15631" max="15631" width="11.5546875" style="470" bestFit="1" customWidth="1"/>
    <col min="15632" max="15632" width="11.5546875" style="470" customWidth="1"/>
    <col min="15633" max="15633" width="3.33203125" style="470" customWidth="1"/>
    <col min="15634" max="15874" width="8.88671875" style="470"/>
    <col min="15875" max="15875" width="10.21875" style="470" bestFit="1" customWidth="1"/>
    <col min="15876" max="15879" width="10.33203125" style="470" customWidth="1"/>
    <col min="15880" max="15882" width="8.88671875" style="470"/>
    <col min="15883" max="15883" width="10.21875" style="470" bestFit="1" customWidth="1"/>
    <col min="15884" max="15886" width="8.88671875" style="470"/>
    <col min="15887" max="15887" width="11.5546875" style="470" bestFit="1" customWidth="1"/>
    <col min="15888" max="15888" width="11.5546875" style="470" customWidth="1"/>
    <col min="15889" max="15889" width="3.33203125" style="470" customWidth="1"/>
    <col min="15890" max="16130" width="8.88671875" style="470"/>
    <col min="16131" max="16131" width="10.21875" style="470" bestFit="1" customWidth="1"/>
    <col min="16132" max="16135" width="10.33203125" style="470" customWidth="1"/>
    <col min="16136" max="16138" width="8.88671875" style="470"/>
    <col min="16139" max="16139" width="10.21875" style="470" bestFit="1" customWidth="1"/>
    <col min="16140" max="16142" width="8.88671875" style="470"/>
    <col min="16143" max="16143" width="11.5546875" style="470" bestFit="1" customWidth="1"/>
    <col min="16144" max="16144" width="11.5546875" style="470" customWidth="1"/>
    <col min="16145" max="16145" width="3.33203125" style="470" customWidth="1"/>
    <col min="16146" max="16384" width="8.88671875" style="470"/>
  </cols>
  <sheetData>
    <row r="1" spans="1:18" ht="14.25">
      <c r="A1" s="469" t="s">
        <v>1550</v>
      </c>
      <c r="C1" s="471"/>
      <c r="D1" s="471"/>
      <c r="E1" s="471"/>
      <c r="F1" s="471"/>
      <c r="G1" s="471"/>
      <c r="H1" s="471"/>
      <c r="I1" s="471"/>
      <c r="J1" s="471"/>
    </row>
    <row r="2" spans="1:18">
      <c r="C2" s="471"/>
      <c r="D2" s="471"/>
      <c r="E2" s="471"/>
      <c r="F2" s="471"/>
      <c r="G2" s="471"/>
      <c r="H2" s="471"/>
      <c r="I2" s="471"/>
      <c r="J2" s="471"/>
    </row>
    <row r="3" spans="1:18" s="472" customFormat="1" ht="12.75" thickBot="1">
      <c r="A3" s="472" t="s">
        <v>509</v>
      </c>
      <c r="C3" s="473"/>
      <c r="D3" s="473"/>
      <c r="E3" s="473"/>
      <c r="F3" s="473"/>
      <c r="G3" s="473"/>
      <c r="H3" s="473"/>
      <c r="I3" s="473"/>
      <c r="J3" s="474" t="s">
        <v>510</v>
      </c>
    </row>
    <row r="4" spans="1:18" s="472" customFormat="1" ht="12.75" thickBot="1">
      <c r="A4" s="2263" t="s">
        <v>511</v>
      </c>
      <c r="B4" s="2264"/>
      <c r="C4" s="475" t="s">
        <v>512</v>
      </c>
      <c r="D4" s="475" t="s">
        <v>513</v>
      </c>
      <c r="E4" s="475" t="s">
        <v>514</v>
      </c>
      <c r="F4" s="475" t="s">
        <v>515</v>
      </c>
      <c r="G4" s="475" t="s">
        <v>516</v>
      </c>
      <c r="H4" s="475" t="s">
        <v>517</v>
      </c>
      <c r="I4" s="475" t="s">
        <v>518</v>
      </c>
      <c r="J4" s="476" t="s">
        <v>519</v>
      </c>
      <c r="K4" s="477" t="s">
        <v>520</v>
      </c>
      <c r="L4" s="477" t="s">
        <v>512</v>
      </c>
      <c r="M4" s="477" t="s">
        <v>513</v>
      </c>
      <c r="N4" s="477" t="s">
        <v>521</v>
      </c>
      <c r="O4" s="477" t="s">
        <v>522</v>
      </c>
      <c r="P4" s="477" t="s">
        <v>523</v>
      </c>
      <c r="R4" s="477" t="s">
        <v>524</v>
      </c>
    </row>
    <row r="5" spans="1:18" s="472" customFormat="1" ht="12">
      <c r="A5" s="2265" t="s">
        <v>1525</v>
      </c>
      <c r="B5" s="2266"/>
      <c r="C5" s="478">
        <f t="shared" ref="C5:C10" si="0">SUM(D5:J5)</f>
        <v>60.117808219178087</v>
      </c>
      <c r="D5" s="478">
        <f t="shared" ref="D5:J10" si="1">+D15/365</f>
        <v>52.013698630136986</v>
      </c>
      <c r="E5" s="478">
        <f t="shared" si="1"/>
        <v>5.882191780821918</v>
      </c>
      <c r="F5" s="478">
        <f t="shared" si="1"/>
        <v>0</v>
      </c>
      <c r="G5" s="478">
        <f t="shared" si="1"/>
        <v>0</v>
      </c>
      <c r="H5" s="478">
        <f t="shared" si="1"/>
        <v>2.2219178082191782</v>
      </c>
      <c r="I5" s="478">
        <f t="shared" si="1"/>
        <v>0</v>
      </c>
      <c r="J5" s="479">
        <f t="shared" si="1"/>
        <v>0</v>
      </c>
      <c r="K5" s="480"/>
      <c r="L5" s="481">
        <f t="shared" ref="L5:L10" si="2">C5-G5-I5</f>
        <v>60.117808219178087</v>
      </c>
      <c r="M5" s="481">
        <f t="shared" ref="M5:M10" si="3">D5</f>
        <v>52.013698630136986</v>
      </c>
      <c r="N5" s="481">
        <f t="shared" ref="N5:N10" si="4">L5-M5</f>
        <v>8.1041095890411015</v>
      </c>
      <c r="O5" s="482" t="e">
        <f t="shared" ref="O5:O10" si="5">ROUND(L5/K5*1000,0)</f>
        <v>#DIV/0!</v>
      </c>
      <c r="P5" s="483">
        <f t="shared" ref="P5:P10" si="6">ROUND(N5/L5*100,1)</f>
        <v>13.5</v>
      </c>
      <c r="R5" s="481">
        <f t="shared" ref="R5:R10" si="7">C5-L5</f>
        <v>0</v>
      </c>
    </row>
    <row r="6" spans="1:18" s="472" customFormat="1" ht="12">
      <c r="A6" s="2265" t="s">
        <v>1526</v>
      </c>
      <c r="B6" s="2266"/>
      <c r="C6" s="478">
        <f t="shared" si="0"/>
        <v>61.391780821917813</v>
      </c>
      <c r="D6" s="478">
        <f t="shared" si="1"/>
        <v>53.728767123287675</v>
      </c>
      <c r="E6" s="478">
        <f t="shared" si="1"/>
        <v>5.4136986301369863</v>
      </c>
      <c r="F6" s="478">
        <f t="shared" si="1"/>
        <v>0</v>
      </c>
      <c r="G6" s="478">
        <f t="shared" si="1"/>
        <v>0</v>
      </c>
      <c r="H6" s="478">
        <f t="shared" si="1"/>
        <v>2.2493150684931509</v>
      </c>
      <c r="I6" s="478">
        <f t="shared" si="1"/>
        <v>0</v>
      </c>
      <c r="J6" s="479">
        <f t="shared" si="1"/>
        <v>0</v>
      </c>
      <c r="K6" s="480"/>
      <c r="L6" s="481">
        <f t="shared" si="2"/>
        <v>61.391780821917813</v>
      </c>
      <c r="M6" s="481">
        <f t="shared" si="3"/>
        <v>53.728767123287675</v>
      </c>
      <c r="N6" s="481">
        <f t="shared" si="4"/>
        <v>7.663013698630138</v>
      </c>
      <c r="O6" s="482" t="e">
        <f t="shared" si="5"/>
        <v>#DIV/0!</v>
      </c>
      <c r="P6" s="483">
        <f t="shared" si="6"/>
        <v>12.5</v>
      </c>
      <c r="R6" s="481">
        <f t="shared" si="7"/>
        <v>0</v>
      </c>
    </row>
    <row r="7" spans="1:18" s="472" customFormat="1" ht="12">
      <c r="A7" s="2261" t="s">
        <v>1527</v>
      </c>
      <c r="B7" s="2262"/>
      <c r="C7" s="479">
        <f t="shared" si="0"/>
        <v>59.320547945205476</v>
      </c>
      <c r="D7" s="484">
        <f t="shared" si="1"/>
        <v>52.386301369863013</v>
      </c>
      <c r="E7" s="484">
        <f t="shared" si="1"/>
        <v>5.7315068493150685</v>
      </c>
      <c r="F7" s="484">
        <f t="shared" si="1"/>
        <v>0</v>
      </c>
      <c r="G7" s="484">
        <f t="shared" si="1"/>
        <v>0</v>
      </c>
      <c r="H7" s="484">
        <f t="shared" si="1"/>
        <v>1.2027397260273973</v>
      </c>
      <c r="I7" s="484">
        <f t="shared" si="1"/>
        <v>0</v>
      </c>
      <c r="J7" s="485">
        <f t="shared" si="1"/>
        <v>0</v>
      </c>
      <c r="K7" s="480"/>
      <c r="L7" s="481">
        <f t="shared" si="2"/>
        <v>59.320547945205476</v>
      </c>
      <c r="M7" s="481">
        <f t="shared" si="3"/>
        <v>52.386301369863013</v>
      </c>
      <c r="N7" s="481">
        <f t="shared" si="4"/>
        <v>6.9342465753424634</v>
      </c>
      <c r="O7" s="482" t="e">
        <f t="shared" si="5"/>
        <v>#DIV/0!</v>
      </c>
      <c r="P7" s="483">
        <f t="shared" si="6"/>
        <v>11.7</v>
      </c>
      <c r="R7" s="481">
        <f t="shared" si="7"/>
        <v>0</v>
      </c>
    </row>
    <row r="8" spans="1:18" s="472" customFormat="1" ht="12">
      <c r="A8" s="2261" t="s">
        <v>1528</v>
      </c>
      <c r="B8" s="2262"/>
      <c r="C8" s="479">
        <f t="shared" si="0"/>
        <v>61.454794520547942</v>
      </c>
      <c r="D8" s="484">
        <f t="shared" si="1"/>
        <v>54.060273972602737</v>
      </c>
      <c r="E8" s="484">
        <f t="shared" si="1"/>
        <v>3.6986301369863015</v>
      </c>
      <c r="F8" s="484">
        <f t="shared" si="1"/>
        <v>0</v>
      </c>
      <c r="G8" s="484">
        <f t="shared" si="1"/>
        <v>0</v>
      </c>
      <c r="H8" s="484">
        <f t="shared" si="1"/>
        <v>3.6958904109589041</v>
      </c>
      <c r="I8" s="484">
        <f t="shared" si="1"/>
        <v>0</v>
      </c>
      <c r="J8" s="485">
        <f t="shared" si="1"/>
        <v>0</v>
      </c>
      <c r="K8" s="480"/>
      <c r="L8" s="481">
        <f t="shared" si="2"/>
        <v>61.454794520547942</v>
      </c>
      <c r="M8" s="481">
        <f t="shared" si="3"/>
        <v>54.060273972602737</v>
      </c>
      <c r="N8" s="481">
        <f t="shared" si="4"/>
        <v>7.3945205479452056</v>
      </c>
      <c r="O8" s="482" t="e">
        <f t="shared" si="5"/>
        <v>#DIV/0!</v>
      </c>
      <c r="P8" s="483">
        <f t="shared" si="6"/>
        <v>12</v>
      </c>
      <c r="R8" s="481">
        <f t="shared" si="7"/>
        <v>0</v>
      </c>
    </row>
    <row r="9" spans="1:18" s="472" customFormat="1" ht="12">
      <c r="A9" s="2261" t="s">
        <v>1529</v>
      </c>
      <c r="B9" s="2262"/>
      <c r="C9" s="479">
        <f t="shared" si="0"/>
        <v>56.586301369863016</v>
      </c>
      <c r="D9" s="484">
        <f t="shared" si="1"/>
        <v>49.969863013698628</v>
      </c>
      <c r="E9" s="484">
        <f t="shared" si="1"/>
        <v>3.1917808219178081</v>
      </c>
      <c r="F9" s="484">
        <f t="shared" si="1"/>
        <v>0</v>
      </c>
      <c r="G9" s="484">
        <f t="shared" si="1"/>
        <v>0</v>
      </c>
      <c r="H9" s="484">
        <f t="shared" si="1"/>
        <v>3.4246575342465753</v>
      </c>
      <c r="I9" s="484">
        <f t="shared" si="1"/>
        <v>0</v>
      </c>
      <c r="J9" s="485">
        <f t="shared" si="1"/>
        <v>0</v>
      </c>
      <c r="K9" s="480"/>
      <c r="L9" s="481">
        <f t="shared" si="2"/>
        <v>56.586301369863016</v>
      </c>
      <c r="M9" s="481">
        <f t="shared" si="3"/>
        <v>49.969863013698628</v>
      </c>
      <c r="N9" s="481">
        <f t="shared" si="4"/>
        <v>6.6164383561643874</v>
      </c>
      <c r="O9" s="482" t="e">
        <f t="shared" si="5"/>
        <v>#DIV/0!</v>
      </c>
      <c r="P9" s="483">
        <f t="shared" si="6"/>
        <v>11.7</v>
      </c>
      <c r="R9" s="481">
        <f t="shared" si="7"/>
        <v>0</v>
      </c>
    </row>
    <row r="10" spans="1:18" s="472" customFormat="1" ht="12">
      <c r="A10" s="2261" t="s">
        <v>1530</v>
      </c>
      <c r="B10" s="2262"/>
      <c r="C10" s="479">
        <f t="shared" si="0"/>
        <v>54.723287671232882</v>
      </c>
      <c r="D10" s="484">
        <f>+D20/365</f>
        <v>49.583561643835615</v>
      </c>
      <c r="E10" s="484">
        <f t="shared" si="1"/>
        <v>3.5452054794520547</v>
      </c>
      <c r="F10" s="484">
        <f t="shared" si="1"/>
        <v>0</v>
      </c>
      <c r="G10" s="484">
        <f t="shared" si="1"/>
        <v>0</v>
      </c>
      <c r="H10" s="484">
        <f>+H20/365</f>
        <v>1.5945205479452054</v>
      </c>
      <c r="I10" s="484">
        <f>+I20/365</f>
        <v>0</v>
      </c>
      <c r="J10" s="485">
        <f>+J20/365</f>
        <v>0</v>
      </c>
      <c r="K10" s="480"/>
      <c r="L10" s="481">
        <f t="shared" si="2"/>
        <v>54.723287671232882</v>
      </c>
      <c r="M10" s="481">
        <f t="shared" si="3"/>
        <v>49.583561643835615</v>
      </c>
      <c r="N10" s="481">
        <f t="shared" si="4"/>
        <v>5.1397260273972663</v>
      </c>
      <c r="O10" s="482" t="e">
        <f t="shared" si="5"/>
        <v>#DIV/0!</v>
      </c>
      <c r="P10" s="483">
        <f t="shared" si="6"/>
        <v>9.4</v>
      </c>
      <c r="R10" s="481">
        <f t="shared" si="7"/>
        <v>0</v>
      </c>
    </row>
    <row r="11" spans="1:18" s="472" customFormat="1" ht="12.75" thickBot="1">
      <c r="A11" s="2267"/>
      <c r="B11" s="2268"/>
      <c r="C11" s="486"/>
      <c r="D11" s="487"/>
      <c r="E11" s="487"/>
      <c r="F11" s="487"/>
      <c r="G11" s="487"/>
      <c r="H11" s="487"/>
      <c r="I11" s="487"/>
      <c r="J11" s="488"/>
    </row>
    <row r="12" spans="1:18" s="472" customFormat="1" ht="12">
      <c r="C12" s="473"/>
      <c r="D12" s="473"/>
      <c r="E12" s="473"/>
      <c r="F12" s="473"/>
      <c r="G12" s="473"/>
      <c r="H12" s="473"/>
      <c r="I12" s="473"/>
      <c r="J12" s="473"/>
    </row>
    <row r="13" spans="1:18" s="472" customFormat="1" ht="12.75" thickBot="1">
      <c r="A13" s="472" t="s">
        <v>543</v>
      </c>
      <c r="C13" s="473"/>
      <c r="D13" s="473"/>
      <c r="E13" s="473"/>
      <c r="F13" s="473"/>
      <c r="G13" s="473"/>
      <c r="H13" s="473"/>
      <c r="I13" s="473"/>
      <c r="J13" s="474" t="s">
        <v>544</v>
      </c>
    </row>
    <row r="14" spans="1:18" s="472" customFormat="1" ht="12.75" thickBot="1">
      <c r="A14" s="2263" t="s">
        <v>511</v>
      </c>
      <c r="B14" s="2264"/>
      <c r="C14" s="475" t="s">
        <v>512</v>
      </c>
      <c r="D14" s="475" t="s">
        <v>513</v>
      </c>
      <c r="E14" s="475" t="s">
        <v>514</v>
      </c>
      <c r="F14" s="475" t="s">
        <v>515</v>
      </c>
      <c r="G14" s="475" t="s">
        <v>516</v>
      </c>
      <c r="H14" s="475" t="s">
        <v>517</v>
      </c>
      <c r="I14" s="475" t="s">
        <v>518</v>
      </c>
      <c r="J14" s="489" t="s">
        <v>519</v>
      </c>
      <c r="L14" s="490"/>
      <c r="M14" s="490"/>
      <c r="N14" s="490"/>
      <c r="O14" s="490"/>
      <c r="P14" s="490"/>
    </row>
    <row r="15" spans="1:18" s="472" customFormat="1" ht="12">
      <c r="A15" s="2265" t="s">
        <v>1525</v>
      </c>
      <c r="B15" s="2266"/>
      <c r="C15" s="478">
        <f t="shared" ref="C15:C20" si="8">SUM(D15:J15)</f>
        <v>21943</v>
      </c>
      <c r="D15" s="478">
        <f>+D37</f>
        <v>18985</v>
      </c>
      <c r="E15" s="478">
        <f t="shared" ref="E15:J15" si="9">+E37</f>
        <v>2147</v>
      </c>
      <c r="F15" s="478">
        <f t="shared" si="9"/>
        <v>0</v>
      </c>
      <c r="G15" s="478">
        <f t="shared" si="9"/>
        <v>0</v>
      </c>
      <c r="H15" s="478">
        <f t="shared" si="9"/>
        <v>811</v>
      </c>
      <c r="I15" s="478">
        <f t="shared" si="9"/>
        <v>0</v>
      </c>
      <c r="J15" s="491">
        <f t="shared" si="9"/>
        <v>0</v>
      </c>
      <c r="L15" s="490"/>
      <c r="M15" s="490"/>
      <c r="N15" s="490"/>
      <c r="O15" s="490"/>
      <c r="P15" s="490"/>
    </row>
    <row r="16" spans="1:18" s="472" customFormat="1" ht="12">
      <c r="A16" s="2265" t="s">
        <v>1526</v>
      </c>
      <c r="B16" s="2266"/>
      <c r="C16" s="478">
        <f t="shared" si="8"/>
        <v>22408</v>
      </c>
      <c r="D16" s="478">
        <f t="shared" ref="D16:J16" si="10">+D50</f>
        <v>19611</v>
      </c>
      <c r="E16" s="478">
        <f t="shared" si="10"/>
        <v>1976</v>
      </c>
      <c r="F16" s="478">
        <f t="shared" si="10"/>
        <v>0</v>
      </c>
      <c r="G16" s="478">
        <f t="shared" si="10"/>
        <v>0</v>
      </c>
      <c r="H16" s="478">
        <f t="shared" si="10"/>
        <v>821</v>
      </c>
      <c r="I16" s="478">
        <f t="shared" si="10"/>
        <v>0</v>
      </c>
      <c r="J16" s="491">
        <f t="shared" si="10"/>
        <v>0</v>
      </c>
      <c r="L16" s="490"/>
      <c r="M16" s="490"/>
      <c r="N16" s="490"/>
      <c r="O16" s="490"/>
      <c r="P16" s="490"/>
    </row>
    <row r="17" spans="1:22" s="472" customFormat="1" ht="12">
      <c r="A17" s="2261" t="s">
        <v>1527</v>
      </c>
      <c r="B17" s="2262"/>
      <c r="C17" s="478">
        <f t="shared" si="8"/>
        <v>21652</v>
      </c>
      <c r="D17" s="478">
        <f t="shared" ref="D17:J17" si="11">+D63</f>
        <v>19121</v>
      </c>
      <c r="E17" s="478">
        <f t="shared" si="11"/>
        <v>2092</v>
      </c>
      <c r="F17" s="478">
        <f t="shared" si="11"/>
        <v>0</v>
      </c>
      <c r="G17" s="478">
        <f t="shared" si="11"/>
        <v>0</v>
      </c>
      <c r="H17" s="478">
        <f t="shared" si="11"/>
        <v>439</v>
      </c>
      <c r="I17" s="478">
        <f t="shared" si="11"/>
        <v>0</v>
      </c>
      <c r="J17" s="491">
        <f t="shared" si="11"/>
        <v>0</v>
      </c>
      <c r="L17" s="490"/>
      <c r="M17" s="490"/>
      <c r="N17" s="490"/>
      <c r="O17" s="490"/>
      <c r="P17" s="490"/>
    </row>
    <row r="18" spans="1:22" s="472" customFormat="1" ht="12">
      <c r="A18" s="2261" t="s">
        <v>1528</v>
      </c>
      <c r="B18" s="2262"/>
      <c r="C18" s="478">
        <f t="shared" si="8"/>
        <v>22431</v>
      </c>
      <c r="D18" s="478">
        <f t="shared" ref="D18:J18" si="12">+D76</f>
        <v>19732</v>
      </c>
      <c r="E18" s="478">
        <f t="shared" si="12"/>
        <v>1350</v>
      </c>
      <c r="F18" s="478">
        <f t="shared" si="12"/>
        <v>0</v>
      </c>
      <c r="G18" s="478">
        <f t="shared" si="12"/>
        <v>0</v>
      </c>
      <c r="H18" s="478">
        <f t="shared" si="12"/>
        <v>1349</v>
      </c>
      <c r="I18" s="478">
        <f t="shared" si="12"/>
        <v>0</v>
      </c>
      <c r="J18" s="491">
        <f t="shared" si="12"/>
        <v>0</v>
      </c>
      <c r="L18" s="490"/>
      <c r="M18" s="490"/>
      <c r="N18" s="490"/>
      <c r="O18" s="490"/>
      <c r="P18" s="490"/>
    </row>
    <row r="19" spans="1:22" s="472" customFormat="1" ht="12">
      <c r="A19" s="2261" t="s">
        <v>1529</v>
      </c>
      <c r="B19" s="2262"/>
      <c r="C19" s="478">
        <f t="shared" si="8"/>
        <v>20654</v>
      </c>
      <c r="D19" s="478">
        <f t="shared" ref="D19:J19" si="13">+D89</f>
        <v>18239</v>
      </c>
      <c r="E19" s="478">
        <f t="shared" si="13"/>
        <v>1165</v>
      </c>
      <c r="F19" s="478">
        <f t="shared" si="13"/>
        <v>0</v>
      </c>
      <c r="G19" s="478">
        <f t="shared" si="13"/>
        <v>0</v>
      </c>
      <c r="H19" s="478">
        <f t="shared" si="13"/>
        <v>1250</v>
      </c>
      <c r="I19" s="478">
        <f t="shared" si="13"/>
        <v>0</v>
      </c>
      <c r="J19" s="491">
        <f t="shared" si="13"/>
        <v>0</v>
      </c>
      <c r="L19" s="490"/>
      <c r="M19" s="490"/>
      <c r="N19" s="490"/>
      <c r="O19" s="490"/>
      <c r="P19" s="490"/>
    </row>
    <row r="20" spans="1:22" s="472" customFormat="1" ht="12">
      <c r="A20" s="2261" t="s">
        <v>1530</v>
      </c>
      <c r="B20" s="2262"/>
      <c r="C20" s="478">
        <f t="shared" si="8"/>
        <v>19974</v>
      </c>
      <c r="D20" s="478">
        <f t="shared" ref="D20:J20" si="14">+D102</f>
        <v>18098</v>
      </c>
      <c r="E20" s="478">
        <f t="shared" si="14"/>
        <v>1294</v>
      </c>
      <c r="F20" s="478">
        <f t="shared" si="14"/>
        <v>0</v>
      </c>
      <c r="G20" s="478">
        <f t="shared" si="14"/>
        <v>0</v>
      </c>
      <c r="H20" s="478">
        <f t="shared" si="14"/>
        <v>582</v>
      </c>
      <c r="I20" s="478">
        <f t="shared" si="14"/>
        <v>0</v>
      </c>
      <c r="J20" s="491">
        <f t="shared" si="14"/>
        <v>0</v>
      </c>
      <c r="L20" s="490"/>
      <c r="M20" s="490"/>
      <c r="N20" s="490"/>
      <c r="O20" s="490"/>
      <c r="P20" s="490"/>
    </row>
    <row r="21" spans="1:22" s="472" customFormat="1" ht="12.75" thickBot="1">
      <c r="A21" s="2272"/>
      <c r="B21" s="2273"/>
      <c r="C21" s="492"/>
      <c r="D21" s="492"/>
      <c r="E21" s="492"/>
      <c r="F21" s="492"/>
      <c r="G21" s="492"/>
      <c r="H21" s="492"/>
      <c r="I21" s="492"/>
      <c r="J21" s="488"/>
      <c r="L21" s="490"/>
      <c r="M21" s="490"/>
      <c r="N21" s="490"/>
      <c r="O21" s="490"/>
      <c r="P21" s="490"/>
    </row>
    <row r="22" spans="1:22" s="472" customFormat="1" ht="12">
      <c r="A22" s="493"/>
      <c r="B22" s="493"/>
      <c r="C22" s="494"/>
      <c r="D22" s="494"/>
      <c r="E22" s="494"/>
      <c r="F22" s="494"/>
      <c r="G22" s="494"/>
      <c r="H22" s="494"/>
      <c r="I22" s="494"/>
      <c r="J22" s="494"/>
      <c r="L22" s="490"/>
      <c r="M22" s="490"/>
      <c r="N22" s="490"/>
      <c r="O22" s="490"/>
      <c r="P22" s="490"/>
    </row>
    <row r="23" spans="1:22" s="472" customFormat="1" ht="12.75" thickBot="1">
      <c r="A23" s="472" t="s">
        <v>536</v>
      </c>
      <c r="C23" s="473"/>
      <c r="D23" s="473"/>
      <c r="E23" s="473"/>
      <c r="F23" s="473"/>
      <c r="G23" s="473"/>
      <c r="H23" s="473"/>
      <c r="I23" s="473"/>
      <c r="J23" s="474" t="s">
        <v>537</v>
      </c>
      <c r="L23" s="490"/>
      <c r="M23" s="490"/>
      <c r="N23" s="490"/>
      <c r="O23" s="490"/>
      <c r="P23" s="490"/>
    </row>
    <row r="24" spans="1:22" s="472" customFormat="1" ht="12.75" thickBot="1">
      <c r="A24" s="2274" t="s">
        <v>511</v>
      </c>
      <c r="B24" s="2275"/>
      <c r="C24" s="495" t="s">
        <v>512</v>
      </c>
      <c r="D24" s="475" t="s">
        <v>513</v>
      </c>
      <c r="E24" s="475" t="s">
        <v>514</v>
      </c>
      <c r="F24" s="475" t="s">
        <v>515</v>
      </c>
      <c r="G24" s="475" t="s">
        <v>516</v>
      </c>
      <c r="H24" s="475" t="s">
        <v>517</v>
      </c>
      <c r="I24" s="475" t="s">
        <v>518</v>
      </c>
      <c r="J24" s="489" t="s">
        <v>519</v>
      </c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</row>
    <row r="25" spans="1:22" s="472" customFormat="1" ht="12">
      <c r="A25" s="2269" t="s">
        <v>540</v>
      </c>
      <c r="B25" s="496" t="s">
        <v>538</v>
      </c>
      <c r="C25" s="497">
        <f t="shared" ref="C25:C36" si="15">SUM(D25:J25)</f>
        <v>1901</v>
      </c>
      <c r="D25" s="497">
        <v>1643</v>
      </c>
      <c r="E25" s="497">
        <v>171</v>
      </c>
      <c r="F25" s="497">
        <v>0</v>
      </c>
      <c r="G25" s="497">
        <v>0</v>
      </c>
      <c r="H25" s="497">
        <v>87</v>
      </c>
      <c r="I25" s="497">
        <v>0</v>
      </c>
      <c r="J25" s="497">
        <v>0</v>
      </c>
      <c r="K25" s="490"/>
      <c r="L25" s="499"/>
      <c r="M25" s="499"/>
      <c r="N25" s="499"/>
      <c r="O25" s="499"/>
      <c r="P25" s="490"/>
      <c r="Q25" s="490"/>
      <c r="R25" s="490"/>
      <c r="S25" s="490"/>
      <c r="T25" s="490"/>
      <c r="U25" s="490"/>
      <c r="V25" s="490"/>
    </row>
    <row r="26" spans="1:22" s="472" customFormat="1" ht="12">
      <c r="A26" s="2270"/>
      <c r="B26" s="500" t="s">
        <v>539</v>
      </c>
      <c r="C26" s="501">
        <f t="shared" si="15"/>
        <v>1736</v>
      </c>
      <c r="D26" s="501">
        <v>1481</v>
      </c>
      <c r="E26" s="501">
        <v>178</v>
      </c>
      <c r="F26" s="501">
        <v>0</v>
      </c>
      <c r="G26" s="501">
        <v>0</v>
      </c>
      <c r="H26" s="501">
        <v>77</v>
      </c>
      <c r="I26" s="501">
        <v>0</v>
      </c>
      <c r="J26" s="501">
        <v>0</v>
      </c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</row>
    <row r="27" spans="1:22" s="472" customFormat="1" ht="12">
      <c r="A27" s="2270"/>
      <c r="B27" s="500" t="s">
        <v>39</v>
      </c>
      <c r="C27" s="501">
        <f t="shared" si="15"/>
        <v>2317</v>
      </c>
      <c r="D27" s="501">
        <v>1818</v>
      </c>
      <c r="E27" s="501">
        <v>456</v>
      </c>
      <c r="F27" s="501">
        <v>0</v>
      </c>
      <c r="G27" s="501">
        <v>0</v>
      </c>
      <c r="H27" s="501">
        <v>43</v>
      </c>
      <c r="I27" s="501">
        <v>0</v>
      </c>
      <c r="J27" s="501">
        <v>0</v>
      </c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</row>
    <row r="28" spans="1:22" s="472" customFormat="1" ht="12">
      <c r="A28" s="2270"/>
      <c r="B28" s="500" t="s">
        <v>40</v>
      </c>
      <c r="C28" s="501">
        <f t="shared" si="15"/>
        <v>1554</v>
      </c>
      <c r="D28" s="501">
        <v>1356</v>
      </c>
      <c r="E28" s="501">
        <v>145</v>
      </c>
      <c r="F28" s="501">
        <v>0</v>
      </c>
      <c r="G28" s="501">
        <v>0</v>
      </c>
      <c r="H28" s="501">
        <v>53</v>
      </c>
      <c r="I28" s="501">
        <v>0</v>
      </c>
      <c r="J28" s="501">
        <v>0</v>
      </c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</row>
    <row r="29" spans="1:22" s="472" customFormat="1" ht="12">
      <c r="A29" s="2270"/>
      <c r="B29" s="500" t="s">
        <v>41</v>
      </c>
      <c r="C29" s="501">
        <f t="shared" si="15"/>
        <v>1632</v>
      </c>
      <c r="D29" s="501">
        <v>1403</v>
      </c>
      <c r="E29" s="501">
        <v>181</v>
      </c>
      <c r="F29" s="501">
        <v>0</v>
      </c>
      <c r="G29" s="501">
        <v>0</v>
      </c>
      <c r="H29" s="501">
        <v>48</v>
      </c>
      <c r="I29" s="501">
        <v>0</v>
      </c>
      <c r="J29" s="501">
        <v>0</v>
      </c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</row>
    <row r="30" spans="1:22" s="472" customFormat="1" ht="12">
      <c r="A30" s="2270"/>
      <c r="B30" s="500" t="s">
        <v>28</v>
      </c>
      <c r="C30" s="501">
        <f t="shared" si="15"/>
        <v>1930</v>
      </c>
      <c r="D30" s="501">
        <v>1686</v>
      </c>
      <c r="E30" s="501">
        <v>164</v>
      </c>
      <c r="F30" s="501">
        <v>0</v>
      </c>
      <c r="G30" s="501">
        <v>0</v>
      </c>
      <c r="H30" s="501">
        <v>80</v>
      </c>
      <c r="I30" s="501">
        <v>0</v>
      </c>
      <c r="J30" s="501">
        <v>0</v>
      </c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</row>
    <row r="31" spans="1:22" s="472" customFormat="1" ht="12">
      <c r="A31" s="2270"/>
      <c r="B31" s="500" t="s">
        <v>29</v>
      </c>
      <c r="C31" s="501">
        <f t="shared" si="15"/>
        <v>1818</v>
      </c>
      <c r="D31" s="501">
        <v>1611</v>
      </c>
      <c r="E31" s="501">
        <v>121</v>
      </c>
      <c r="F31" s="501">
        <v>0</v>
      </c>
      <c r="G31" s="501">
        <v>0</v>
      </c>
      <c r="H31" s="501">
        <v>86</v>
      </c>
      <c r="I31" s="501">
        <v>0</v>
      </c>
      <c r="J31" s="501">
        <v>0</v>
      </c>
      <c r="K31" s="490"/>
      <c r="L31" s="490"/>
      <c r="M31" s="503"/>
      <c r="N31" s="503"/>
      <c r="O31" s="503"/>
      <c r="P31" s="503"/>
      <c r="Q31" s="503"/>
      <c r="R31" s="503"/>
      <c r="S31" s="503"/>
      <c r="T31" s="503"/>
      <c r="U31" s="503"/>
      <c r="V31" s="503"/>
    </row>
    <row r="32" spans="1:22" s="472" customFormat="1" ht="12">
      <c r="A32" s="2270"/>
      <c r="B32" s="500" t="s">
        <v>30</v>
      </c>
      <c r="C32" s="501">
        <f t="shared" si="15"/>
        <v>1890</v>
      </c>
      <c r="D32" s="501">
        <v>1670</v>
      </c>
      <c r="E32" s="501">
        <v>131</v>
      </c>
      <c r="F32" s="501">
        <v>0</v>
      </c>
      <c r="G32" s="501">
        <v>0</v>
      </c>
      <c r="H32" s="501">
        <v>89</v>
      </c>
      <c r="I32" s="501">
        <v>0</v>
      </c>
      <c r="J32" s="501">
        <v>0</v>
      </c>
      <c r="K32" s="490"/>
      <c r="L32" s="490"/>
      <c r="M32" s="503"/>
      <c r="N32" s="503"/>
      <c r="O32" s="503"/>
      <c r="P32" s="503"/>
      <c r="Q32" s="503"/>
      <c r="R32" s="503"/>
      <c r="S32" s="503"/>
      <c r="T32" s="503"/>
      <c r="U32" s="503"/>
      <c r="V32" s="503"/>
    </row>
    <row r="33" spans="1:23" s="472" customFormat="1" ht="12">
      <c r="A33" s="2270"/>
      <c r="B33" s="500" t="s">
        <v>31</v>
      </c>
      <c r="C33" s="501">
        <f t="shared" si="15"/>
        <v>2131</v>
      </c>
      <c r="D33" s="501">
        <v>1784</v>
      </c>
      <c r="E33" s="501">
        <v>261</v>
      </c>
      <c r="F33" s="501">
        <v>0</v>
      </c>
      <c r="G33" s="501">
        <v>0</v>
      </c>
      <c r="H33" s="501">
        <v>86</v>
      </c>
      <c r="I33" s="501">
        <v>0</v>
      </c>
      <c r="J33" s="501">
        <v>0</v>
      </c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</row>
    <row r="34" spans="1:23" s="472" customFormat="1" ht="12">
      <c r="A34" s="2270"/>
      <c r="B34" s="500" t="s">
        <v>32</v>
      </c>
      <c r="C34" s="501">
        <f t="shared" si="15"/>
        <v>1884</v>
      </c>
      <c r="D34" s="501">
        <v>1710</v>
      </c>
      <c r="E34" s="501">
        <v>105</v>
      </c>
      <c r="F34" s="501">
        <v>0</v>
      </c>
      <c r="G34" s="501">
        <v>0</v>
      </c>
      <c r="H34" s="501">
        <v>69</v>
      </c>
      <c r="I34" s="501">
        <v>0</v>
      </c>
      <c r="J34" s="501">
        <v>0</v>
      </c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</row>
    <row r="35" spans="1:23" s="472" customFormat="1" ht="12">
      <c r="A35" s="2270"/>
      <c r="B35" s="500" t="s">
        <v>33</v>
      </c>
      <c r="C35" s="501">
        <f t="shared" si="15"/>
        <v>1675</v>
      </c>
      <c r="D35" s="501">
        <v>1533</v>
      </c>
      <c r="E35" s="501">
        <v>114</v>
      </c>
      <c r="F35" s="501">
        <v>0</v>
      </c>
      <c r="G35" s="501">
        <v>0</v>
      </c>
      <c r="H35" s="501">
        <v>28</v>
      </c>
      <c r="I35" s="501">
        <v>0</v>
      </c>
      <c r="J35" s="501">
        <v>0</v>
      </c>
      <c r="K35" s="490"/>
      <c r="L35" s="504"/>
      <c r="M35" s="504"/>
      <c r="N35" s="490"/>
      <c r="O35" s="490"/>
      <c r="P35" s="490"/>
      <c r="Q35" s="490"/>
      <c r="R35" s="490"/>
      <c r="S35" s="490"/>
      <c r="T35" s="490"/>
      <c r="U35" s="490"/>
      <c r="V35" s="490"/>
      <c r="W35" s="490"/>
    </row>
    <row r="36" spans="1:23" s="472" customFormat="1" ht="12">
      <c r="A36" s="2270"/>
      <c r="B36" s="500" t="s">
        <v>34</v>
      </c>
      <c r="C36" s="501">
        <f t="shared" si="15"/>
        <v>1475</v>
      </c>
      <c r="D36" s="501">
        <v>1290</v>
      </c>
      <c r="E36" s="501">
        <v>120</v>
      </c>
      <c r="F36" s="501">
        <v>0</v>
      </c>
      <c r="G36" s="501">
        <v>0</v>
      </c>
      <c r="H36" s="501">
        <v>65</v>
      </c>
      <c r="I36" s="501">
        <v>0</v>
      </c>
      <c r="J36" s="501">
        <v>0</v>
      </c>
      <c r="K36" s="490"/>
      <c r="L36" s="504"/>
      <c r="M36" s="504"/>
      <c r="N36" s="505"/>
      <c r="O36" s="505"/>
      <c r="P36" s="505"/>
      <c r="Q36" s="505"/>
      <c r="R36" s="505"/>
      <c r="S36" s="505"/>
      <c r="T36" s="505"/>
      <c r="U36" s="505"/>
      <c r="V36" s="505"/>
      <c r="W36" s="505"/>
    </row>
    <row r="37" spans="1:23" s="472" customFormat="1" ht="12.75" thickBot="1">
      <c r="A37" s="2271"/>
      <c r="B37" s="506" t="s">
        <v>512</v>
      </c>
      <c r="C37" s="507">
        <f t="shared" ref="C37:J37" si="16">SUM(C25:C36)</f>
        <v>21943</v>
      </c>
      <c r="D37" s="507">
        <f t="shared" si="16"/>
        <v>18985</v>
      </c>
      <c r="E37" s="507">
        <f t="shared" si="16"/>
        <v>2147</v>
      </c>
      <c r="F37" s="507">
        <f t="shared" si="16"/>
        <v>0</v>
      </c>
      <c r="G37" s="507">
        <f t="shared" si="16"/>
        <v>0</v>
      </c>
      <c r="H37" s="507">
        <f t="shared" si="16"/>
        <v>811</v>
      </c>
      <c r="I37" s="507">
        <f t="shared" si="16"/>
        <v>0</v>
      </c>
      <c r="J37" s="508">
        <f t="shared" si="16"/>
        <v>0</v>
      </c>
      <c r="K37" s="499"/>
      <c r="L37" s="504"/>
      <c r="M37" s="504"/>
      <c r="N37" s="504"/>
      <c r="O37" s="504"/>
      <c r="P37" s="490"/>
      <c r="Q37" s="490"/>
      <c r="R37" s="490"/>
      <c r="S37" s="490"/>
      <c r="T37" s="490"/>
      <c r="U37" s="490"/>
      <c r="V37" s="490"/>
    </row>
    <row r="38" spans="1:23" s="472" customFormat="1" ht="12">
      <c r="A38" s="2269" t="s">
        <v>541</v>
      </c>
      <c r="B38" s="496" t="s">
        <v>538</v>
      </c>
      <c r="C38" s="497">
        <f t="shared" ref="C38:C49" si="17">SUM(D38:J38)</f>
        <v>1716</v>
      </c>
      <c r="D38" s="497">
        <v>1494</v>
      </c>
      <c r="E38" s="497">
        <v>133</v>
      </c>
      <c r="F38" s="497">
        <v>0</v>
      </c>
      <c r="G38" s="497">
        <v>0</v>
      </c>
      <c r="H38" s="497">
        <v>89</v>
      </c>
      <c r="I38" s="497">
        <v>0</v>
      </c>
      <c r="J38" s="497">
        <v>0</v>
      </c>
      <c r="K38" s="490"/>
      <c r="L38" s="499"/>
      <c r="M38" s="499"/>
      <c r="N38" s="499"/>
      <c r="O38" s="499"/>
      <c r="P38" s="490"/>
      <c r="Q38" s="490"/>
      <c r="R38" s="490"/>
      <c r="S38" s="490"/>
      <c r="T38" s="490"/>
      <c r="U38" s="490"/>
      <c r="V38" s="490"/>
    </row>
    <row r="39" spans="1:23" s="472" customFormat="1" ht="12">
      <c r="A39" s="2270"/>
      <c r="B39" s="500" t="s">
        <v>539</v>
      </c>
      <c r="C39" s="501">
        <f t="shared" si="17"/>
        <v>1472</v>
      </c>
      <c r="D39" s="501">
        <v>1274</v>
      </c>
      <c r="E39" s="501">
        <v>126</v>
      </c>
      <c r="F39" s="501">
        <v>0</v>
      </c>
      <c r="G39" s="501">
        <v>0</v>
      </c>
      <c r="H39" s="501">
        <v>72</v>
      </c>
      <c r="I39" s="501">
        <v>0</v>
      </c>
      <c r="J39" s="501">
        <v>0</v>
      </c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</row>
    <row r="40" spans="1:23" s="472" customFormat="1" ht="12">
      <c r="A40" s="2270"/>
      <c r="B40" s="500" t="s">
        <v>39</v>
      </c>
      <c r="C40" s="501">
        <f t="shared" si="17"/>
        <v>2253</v>
      </c>
      <c r="D40" s="501">
        <v>2032</v>
      </c>
      <c r="E40" s="501">
        <v>137</v>
      </c>
      <c r="F40" s="501">
        <v>0</v>
      </c>
      <c r="G40" s="501">
        <v>0</v>
      </c>
      <c r="H40" s="501">
        <v>84</v>
      </c>
      <c r="I40" s="501">
        <v>0</v>
      </c>
      <c r="J40" s="501">
        <v>0</v>
      </c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</row>
    <row r="41" spans="1:23" s="472" customFormat="1" ht="12">
      <c r="A41" s="2270"/>
      <c r="B41" s="500" t="s">
        <v>40</v>
      </c>
      <c r="C41" s="501">
        <f t="shared" si="17"/>
        <v>1700</v>
      </c>
      <c r="D41" s="501">
        <v>1533</v>
      </c>
      <c r="E41" s="501">
        <v>102</v>
      </c>
      <c r="F41" s="501">
        <v>0</v>
      </c>
      <c r="G41" s="501">
        <v>0</v>
      </c>
      <c r="H41" s="501">
        <v>65</v>
      </c>
      <c r="I41" s="501">
        <v>0</v>
      </c>
      <c r="J41" s="501">
        <v>0</v>
      </c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</row>
    <row r="42" spans="1:23" s="472" customFormat="1" ht="12">
      <c r="A42" s="2270"/>
      <c r="B42" s="500" t="s">
        <v>41</v>
      </c>
      <c r="C42" s="501">
        <f t="shared" si="17"/>
        <v>1451</v>
      </c>
      <c r="D42" s="501">
        <v>1285</v>
      </c>
      <c r="E42" s="501">
        <v>135</v>
      </c>
      <c r="F42" s="501">
        <v>0</v>
      </c>
      <c r="G42" s="501">
        <v>0</v>
      </c>
      <c r="H42" s="501">
        <v>31</v>
      </c>
      <c r="I42" s="501">
        <v>0</v>
      </c>
      <c r="J42" s="501">
        <v>0</v>
      </c>
      <c r="K42" s="490"/>
      <c r="L42" s="490"/>
      <c r="M42" s="490"/>
      <c r="N42" s="490"/>
      <c r="O42" s="490"/>
      <c r="P42" s="490"/>
      <c r="Q42" s="490"/>
      <c r="R42" s="490"/>
      <c r="S42" s="490"/>
      <c r="T42" s="490"/>
      <c r="U42" s="490"/>
      <c r="V42" s="490"/>
    </row>
    <row r="43" spans="1:23" s="472" customFormat="1" ht="12">
      <c r="A43" s="2270"/>
      <c r="B43" s="500" t="s">
        <v>28</v>
      </c>
      <c r="C43" s="501">
        <f t="shared" si="17"/>
        <v>1924</v>
      </c>
      <c r="D43" s="501">
        <v>1780</v>
      </c>
      <c r="E43" s="501">
        <v>110</v>
      </c>
      <c r="F43" s="501">
        <v>0</v>
      </c>
      <c r="G43" s="501">
        <v>0</v>
      </c>
      <c r="H43" s="501">
        <v>34</v>
      </c>
      <c r="I43" s="501">
        <v>0</v>
      </c>
      <c r="J43" s="501">
        <v>0</v>
      </c>
      <c r="K43" s="490"/>
      <c r="L43" s="490"/>
      <c r="M43" s="490"/>
      <c r="N43" s="490"/>
      <c r="O43" s="490"/>
      <c r="P43" s="490"/>
      <c r="Q43" s="490"/>
      <c r="R43" s="490"/>
      <c r="S43" s="490"/>
      <c r="T43" s="490"/>
      <c r="U43" s="490"/>
      <c r="V43" s="490"/>
    </row>
    <row r="44" spans="1:23" s="472" customFormat="1" ht="12">
      <c r="A44" s="2270"/>
      <c r="B44" s="500" t="s">
        <v>29</v>
      </c>
      <c r="C44" s="501">
        <f t="shared" si="17"/>
        <v>1967</v>
      </c>
      <c r="D44" s="501">
        <v>1651</v>
      </c>
      <c r="E44" s="501">
        <v>186</v>
      </c>
      <c r="F44" s="501">
        <v>0</v>
      </c>
      <c r="G44" s="501">
        <v>0</v>
      </c>
      <c r="H44" s="501">
        <v>130</v>
      </c>
      <c r="I44" s="501">
        <v>0</v>
      </c>
      <c r="J44" s="501">
        <v>0</v>
      </c>
      <c r="K44" s="490"/>
      <c r="L44" s="490"/>
      <c r="M44" s="503"/>
      <c r="N44" s="503"/>
      <c r="O44" s="503"/>
      <c r="P44" s="503"/>
      <c r="Q44" s="503"/>
      <c r="R44" s="503"/>
      <c r="S44" s="503"/>
      <c r="T44" s="503"/>
      <c r="U44" s="503"/>
      <c r="V44" s="503"/>
    </row>
    <row r="45" spans="1:23" s="472" customFormat="1" ht="12">
      <c r="A45" s="2270"/>
      <c r="B45" s="500" t="s">
        <v>30</v>
      </c>
      <c r="C45" s="501">
        <f t="shared" si="17"/>
        <v>2019</v>
      </c>
      <c r="D45" s="501">
        <v>1762</v>
      </c>
      <c r="E45" s="501">
        <v>182</v>
      </c>
      <c r="F45" s="501">
        <v>0</v>
      </c>
      <c r="G45" s="501">
        <v>0</v>
      </c>
      <c r="H45" s="501">
        <v>75</v>
      </c>
      <c r="I45" s="501">
        <v>0</v>
      </c>
      <c r="J45" s="501">
        <v>0</v>
      </c>
      <c r="K45" s="490"/>
      <c r="L45" s="490"/>
      <c r="M45" s="503"/>
      <c r="N45" s="503"/>
      <c r="O45" s="503"/>
      <c r="P45" s="503"/>
      <c r="Q45" s="503"/>
      <c r="R45" s="503"/>
      <c r="S45" s="503"/>
      <c r="T45" s="503"/>
      <c r="U45" s="503"/>
      <c r="V45" s="503"/>
    </row>
    <row r="46" spans="1:23" s="472" customFormat="1" ht="12">
      <c r="A46" s="2270"/>
      <c r="B46" s="500" t="s">
        <v>31</v>
      </c>
      <c r="C46" s="501">
        <f t="shared" si="17"/>
        <v>2261</v>
      </c>
      <c r="D46" s="501">
        <v>1932</v>
      </c>
      <c r="E46" s="501">
        <v>248</v>
      </c>
      <c r="F46" s="501">
        <v>0</v>
      </c>
      <c r="G46" s="501">
        <v>0</v>
      </c>
      <c r="H46" s="501">
        <v>81</v>
      </c>
      <c r="I46" s="501">
        <v>0</v>
      </c>
      <c r="J46" s="501">
        <v>0</v>
      </c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</row>
    <row r="47" spans="1:23" s="472" customFormat="1" ht="12">
      <c r="A47" s="2270"/>
      <c r="B47" s="500" t="s">
        <v>32</v>
      </c>
      <c r="C47" s="501">
        <f t="shared" si="17"/>
        <v>1877</v>
      </c>
      <c r="D47" s="501">
        <v>1619</v>
      </c>
      <c r="E47" s="501">
        <v>199</v>
      </c>
      <c r="F47" s="501">
        <v>0</v>
      </c>
      <c r="G47" s="501">
        <v>0</v>
      </c>
      <c r="H47" s="501">
        <v>59</v>
      </c>
      <c r="I47" s="501">
        <v>0</v>
      </c>
      <c r="J47" s="501">
        <v>0</v>
      </c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</row>
    <row r="48" spans="1:23" s="472" customFormat="1" ht="12">
      <c r="A48" s="2270"/>
      <c r="B48" s="500" t="s">
        <v>33</v>
      </c>
      <c r="C48" s="501">
        <f t="shared" si="17"/>
        <v>1658</v>
      </c>
      <c r="D48" s="501">
        <v>1409</v>
      </c>
      <c r="E48" s="501">
        <v>187</v>
      </c>
      <c r="F48" s="501">
        <v>0</v>
      </c>
      <c r="G48" s="501">
        <v>0</v>
      </c>
      <c r="H48" s="501">
        <v>62</v>
      </c>
      <c r="I48" s="501">
        <v>0</v>
      </c>
      <c r="J48" s="501">
        <v>0</v>
      </c>
      <c r="K48" s="490"/>
      <c r="L48" s="504"/>
      <c r="M48" s="504"/>
      <c r="N48" s="490"/>
      <c r="O48" s="490"/>
      <c r="P48" s="490"/>
      <c r="Q48" s="490"/>
      <c r="R48" s="490"/>
      <c r="S48" s="490"/>
      <c r="T48" s="490"/>
      <c r="U48" s="490"/>
      <c r="V48" s="490"/>
      <c r="W48" s="490"/>
    </row>
    <row r="49" spans="1:23" s="472" customFormat="1" ht="12">
      <c r="A49" s="2270"/>
      <c r="B49" s="500" t="s">
        <v>34</v>
      </c>
      <c r="C49" s="501">
        <f t="shared" si="17"/>
        <v>2110</v>
      </c>
      <c r="D49" s="501">
        <v>1840</v>
      </c>
      <c r="E49" s="501">
        <v>231</v>
      </c>
      <c r="F49" s="501">
        <v>0</v>
      </c>
      <c r="G49" s="501">
        <v>0</v>
      </c>
      <c r="H49" s="501">
        <v>39</v>
      </c>
      <c r="I49" s="501">
        <v>0</v>
      </c>
      <c r="J49" s="501">
        <v>0</v>
      </c>
      <c r="K49" s="490"/>
      <c r="L49" s="504"/>
      <c r="M49" s="504"/>
      <c r="N49" s="505"/>
      <c r="O49" s="505"/>
      <c r="P49" s="505"/>
      <c r="Q49" s="505"/>
      <c r="R49" s="505"/>
      <c r="S49" s="505"/>
      <c r="T49" s="505"/>
      <c r="U49" s="505"/>
      <c r="V49" s="505"/>
      <c r="W49" s="505"/>
    </row>
    <row r="50" spans="1:23" s="472" customFormat="1" ht="12.75" thickBot="1">
      <c r="A50" s="2271"/>
      <c r="B50" s="506" t="s">
        <v>512</v>
      </c>
      <c r="C50" s="507">
        <f>SUM(C38:C49)</f>
        <v>22408</v>
      </c>
      <c r="D50" s="507">
        <f>SUM(D38:D49)</f>
        <v>19611</v>
      </c>
      <c r="E50" s="507">
        <f t="shared" ref="E50:J50" si="18">SUM(E38:E49)</f>
        <v>1976</v>
      </c>
      <c r="F50" s="507">
        <f t="shared" si="18"/>
        <v>0</v>
      </c>
      <c r="G50" s="507">
        <f t="shared" si="18"/>
        <v>0</v>
      </c>
      <c r="H50" s="507">
        <f t="shared" si="18"/>
        <v>821</v>
      </c>
      <c r="I50" s="507">
        <f t="shared" si="18"/>
        <v>0</v>
      </c>
      <c r="J50" s="508">
        <f t="shared" si="18"/>
        <v>0</v>
      </c>
      <c r="K50" s="499"/>
      <c r="L50" s="504"/>
      <c r="M50" s="504"/>
      <c r="N50" s="504"/>
      <c r="O50" s="504"/>
      <c r="P50" s="490"/>
      <c r="Q50" s="490"/>
      <c r="R50" s="490"/>
      <c r="S50" s="490"/>
      <c r="T50" s="490"/>
      <c r="U50" s="490"/>
      <c r="V50" s="490"/>
    </row>
    <row r="51" spans="1:23" s="472" customFormat="1" ht="12">
      <c r="A51" s="2269" t="s">
        <v>542</v>
      </c>
      <c r="B51" s="496" t="s">
        <v>538</v>
      </c>
      <c r="C51" s="497">
        <f t="shared" ref="C51:C62" si="19">SUM(D51:J51)</f>
        <v>1680</v>
      </c>
      <c r="D51" s="497">
        <v>1446</v>
      </c>
      <c r="E51" s="497">
        <v>192</v>
      </c>
      <c r="F51" s="497">
        <v>0</v>
      </c>
      <c r="G51" s="497">
        <v>0</v>
      </c>
      <c r="H51" s="497">
        <v>42</v>
      </c>
      <c r="I51" s="497">
        <v>0</v>
      </c>
      <c r="J51" s="497">
        <v>0</v>
      </c>
      <c r="K51" s="490"/>
      <c r="L51" s="490"/>
      <c r="M51" s="490"/>
      <c r="N51" s="490"/>
      <c r="O51" s="490"/>
      <c r="P51" s="490"/>
      <c r="Q51" s="490"/>
      <c r="R51" s="490"/>
      <c r="S51" s="490"/>
      <c r="T51" s="490"/>
      <c r="U51" s="490"/>
      <c r="V51" s="490"/>
    </row>
    <row r="52" spans="1:23" s="472" customFormat="1" ht="12">
      <c r="A52" s="2270"/>
      <c r="B52" s="500" t="s">
        <v>539</v>
      </c>
      <c r="C52" s="501">
        <f t="shared" si="19"/>
        <v>2126</v>
      </c>
      <c r="D52" s="501">
        <v>1844</v>
      </c>
      <c r="E52" s="501">
        <v>239</v>
      </c>
      <c r="F52" s="501">
        <v>0</v>
      </c>
      <c r="G52" s="501">
        <v>0</v>
      </c>
      <c r="H52" s="501">
        <v>43</v>
      </c>
      <c r="I52" s="501">
        <v>0</v>
      </c>
      <c r="J52" s="501">
        <v>0</v>
      </c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</row>
    <row r="53" spans="1:23" s="472" customFormat="1" ht="12">
      <c r="A53" s="2270"/>
      <c r="B53" s="500" t="s">
        <v>39</v>
      </c>
      <c r="C53" s="501">
        <f t="shared" si="19"/>
        <v>1767</v>
      </c>
      <c r="D53" s="501">
        <v>1481</v>
      </c>
      <c r="E53" s="501">
        <v>254</v>
      </c>
      <c r="F53" s="501">
        <v>0</v>
      </c>
      <c r="G53" s="501">
        <v>0</v>
      </c>
      <c r="H53" s="501">
        <v>32</v>
      </c>
      <c r="I53" s="501">
        <v>0</v>
      </c>
      <c r="J53" s="501">
        <v>0</v>
      </c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</row>
    <row r="54" spans="1:23" s="472" customFormat="1" ht="12">
      <c r="A54" s="2270"/>
      <c r="B54" s="500" t="s">
        <v>40</v>
      </c>
      <c r="C54" s="501">
        <f t="shared" si="19"/>
        <v>1600</v>
      </c>
      <c r="D54" s="501">
        <v>1279</v>
      </c>
      <c r="E54" s="501">
        <v>297</v>
      </c>
      <c r="F54" s="501">
        <v>0</v>
      </c>
      <c r="G54" s="501">
        <v>0</v>
      </c>
      <c r="H54" s="501">
        <v>24</v>
      </c>
      <c r="I54" s="501">
        <v>0</v>
      </c>
      <c r="J54" s="501">
        <v>0</v>
      </c>
      <c r="K54" s="490"/>
      <c r="L54" s="490"/>
      <c r="M54" s="490"/>
      <c r="N54" s="490"/>
      <c r="O54" s="490"/>
      <c r="P54" s="490"/>
      <c r="Q54" s="490"/>
      <c r="R54" s="490"/>
      <c r="S54" s="490"/>
      <c r="T54" s="490"/>
      <c r="U54" s="490"/>
      <c r="V54" s="490"/>
    </row>
    <row r="55" spans="1:23" s="472" customFormat="1" ht="12">
      <c r="A55" s="2270"/>
      <c r="B55" s="500" t="s">
        <v>41</v>
      </c>
      <c r="C55" s="501">
        <f t="shared" si="19"/>
        <v>1449</v>
      </c>
      <c r="D55" s="501">
        <v>1324</v>
      </c>
      <c r="E55" s="501">
        <v>105</v>
      </c>
      <c r="F55" s="501">
        <v>0</v>
      </c>
      <c r="G55" s="501">
        <v>0</v>
      </c>
      <c r="H55" s="501">
        <v>20</v>
      </c>
      <c r="I55" s="501">
        <v>0</v>
      </c>
      <c r="J55" s="501">
        <v>0</v>
      </c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</row>
    <row r="56" spans="1:23" s="472" customFormat="1" ht="12">
      <c r="A56" s="2270"/>
      <c r="B56" s="500" t="s">
        <v>28</v>
      </c>
      <c r="C56" s="501">
        <f t="shared" si="19"/>
        <v>1553</v>
      </c>
      <c r="D56" s="501">
        <v>1382</v>
      </c>
      <c r="E56" s="501">
        <v>147</v>
      </c>
      <c r="F56" s="501">
        <v>0</v>
      </c>
      <c r="G56" s="501">
        <v>0</v>
      </c>
      <c r="H56" s="501">
        <v>24</v>
      </c>
      <c r="I56" s="501">
        <v>0</v>
      </c>
      <c r="J56" s="501">
        <v>0</v>
      </c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</row>
    <row r="57" spans="1:23" s="472" customFormat="1" ht="12">
      <c r="A57" s="2270"/>
      <c r="B57" s="500" t="s">
        <v>29</v>
      </c>
      <c r="C57" s="501">
        <f t="shared" si="19"/>
        <v>1883</v>
      </c>
      <c r="D57" s="501">
        <v>1683</v>
      </c>
      <c r="E57" s="501">
        <v>160</v>
      </c>
      <c r="F57" s="501">
        <v>0</v>
      </c>
      <c r="G57" s="501">
        <v>0</v>
      </c>
      <c r="H57" s="501">
        <v>40</v>
      </c>
      <c r="I57" s="501">
        <v>0</v>
      </c>
      <c r="J57" s="501">
        <v>0</v>
      </c>
      <c r="K57" s="490"/>
      <c r="L57" s="490"/>
      <c r="M57" s="490"/>
      <c r="N57" s="490"/>
      <c r="O57" s="490"/>
      <c r="P57" s="490"/>
      <c r="Q57" s="490"/>
      <c r="R57" s="490"/>
      <c r="S57" s="490"/>
      <c r="T57" s="490"/>
      <c r="U57" s="490"/>
      <c r="V57" s="490"/>
    </row>
    <row r="58" spans="1:23" s="472" customFormat="1" ht="12">
      <c r="A58" s="2270"/>
      <c r="B58" s="500" t="s">
        <v>30</v>
      </c>
      <c r="C58" s="501">
        <f t="shared" si="19"/>
        <v>1833</v>
      </c>
      <c r="D58" s="501">
        <v>1594</v>
      </c>
      <c r="E58" s="501">
        <v>200</v>
      </c>
      <c r="F58" s="501">
        <v>0</v>
      </c>
      <c r="G58" s="501">
        <v>0</v>
      </c>
      <c r="H58" s="501">
        <v>39</v>
      </c>
      <c r="I58" s="501">
        <v>0</v>
      </c>
      <c r="J58" s="501">
        <v>0</v>
      </c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</row>
    <row r="59" spans="1:23" s="472" customFormat="1" ht="12">
      <c r="A59" s="2270"/>
      <c r="B59" s="500" t="s">
        <v>31</v>
      </c>
      <c r="C59" s="501">
        <f t="shared" si="19"/>
        <v>2049</v>
      </c>
      <c r="D59" s="501">
        <v>1886</v>
      </c>
      <c r="E59" s="501">
        <v>112</v>
      </c>
      <c r="F59" s="501">
        <v>0</v>
      </c>
      <c r="G59" s="501">
        <v>0</v>
      </c>
      <c r="H59" s="501">
        <v>51</v>
      </c>
      <c r="I59" s="501">
        <v>0</v>
      </c>
      <c r="J59" s="501">
        <v>0</v>
      </c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</row>
    <row r="60" spans="1:23" s="472" customFormat="1" ht="12">
      <c r="A60" s="2270"/>
      <c r="B60" s="500" t="s">
        <v>32</v>
      </c>
      <c r="C60" s="501">
        <f t="shared" si="19"/>
        <v>2276</v>
      </c>
      <c r="D60" s="501">
        <v>2077</v>
      </c>
      <c r="E60" s="501">
        <v>157</v>
      </c>
      <c r="F60" s="501">
        <v>0</v>
      </c>
      <c r="G60" s="501">
        <v>0</v>
      </c>
      <c r="H60" s="501">
        <v>42</v>
      </c>
      <c r="I60" s="501">
        <v>0</v>
      </c>
      <c r="J60" s="501">
        <v>0</v>
      </c>
      <c r="K60" s="490"/>
      <c r="L60" s="490"/>
      <c r="M60" s="490"/>
      <c r="N60" s="490"/>
      <c r="O60" s="490"/>
      <c r="P60" s="490"/>
      <c r="Q60" s="490"/>
      <c r="R60" s="490"/>
      <c r="S60" s="490"/>
      <c r="T60" s="490"/>
      <c r="U60" s="490"/>
      <c r="V60" s="490"/>
    </row>
    <row r="61" spans="1:23" s="472" customFormat="1" ht="12">
      <c r="A61" s="2270"/>
      <c r="B61" s="500" t="s">
        <v>33</v>
      </c>
      <c r="C61" s="501">
        <f t="shared" si="19"/>
        <v>1334</v>
      </c>
      <c r="D61" s="501">
        <v>1199</v>
      </c>
      <c r="E61" s="501">
        <v>109</v>
      </c>
      <c r="F61" s="501">
        <v>0</v>
      </c>
      <c r="G61" s="501">
        <v>0</v>
      </c>
      <c r="H61" s="501">
        <v>26</v>
      </c>
      <c r="I61" s="501">
        <v>0</v>
      </c>
      <c r="J61" s="501">
        <v>0</v>
      </c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  <c r="V61" s="490"/>
    </row>
    <row r="62" spans="1:23" s="472" customFormat="1" ht="12">
      <c r="A62" s="2270"/>
      <c r="B62" s="500" t="s">
        <v>34</v>
      </c>
      <c r="C62" s="501">
        <f t="shared" si="19"/>
        <v>2102</v>
      </c>
      <c r="D62" s="501">
        <v>1926</v>
      </c>
      <c r="E62" s="501">
        <v>120</v>
      </c>
      <c r="F62" s="501">
        <v>0</v>
      </c>
      <c r="G62" s="501">
        <v>0</v>
      </c>
      <c r="H62" s="501">
        <v>56</v>
      </c>
      <c r="I62" s="501">
        <v>0</v>
      </c>
      <c r="J62" s="501">
        <v>0</v>
      </c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  <c r="V62" s="490"/>
    </row>
    <row r="63" spans="1:23" s="472" customFormat="1" ht="12.75" thickBot="1">
      <c r="A63" s="2271"/>
      <c r="B63" s="506" t="s">
        <v>512</v>
      </c>
      <c r="C63" s="507">
        <f t="shared" ref="C63:J63" si="20">SUM(C51:C62)</f>
        <v>21652</v>
      </c>
      <c r="D63" s="507">
        <f t="shared" si="20"/>
        <v>19121</v>
      </c>
      <c r="E63" s="507">
        <f t="shared" si="20"/>
        <v>2092</v>
      </c>
      <c r="F63" s="507">
        <f t="shared" si="20"/>
        <v>0</v>
      </c>
      <c r="G63" s="507">
        <f t="shared" si="20"/>
        <v>0</v>
      </c>
      <c r="H63" s="507">
        <f t="shared" si="20"/>
        <v>439</v>
      </c>
      <c r="I63" s="507">
        <f t="shared" si="20"/>
        <v>0</v>
      </c>
      <c r="J63" s="508">
        <f t="shared" si="20"/>
        <v>0</v>
      </c>
      <c r="K63" s="490"/>
      <c r="L63" s="490"/>
      <c r="M63" s="490"/>
      <c r="N63" s="490"/>
      <c r="O63" s="490"/>
      <c r="P63" s="490"/>
      <c r="Q63" s="490"/>
      <c r="R63" s="490"/>
      <c r="S63" s="490"/>
      <c r="T63" s="490"/>
      <c r="U63" s="490"/>
      <c r="V63" s="490"/>
    </row>
    <row r="64" spans="1:23" s="472" customFormat="1" ht="12">
      <c r="A64" s="2269" t="s">
        <v>869</v>
      </c>
      <c r="B64" s="496" t="s">
        <v>538</v>
      </c>
      <c r="C64" s="497">
        <f t="shared" ref="C64:C75" si="21">SUM(D64:J64)</f>
        <v>1589</v>
      </c>
      <c r="D64" s="497">
        <v>1397</v>
      </c>
      <c r="E64" s="497">
        <v>107</v>
      </c>
      <c r="F64" s="497">
        <v>0</v>
      </c>
      <c r="G64" s="497">
        <v>0</v>
      </c>
      <c r="H64" s="497">
        <v>85</v>
      </c>
      <c r="I64" s="497">
        <v>0</v>
      </c>
      <c r="J64" s="497">
        <v>0</v>
      </c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</row>
    <row r="65" spans="1:22" s="472" customFormat="1" ht="12">
      <c r="A65" s="2270"/>
      <c r="B65" s="500" t="s">
        <v>539</v>
      </c>
      <c r="C65" s="501">
        <f t="shared" si="21"/>
        <v>1864</v>
      </c>
      <c r="D65" s="501">
        <v>1657</v>
      </c>
      <c r="E65" s="501">
        <v>75</v>
      </c>
      <c r="F65" s="501">
        <v>0</v>
      </c>
      <c r="G65" s="501">
        <v>0</v>
      </c>
      <c r="H65" s="501">
        <v>132</v>
      </c>
      <c r="I65" s="501">
        <v>0</v>
      </c>
      <c r="J65" s="501">
        <v>0</v>
      </c>
      <c r="K65" s="490"/>
      <c r="L65" s="490"/>
      <c r="M65" s="490"/>
      <c r="N65" s="490"/>
      <c r="O65" s="490"/>
      <c r="P65" s="490"/>
      <c r="Q65" s="490"/>
      <c r="R65" s="490"/>
      <c r="S65" s="490"/>
      <c r="T65" s="490"/>
      <c r="U65" s="490"/>
      <c r="V65" s="490"/>
    </row>
    <row r="66" spans="1:22" s="472" customFormat="1" ht="12">
      <c r="A66" s="2270"/>
      <c r="B66" s="500" t="s">
        <v>39</v>
      </c>
      <c r="C66" s="501">
        <f t="shared" si="21"/>
        <v>1638</v>
      </c>
      <c r="D66" s="501">
        <v>1482</v>
      </c>
      <c r="E66" s="501">
        <v>72</v>
      </c>
      <c r="F66" s="501">
        <v>0</v>
      </c>
      <c r="G66" s="501">
        <v>0</v>
      </c>
      <c r="H66" s="501">
        <v>84</v>
      </c>
      <c r="I66" s="501">
        <v>0</v>
      </c>
      <c r="J66" s="501">
        <v>0</v>
      </c>
      <c r="K66" s="490"/>
      <c r="L66" s="490"/>
      <c r="M66" s="490"/>
      <c r="N66" s="490"/>
      <c r="O66" s="490"/>
      <c r="P66" s="490"/>
      <c r="Q66" s="490"/>
      <c r="R66" s="490"/>
      <c r="S66" s="490"/>
      <c r="T66" s="490"/>
      <c r="U66" s="490"/>
      <c r="V66" s="490"/>
    </row>
    <row r="67" spans="1:22" s="472" customFormat="1" ht="12">
      <c r="A67" s="2270"/>
      <c r="B67" s="500" t="s">
        <v>40</v>
      </c>
      <c r="C67" s="501">
        <f t="shared" si="21"/>
        <v>1425</v>
      </c>
      <c r="D67" s="501">
        <v>1122</v>
      </c>
      <c r="E67" s="501">
        <v>224</v>
      </c>
      <c r="F67" s="501">
        <v>0</v>
      </c>
      <c r="G67" s="501">
        <v>0</v>
      </c>
      <c r="H67" s="501">
        <v>79</v>
      </c>
      <c r="I67" s="501">
        <v>0</v>
      </c>
      <c r="J67" s="501">
        <v>0</v>
      </c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</row>
    <row r="68" spans="1:22" s="472" customFormat="1" ht="12">
      <c r="A68" s="2270"/>
      <c r="B68" s="500" t="s">
        <v>41</v>
      </c>
      <c r="C68" s="501">
        <f t="shared" si="21"/>
        <v>1613</v>
      </c>
      <c r="D68" s="501">
        <v>1398</v>
      </c>
      <c r="E68" s="501">
        <v>100</v>
      </c>
      <c r="F68" s="501">
        <v>0</v>
      </c>
      <c r="G68" s="501">
        <v>0</v>
      </c>
      <c r="H68" s="501">
        <v>115</v>
      </c>
      <c r="I68" s="501">
        <v>0</v>
      </c>
      <c r="J68" s="501">
        <v>0</v>
      </c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</row>
    <row r="69" spans="1:22" s="472" customFormat="1" ht="12">
      <c r="A69" s="2270"/>
      <c r="B69" s="500" t="s">
        <v>28</v>
      </c>
      <c r="C69" s="501">
        <f t="shared" si="21"/>
        <v>1764</v>
      </c>
      <c r="D69" s="501">
        <v>1545</v>
      </c>
      <c r="E69" s="501">
        <v>112</v>
      </c>
      <c r="F69" s="501">
        <v>0</v>
      </c>
      <c r="G69" s="501">
        <v>0</v>
      </c>
      <c r="H69" s="501">
        <v>107</v>
      </c>
      <c r="I69" s="501">
        <v>0</v>
      </c>
      <c r="J69" s="501">
        <v>0</v>
      </c>
    </row>
    <row r="70" spans="1:22" s="472" customFormat="1" ht="12">
      <c r="A70" s="2270"/>
      <c r="B70" s="500" t="s">
        <v>29</v>
      </c>
      <c r="C70" s="501">
        <f t="shared" si="21"/>
        <v>1925</v>
      </c>
      <c r="D70" s="501">
        <v>1693</v>
      </c>
      <c r="E70" s="501">
        <v>100</v>
      </c>
      <c r="F70" s="501">
        <v>0</v>
      </c>
      <c r="G70" s="501">
        <v>0</v>
      </c>
      <c r="H70" s="501">
        <v>132</v>
      </c>
      <c r="I70" s="501">
        <v>0</v>
      </c>
      <c r="J70" s="501">
        <v>0</v>
      </c>
    </row>
    <row r="71" spans="1:22" s="472" customFormat="1" ht="12">
      <c r="A71" s="2270"/>
      <c r="B71" s="500" t="s">
        <v>30</v>
      </c>
      <c r="C71" s="501">
        <f t="shared" si="21"/>
        <v>1967</v>
      </c>
      <c r="D71" s="501">
        <v>1709</v>
      </c>
      <c r="E71" s="501">
        <v>118</v>
      </c>
      <c r="F71" s="501">
        <v>0</v>
      </c>
      <c r="G71" s="501">
        <v>0</v>
      </c>
      <c r="H71" s="501">
        <v>140</v>
      </c>
      <c r="I71" s="501">
        <v>0</v>
      </c>
      <c r="J71" s="501">
        <v>0</v>
      </c>
    </row>
    <row r="72" spans="1:22" s="472" customFormat="1" ht="12">
      <c r="A72" s="2270"/>
      <c r="B72" s="500" t="s">
        <v>31</v>
      </c>
      <c r="C72" s="501">
        <f t="shared" si="21"/>
        <v>2096</v>
      </c>
      <c r="D72" s="501">
        <v>1862</v>
      </c>
      <c r="E72" s="501">
        <v>87</v>
      </c>
      <c r="F72" s="501">
        <v>0</v>
      </c>
      <c r="G72" s="501">
        <v>0</v>
      </c>
      <c r="H72" s="501">
        <v>147</v>
      </c>
      <c r="I72" s="501">
        <v>0</v>
      </c>
      <c r="J72" s="501">
        <v>0</v>
      </c>
    </row>
    <row r="73" spans="1:22" s="472" customFormat="1" ht="12">
      <c r="A73" s="2270"/>
      <c r="B73" s="500" t="s">
        <v>32</v>
      </c>
      <c r="C73" s="501">
        <f t="shared" si="21"/>
        <v>2505</v>
      </c>
      <c r="D73" s="501">
        <v>2275</v>
      </c>
      <c r="E73" s="501">
        <v>108</v>
      </c>
      <c r="F73" s="501">
        <v>0</v>
      </c>
      <c r="G73" s="501">
        <v>0</v>
      </c>
      <c r="H73" s="501">
        <v>122</v>
      </c>
      <c r="I73" s="501">
        <v>0</v>
      </c>
      <c r="J73" s="501">
        <v>0</v>
      </c>
    </row>
    <row r="74" spans="1:22" s="472" customFormat="1" ht="12">
      <c r="A74" s="2270"/>
      <c r="B74" s="500" t="s">
        <v>33</v>
      </c>
      <c r="C74" s="501">
        <f t="shared" si="21"/>
        <v>2111</v>
      </c>
      <c r="D74" s="501">
        <v>1885</v>
      </c>
      <c r="E74" s="501">
        <v>121</v>
      </c>
      <c r="F74" s="501">
        <v>0</v>
      </c>
      <c r="G74" s="501">
        <v>0</v>
      </c>
      <c r="H74" s="501">
        <v>105</v>
      </c>
      <c r="I74" s="501">
        <v>0</v>
      </c>
      <c r="J74" s="501">
        <v>0</v>
      </c>
    </row>
    <row r="75" spans="1:22" s="472" customFormat="1" ht="12">
      <c r="A75" s="2270"/>
      <c r="B75" s="500" t="s">
        <v>34</v>
      </c>
      <c r="C75" s="501">
        <f t="shared" si="21"/>
        <v>1934</v>
      </c>
      <c r="D75" s="501">
        <v>1707</v>
      </c>
      <c r="E75" s="501">
        <v>126</v>
      </c>
      <c r="F75" s="501">
        <v>0</v>
      </c>
      <c r="G75" s="501">
        <v>0</v>
      </c>
      <c r="H75" s="501">
        <v>101</v>
      </c>
      <c r="I75" s="501">
        <v>0</v>
      </c>
      <c r="J75" s="501">
        <v>0</v>
      </c>
    </row>
    <row r="76" spans="1:22" s="472" customFormat="1" ht="12.75" thickBot="1">
      <c r="A76" s="2271"/>
      <c r="B76" s="506" t="s">
        <v>512</v>
      </c>
      <c r="C76" s="507">
        <f t="shared" ref="C76:J76" si="22">SUM(C64:C75)</f>
        <v>22431</v>
      </c>
      <c r="D76" s="507">
        <f t="shared" si="22"/>
        <v>19732</v>
      </c>
      <c r="E76" s="507">
        <f t="shared" si="22"/>
        <v>1350</v>
      </c>
      <c r="F76" s="507">
        <f t="shared" si="22"/>
        <v>0</v>
      </c>
      <c r="G76" s="507">
        <f t="shared" si="22"/>
        <v>0</v>
      </c>
      <c r="H76" s="507">
        <f t="shared" si="22"/>
        <v>1349</v>
      </c>
      <c r="I76" s="507">
        <f t="shared" si="22"/>
        <v>0</v>
      </c>
      <c r="J76" s="508">
        <f t="shared" si="22"/>
        <v>0</v>
      </c>
    </row>
    <row r="77" spans="1:22" s="472" customFormat="1" ht="12">
      <c r="A77" s="2269" t="s">
        <v>286</v>
      </c>
      <c r="B77" s="496" t="s">
        <v>538</v>
      </c>
      <c r="C77" s="497">
        <f t="shared" ref="C77:C88" si="23">SUM(D77:J77)</f>
        <v>1819</v>
      </c>
      <c r="D77" s="497">
        <v>1602</v>
      </c>
      <c r="E77" s="497">
        <v>126</v>
      </c>
      <c r="F77" s="497">
        <v>0</v>
      </c>
      <c r="G77" s="497">
        <v>0</v>
      </c>
      <c r="H77" s="497">
        <v>91</v>
      </c>
      <c r="I77" s="497">
        <v>0</v>
      </c>
      <c r="J77" s="497">
        <v>0</v>
      </c>
    </row>
    <row r="78" spans="1:22" s="472" customFormat="1" ht="12">
      <c r="A78" s="2270"/>
      <c r="B78" s="500" t="s">
        <v>539</v>
      </c>
      <c r="C78" s="501">
        <f t="shared" si="23"/>
        <v>1495</v>
      </c>
      <c r="D78" s="501">
        <v>1347</v>
      </c>
      <c r="E78" s="501">
        <v>60</v>
      </c>
      <c r="F78" s="501">
        <v>0</v>
      </c>
      <c r="G78" s="501">
        <v>0</v>
      </c>
      <c r="H78" s="501">
        <v>88</v>
      </c>
      <c r="I78" s="501">
        <v>0</v>
      </c>
      <c r="J78" s="501">
        <v>0</v>
      </c>
    </row>
    <row r="79" spans="1:22" s="472" customFormat="1" ht="12">
      <c r="A79" s="2270"/>
      <c r="B79" s="500" t="s">
        <v>39</v>
      </c>
      <c r="C79" s="501">
        <f t="shared" si="23"/>
        <v>1555</v>
      </c>
      <c r="D79" s="501">
        <v>1391</v>
      </c>
      <c r="E79" s="501">
        <v>70</v>
      </c>
      <c r="F79" s="501">
        <v>0</v>
      </c>
      <c r="G79" s="501">
        <v>0</v>
      </c>
      <c r="H79" s="501">
        <v>94</v>
      </c>
      <c r="I79" s="501">
        <v>0</v>
      </c>
      <c r="J79" s="501">
        <v>0</v>
      </c>
    </row>
    <row r="80" spans="1:22" s="472" customFormat="1" ht="12">
      <c r="A80" s="2270"/>
      <c r="B80" s="500" t="s">
        <v>40</v>
      </c>
      <c r="C80" s="501">
        <f t="shared" si="23"/>
        <v>1279</v>
      </c>
      <c r="D80" s="501">
        <v>1135</v>
      </c>
      <c r="E80" s="501">
        <v>67</v>
      </c>
      <c r="F80" s="501">
        <v>0</v>
      </c>
      <c r="G80" s="501">
        <v>0</v>
      </c>
      <c r="H80" s="501">
        <v>77</v>
      </c>
      <c r="I80" s="501">
        <v>0</v>
      </c>
      <c r="J80" s="501">
        <v>0</v>
      </c>
    </row>
    <row r="81" spans="1:10" s="472" customFormat="1" ht="12">
      <c r="A81" s="2270"/>
      <c r="B81" s="500" t="s">
        <v>41</v>
      </c>
      <c r="C81" s="501">
        <f t="shared" si="23"/>
        <v>1432</v>
      </c>
      <c r="D81" s="501">
        <v>1232</v>
      </c>
      <c r="E81" s="501">
        <v>93</v>
      </c>
      <c r="F81" s="501">
        <v>0</v>
      </c>
      <c r="G81" s="501">
        <v>0</v>
      </c>
      <c r="H81" s="501">
        <v>107</v>
      </c>
      <c r="I81" s="501">
        <v>0</v>
      </c>
      <c r="J81" s="501">
        <v>0</v>
      </c>
    </row>
    <row r="82" spans="1:10" s="472" customFormat="1" ht="12">
      <c r="A82" s="2270"/>
      <c r="B82" s="500" t="s">
        <v>28</v>
      </c>
      <c r="C82" s="501">
        <f t="shared" si="23"/>
        <v>1501</v>
      </c>
      <c r="D82" s="501">
        <v>1273</v>
      </c>
      <c r="E82" s="501">
        <v>89</v>
      </c>
      <c r="F82" s="501">
        <v>0</v>
      </c>
      <c r="G82" s="501">
        <v>0</v>
      </c>
      <c r="H82" s="501">
        <v>139</v>
      </c>
      <c r="I82" s="501">
        <v>0</v>
      </c>
      <c r="J82" s="501">
        <v>0</v>
      </c>
    </row>
    <row r="83" spans="1:10" s="472" customFormat="1" ht="12">
      <c r="A83" s="2270"/>
      <c r="B83" s="500" t="s">
        <v>29</v>
      </c>
      <c r="C83" s="501">
        <f t="shared" si="23"/>
        <v>2043</v>
      </c>
      <c r="D83" s="501">
        <v>1866</v>
      </c>
      <c r="E83" s="501">
        <v>99</v>
      </c>
      <c r="F83" s="501">
        <v>0</v>
      </c>
      <c r="G83" s="501">
        <v>0</v>
      </c>
      <c r="H83" s="501">
        <v>78</v>
      </c>
      <c r="I83" s="501">
        <v>0</v>
      </c>
      <c r="J83" s="501">
        <v>0</v>
      </c>
    </row>
    <row r="84" spans="1:10" s="472" customFormat="1" ht="12">
      <c r="A84" s="2270"/>
      <c r="B84" s="500" t="s">
        <v>30</v>
      </c>
      <c r="C84" s="501">
        <f t="shared" si="23"/>
        <v>1845</v>
      </c>
      <c r="D84" s="501">
        <v>1611</v>
      </c>
      <c r="E84" s="501">
        <v>137</v>
      </c>
      <c r="F84" s="501">
        <v>0</v>
      </c>
      <c r="G84" s="501">
        <v>0</v>
      </c>
      <c r="H84" s="501">
        <v>97</v>
      </c>
      <c r="I84" s="501">
        <v>0</v>
      </c>
      <c r="J84" s="501">
        <v>0</v>
      </c>
    </row>
    <row r="85" spans="1:10" s="472" customFormat="1" ht="12">
      <c r="A85" s="2270"/>
      <c r="B85" s="500" t="s">
        <v>31</v>
      </c>
      <c r="C85" s="501">
        <f t="shared" si="23"/>
        <v>1994</v>
      </c>
      <c r="D85" s="501">
        <v>1804</v>
      </c>
      <c r="E85" s="501">
        <v>98</v>
      </c>
      <c r="F85" s="501">
        <v>0</v>
      </c>
      <c r="G85" s="501">
        <v>0</v>
      </c>
      <c r="H85" s="501">
        <v>92</v>
      </c>
      <c r="I85" s="501">
        <v>0</v>
      </c>
      <c r="J85" s="501">
        <v>0</v>
      </c>
    </row>
    <row r="86" spans="1:10" s="472" customFormat="1" ht="12">
      <c r="A86" s="2270"/>
      <c r="B86" s="500" t="s">
        <v>32</v>
      </c>
      <c r="C86" s="501">
        <f t="shared" si="23"/>
        <v>1758</v>
      </c>
      <c r="D86" s="501">
        <v>1523</v>
      </c>
      <c r="E86" s="501">
        <v>123</v>
      </c>
      <c r="F86" s="501">
        <v>0</v>
      </c>
      <c r="G86" s="501">
        <v>0</v>
      </c>
      <c r="H86" s="501">
        <v>112</v>
      </c>
      <c r="I86" s="501">
        <v>0</v>
      </c>
      <c r="J86" s="501">
        <v>0</v>
      </c>
    </row>
    <row r="87" spans="1:10" s="472" customFormat="1" ht="12">
      <c r="A87" s="2270"/>
      <c r="B87" s="500" t="s">
        <v>33</v>
      </c>
      <c r="C87" s="501">
        <f t="shared" si="23"/>
        <v>1667</v>
      </c>
      <c r="D87" s="501">
        <v>1490</v>
      </c>
      <c r="E87" s="501">
        <v>94</v>
      </c>
      <c r="F87" s="501">
        <v>0</v>
      </c>
      <c r="G87" s="501">
        <v>0</v>
      </c>
      <c r="H87" s="501">
        <v>83</v>
      </c>
      <c r="I87" s="501">
        <v>0</v>
      </c>
      <c r="J87" s="501">
        <v>0</v>
      </c>
    </row>
    <row r="88" spans="1:10" s="472" customFormat="1" ht="12">
      <c r="A88" s="2270"/>
      <c r="B88" s="500" t="s">
        <v>34</v>
      </c>
      <c r="C88" s="501">
        <f t="shared" si="23"/>
        <v>2266</v>
      </c>
      <c r="D88" s="501">
        <v>1965</v>
      </c>
      <c r="E88" s="501">
        <v>109</v>
      </c>
      <c r="F88" s="501">
        <v>0</v>
      </c>
      <c r="G88" s="501">
        <v>0</v>
      </c>
      <c r="H88" s="501">
        <v>192</v>
      </c>
      <c r="I88" s="501">
        <v>0</v>
      </c>
      <c r="J88" s="501">
        <v>0</v>
      </c>
    </row>
    <row r="89" spans="1:10" s="472" customFormat="1" ht="12.75" thickBot="1">
      <c r="A89" s="2271"/>
      <c r="B89" s="506" t="s">
        <v>512</v>
      </c>
      <c r="C89" s="507">
        <f t="shared" ref="C89:J89" si="24">SUM(C77:C88)</f>
        <v>20654</v>
      </c>
      <c r="D89" s="507">
        <f t="shared" si="24"/>
        <v>18239</v>
      </c>
      <c r="E89" s="507">
        <f t="shared" si="24"/>
        <v>1165</v>
      </c>
      <c r="F89" s="507">
        <f t="shared" si="24"/>
        <v>0</v>
      </c>
      <c r="G89" s="507">
        <f t="shared" si="24"/>
        <v>0</v>
      </c>
      <c r="H89" s="507">
        <f t="shared" si="24"/>
        <v>1250</v>
      </c>
      <c r="I89" s="507">
        <f t="shared" si="24"/>
        <v>0</v>
      </c>
      <c r="J89" s="508">
        <f t="shared" si="24"/>
        <v>0</v>
      </c>
    </row>
    <row r="90" spans="1:10" s="472" customFormat="1" ht="12">
      <c r="A90" s="2269" t="s">
        <v>1524</v>
      </c>
      <c r="B90" s="496" t="s">
        <v>538</v>
      </c>
      <c r="C90" s="497">
        <f t="shared" ref="C90:C101" si="25">SUM(D90:J90)</f>
        <v>1400</v>
      </c>
      <c r="D90" s="497">
        <v>1225</v>
      </c>
      <c r="E90" s="497">
        <v>87</v>
      </c>
      <c r="F90" s="497">
        <v>0</v>
      </c>
      <c r="G90" s="497">
        <v>0</v>
      </c>
      <c r="H90" s="497">
        <v>88</v>
      </c>
      <c r="I90" s="497">
        <v>0</v>
      </c>
      <c r="J90" s="497">
        <v>0</v>
      </c>
    </row>
    <row r="91" spans="1:10" s="472" customFormat="1" ht="12">
      <c r="A91" s="2270"/>
      <c r="B91" s="500" t="s">
        <v>539</v>
      </c>
      <c r="C91" s="501">
        <f t="shared" si="25"/>
        <v>1363</v>
      </c>
      <c r="D91" s="501">
        <v>1199</v>
      </c>
      <c r="E91" s="501">
        <v>58</v>
      </c>
      <c r="F91" s="501">
        <v>0</v>
      </c>
      <c r="G91" s="501">
        <v>0</v>
      </c>
      <c r="H91" s="501">
        <v>106</v>
      </c>
      <c r="I91" s="501">
        <v>0</v>
      </c>
      <c r="J91" s="501">
        <v>0</v>
      </c>
    </row>
    <row r="92" spans="1:10" s="472" customFormat="1" ht="12">
      <c r="A92" s="2270"/>
      <c r="B92" s="500" t="s">
        <v>39</v>
      </c>
      <c r="C92" s="501">
        <f t="shared" si="25"/>
        <v>1838</v>
      </c>
      <c r="D92" s="501">
        <v>1656</v>
      </c>
      <c r="E92" s="501">
        <v>97</v>
      </c>
      <c r="F92" s="501">
        <v>0</v>
      </c>
      <c r="G92" s="501">
        <v>0</v>
      </c>
      <c r="H92" s="501">
        <v>85</v>
      </c>
      <c r="I92" s="501">
        <v>0</v>
      </c>
      <c r="J92" s="501">
        <v>0</v>
      </c>
    </row>
    <row r="93" spans="1:10" s="472" customFormat="1" ht="12">
      <c r="A93" s="2270"/>
      <c r="B93" s="500" t="s">
        <v>40</v>
      </c>
      <c r="C93" s="501">
        <f t="shared" si="25"/>
        <v>1482</v>
      </c>
      <c r="D93" s="501">
        <v>1340</v>
      </c>
      <c r="E93" s="501">
        <v>70</v>
      </c>
      <c r="F93" s="501">
        <v>0</v>
      </c>
      <c r="G93" s="501">
        <v>0</v>
      </c>
      <c r="H93" s="501">
        <v>72</v>
      </c>
      <c r="I93" s="501">
        <v>0</v>
      </c>
      <c r="J93" s="501">
        <v>0</v>
      </c>
    </row>
    <row r="94" spans="1:10" s="472" customFormat="1" ht="12">
      <c r="A94" s="2270"/>
      <c r="B94" s="500" t="s">
        <v>41</v>
      </c>
      <c r="C94" s="501">
        <f t="shared" si="25"/>
        <v>1629</v>
      </c>
      <c r="D94" s="501">
        <v>1434</v>
      </c>
      <c r="E94" s="501">
        <v>97</v>
      </c>
      <c r="F94" s="501">
        <v>0</v>
      </c>
      <c r="G94" s="501">
        <v>0</v>
      </c>
      <c r="H94" s="501">
        <v>98</v>
      </c>
      <c r="I94" s="501">
        <v>0</v>
      </c>
      <c r="J94" s="501">
        <v>0</v>
      </c>
    </row>
    <row r="95" spans="1:10" s="472" customFormat="1" ht="12">
      <c r="A95" s="2270"/>
      <c r="B95" s="500" t="s">
        <v>28</v>
      </c>
      <c r="C95" s="501">
        <f t="shared" si="25"/>
        <v>1589</v>
      </c>
      <c r="D95" s="501">
        <v>1345</v>
      </c>
      <c r="E95" s="501">
        <v>111</v>
      </c>
      <c r="F95" s="501">
        <v>0</v>
      </c>
      <c r="G95" s="501">
        <v>0</v>
      </c>
      <c r="H95" s="501">
        <v>133</v>
      </c>
      <c r="I95" s="501">
        <v>0</v>
      </c>
      <c r="J95" s="501">
        <v>0</v>
      </c>
    </row>
    <row r="96" spans="1:10" s="472" customFormat="1" ht="12">
      <c r="A96" s="2270"/>
      <c r="B96" s="500" t="s">
        <v>29</v>
      </c>
      <c r="C96" s="501">
        <f t="shared" si="25"/>
        <v>1620</v>
      </c>
      <c r="D96" s="501">
        <v>1492</v>
      </c>
      <c r="E96" s="501">
        <v>128</v>
      </c>
      <c r="F96" s="501">
        <v>0</v>
      </c>
      <c r="G96" s="501">
        <v>0</v>
      </c>
      <c r="H96" s="501">
        <v>0</v>
      </c>
      <c r="I96" s="501">
        <v>0</v>
      </c>
      <c r="J96" s="501">
        <v>0</v>
      </c>
    </row>
    <row r="97" spans="1:11" s="472" customFormat="1" ht="12">
      <c r="A97" s="2270"/>
      <c r="B97" s="500" t="s">
        <v>30</v>
      </c>
      <c r="C97" s="501">
        <f t="shared" si="25"/>
        <v>1719</v>
      </c>
      <c r="D97" s="501">
        <v>1608</v>
      </c>
      <c r="E97" s="501">
        <v>111</v>
      </c>
      <c r="F97" s="501">
        <v>0</v>
      </c>
      <c r="G97" s="501">
        <v>0</v>
      </c>
      <c r="H97" s="501">
        <v>0</v>
      </c>
      <c r="I97" s="501">
        <v>0</v>
      </c>
      <c r="J97" s="501">
        <v>0</v>
      </c>
    </row>
    <row r="98" spans="1:11" s="472" customFormat="1" ht="12">
      <c r="A98" s="2270"/>
      <c r="B98" s="500" t="s">
        <v>31</v>
      </c>
      <c r="C98" s="501">
        <f t="shared" si="25"/>
        <v>2087</v>
      </c>
      <c r="D98" s="501">
        <v>1915</v>
      </c>
      <c r="E98" s="501">
        <v>172</v>
      </c>
      <c r="F98" s="501">
        <v>0</v>
      </c>
      <c r="G98" s="501">
        <v>0</v>
      </c>
      <c r="H98" s="501">
        <v>0</v>
      </c>
      <c r="I98" s="501">
        <v>0</v>
      </c>
      <c r="J98" s="501">
        <v>0</v>
      </c>
    </row>
    <row r="99" spans="1:11" s="472" customFormat="1" ht="12">
      <c r="A99" s="2270"/>
      <c r="B99" s="500" t="s">
        <v>32</v>
      </c>
      <c r="C99" s="501">
        <f t="shared" si="25"/>
        <v>1954</v>
      </c>
      <c r="D99" s="501">
        <v>1830</v>
      </c>
      <c r="E99" s="501">
        <v>124</v>
      </c>
      <c r="F99" s="501">
        <v>0</v>
      </c>
      <c r="G99" s="501">
        <v>0</v>
      </c>
      <c r="H99" s="501">
        <v>0</v>
      </c>
      <c r="I99" s="501">
        <v>0</v>
      </c>
      <c r="J99" s="501">
        <v>0</v>
      </c>
    </row>
    <row r="100" spans="1:11" s="472" customFormat="1" ht="12">
      <c r="A100" s="2270"/>
      <c r="B100" s="500" t="s">
        <v>33</v>
      </c>
      <c r="C100" s="501">
        <f t="shared" si="25"/>
        <v>1589</v>
      </c>
      <c r="D100" s="501">
        <v>1481</v>
      </c>
      <c r="E100" s="501">
        <v>108</v>
      </c>
      <c r="F100" s="501">
        <v>0</v>
      </c>
      <c r="G100" s="501">
        <v>0</v>
      </c>
      <c r="H100" s="501">
        <v>0</v>
      </c>
      <c r="I100" s="501">
        <v>0</v>
      </c>
      <c r="J100" s="501">
        <v>0</v>
      </c>
    </row>
    <row r="101" spans="1:11" s="472" customFormat="1" ht="12">
      <c r="A101" s="2270"/>
      <c r="B101" s="500" t="s">
        <v>34</v>
      </c>
      <c r="C101" s="501">
        <f t="shared" si="25"/>
        <v>1704</v>
      </c>
      <c r="D101" s="501">
        <v>1573</v>
      </c>
      <c r="E101" s="501">
        <v>131</v>
      </c>
      <c r="F101" s="501">
        <v>0</v>
      </c>
      <c r="G101" s="501">
        <v>0</v>
      </c>
      <c r="H101" s="501">
        <v>0</v>
      </c>
      <c r="I101" s="501">
        <v>0</v>
      </c>
      <c r="J101" s="501">
        <v>0</v>
      </c>
    </row>
    <row r="102" spans="1:11" s="472" customFormat="1" ht="12.75" thickBot="1">
      <c r="A102" s="2271"/>
      <c r="B102" s="506" t="s">
        <v>512</v>
      </c>
      <c r="C102" s="507">
        <f t="shared" ref="C102:J102" si="26">SUM(C90:C101)</f>
        <v>19974</v>
      </c>
      <c r="D102" s="507">
        <f t="shared" si="26"/>
        <v>18098</v>
      </c>
      <c r="E102" s="507">
        <f t="shared" si="26"/>
        <v>1294</v>
      </c>
      <c r="F102" s="507">
        <f t="shared" si="26"/>
        <v>0</v>
      </c>
      <c r="G102" s="507">
        <f t="shared" si="26"/>
        <v>0</v>
      </c>
      <c r="H102" s="507">
        <f t="shared" si="26"/>
        <v>582</v>
      </c>
      <c r="I102" s="507">
        <f t="shared" si="26"/>
        <v>0</v>
      </c>
      <c r="J102" s="508">
        <f t="shared" si="26"/>
        <v>0</v>
      </c>
    </row>
    <row r="103" spans="1:11" s="472" customFormat="1" ht="12">
      <c r="A103" s="2269"/>
      <c r="B103" s="496"/>
      <c r="C103" s="497"/>
      <c r="D103" s="497"/>
      <c r="E103" s="497"/>
      <c r="F103" s="497"/>
      <c r="G103" s="497"/>
      <c r="H103" s="497"/>
      <c r="I103" s="497"/>
      <c r="J103" s="498"/>
      <c r="K103" s="509"/>
    </row>
    <row r="104" spans="1:11" s="472" customFormat="1" ht="12">
      <c r="A104" s="2270"/>
      <c r="B104" s="500"/>
      <c r="C104" s="501"/>
      <c r="D104" s="501"/>
      <c r="E104" s="501"/>
      <c r="F104" s="501"/>
      <c r="G104" s="501"/>
      <c r="H104" s="501"/>
      <c r="I104" s="501"/>
      <c r="J104" s="502"/>
      <c r="K104" s="509"/>
    </row>
    <row r="105" spans="1:11" s="472" customFormat="1" ht="12">
      <c r="A105" s="2270"/>
      <c r="B105" s="500"/>
      <c r="C105" s="501"/>
      <c r="D105" s="501"/>
      <c r="E105" s="501"/>
      <c r="F105" s="501"/>
      <c r="G105" s="501"/>
      <c r="H105" s="501"/>
      <c r="I105" s="501"/>
      <c r="J105" s="502"/>
      <c r="K105" s="509"/>
    </row>
    <row r="106" spans="1:11" s="472" customFormat="1" ht="12">
      <c r="A106" s="2270"/>
      <c r="B106" s="500"/>
      <c r="C106" s="501"/>
      <c r="D106" s="501"/>
      <c r="E106" s="501"/>
      <c r="F106" s="501"/>
      <c r="G106" s="501"/>
      <c r="H106" s="501"/>
      <c r="I106" s="501"/>
      <c r="J106" s="502"/>
      <c r="K106" s="509"/>
    </row>
    <row r="107" spans="1:11" s="472" customFormat="1" ht="12">
      <c r="A107" s="2270"/>
      <c r="B107" s="500"/>
      <c r="C107" s="501"/>
      <c r="D107" s="501"/>
      <c r="E107" s="501"/>
      <c r="F107" s="501"/>
      <c r="G107" s="501"/>
      <c r="H107" s="501"/>
      <c r="I107" s="501"/>
      <c r="J107" s="502"/>
      <c r="K107" s="509"/>
    </row>
    <row r="108" spans="1:11" s="472" customFormat="1" ht="12">
      <c r="A108" s="2270"/>
      <c r="B108" s="500"/>
      <c r="C108" s="501"/>
      <c r="D108" s="501"/>
      <c r="E108" s="501"/>
      <c r="F108" s="501"/>
      <c r="G108" s="501"/>
      <c r="H108" s="501"/>
      <c r="I108" s="501"/>
      <c r="J108" s="502"/>
      <c r="K108" s="509"/>
    </row>
    <row r="109" spans="1:11" s="472" customFormat="1" ht="12">
      <c r="A109" s="2270"/>
      <c r="B109" s="500"/>
      <c r="C109" s="501"/>
      <c r="D109" s="501"/>
      <c r="E109" s="501"/>
      <c r="F109" s="501"/>
      <c r="G109" s="501"/>
      <c r="H109" s="501"/>
      <c r="I109" s="501"/>
      <c r="J109" s="502"/>
      <c r="K109" s="509"/>
    </row>
    <row r="110" spans="1:11" s="472" customFormat="1" ht="12">
      <c r="A110" s="2270"/>
      <c r="B110" s="500"/>
      <c r="C110" s="501"/>
      <c r="D110" s="501"/>
      <c r="E110" s="501"/>
      <c r="F110" s="501"/>
      <c r="G110" s="501"/>
      <c r="H110" s="501"/>
      <c r="I110" s="501"/>
      <c r="J110" s="502"/>
      <c r="K110" s="509"/>
    </row>
    <row r="111" spans="1:11" s="472" customFormat="1" ht="12">
      <c r="A111" s="2270"/>
      <c r="B111" s="500"/>
      <c r="C111" s="501"/>
      <c r="D111" s="501"/>
      <c r="E111" s="501"/>
      <c r="F111" s="501"/>
      <c r="G111" s="501"/>
      <c r="H111" s="501"/>
      <c r="I111" s="501"/>
      <c r="J111" s="502"/>
      <c r="K111" s="509"/>
    </row>
    <row r="112" spans="1:11" s="472" customFormat="1" ht="12">
      <c r="A112" s="2270"/>
      <c r="B112" s="500"/>
      <c r="C112" s="501"/>
      <c r="D112" s="501"/>
      <c r="E112" s="501"/>
      <c r="F112" s="501"/>
      <c r="G112" s="501"/>
      <c r="H112" s="501"/>
      <c r="I112" s="501"/>
      <c r="J112" s="502"/>
      <c r="K112" s="510"/>
    </row>
    <row r="113" spans="1:10" s="472" customFormat="1" ht="12">
      <c r="A113" s="2270"/>
      <c r="B113" s="500"/>
      <c r="C113" s="501"/>
      <c r="D113" s="501"/>
      <c r="E113" s="501"/>
      <c r="F113" s="501"/>
      <c r="G113" s="501"/>
      <c r="H113" s="501"/>
      <c r="I113" s="501"/>
      <c r="J113" s="502"/>
    </row>
    <row r="114" spans="1:10" s="472" customFormat="1" ht="12">
      <c r="A114" s="2270"/>
      <c r="B114" s="500"/>
      <c r="C114" s="501"/>
      <c r="D114" s="501"/>
      <c r="E114" s="501"/>
      <c r="F114" s="501"/>
      <c r="G114" s="501"/>
      <c r="H114" s="501"/>
      <c r="I114" s="501"/>
      <c r="J114" s="502"/>
    </row>
    <row r="115" spans="1:10" s="472" customFormat="1" ht="12.75" thickBot="1">
      <c r="A115" s="2271"/>
      <c r="B115" s="506"/>
      <c r="C115" s="507"/>
      <c r="D115" s="507"/>
      <c r="E115" s="507"/>
      <c r="F115" s="507"/>
      <c r="G115" s="507"/>
      <c r="H115" s="507"/>
      <c r="I115" s="507"/>
      <c r="J115" s="508"/>
    </row>
  </sheetData>
  <mergeCells count="24">
    <mergeCell ref="A17:B17"/>
    <mergeCell ref="A4:B4"/>
    <mergeCell ref="A5:B5"/>
    <mergeCell ref="A6:B6"/>
    <mergeCell ref="A7:B7"/>
    <mergeCell ref="A8:B8"/>
    <mergeCell ref="A9:B9"/>
    <mergeCell ref="A10:B10"/>
    <mergeCell ref="A11:B11"/>
    <mergeCell ref="A14:B14"/>
    <mergeCell ref="A15:B15"/>
    <mergeCell ref="A16:B16"/>
    <mergeCell ref="A103:A115"/>
    <mergeCell ref="A18:B18"/>
    <mergeCell ref="A19:B19"/>
    <mergeCell ref="A20:B20"/>
    <mergeCell ref="A21:B21"/>
    <mergeCell ref="A24:B24"/>
    <mergeCell ref="A25:A37"/>
    <mergeCell ref="A38:A50"/>
    <mergeCell ref="A51:A63"/>
    <mergeCell ref="A64:A76"/>
    <mergeCell ref="A77:A89"/>
    <mergeCell ref="A90:A102"/>
  </mergeCells>
  <phoneticPr fontId="7" type="noConversion"/>
  <printOptions horizontalCentered="1"/>
  <pageMargins left="0.74803149606299213" right="0.74803149606299213" top="0.59055118110236227" bottom="0.59055118110236227" header="0.51181102362204722" footer="0.51181102362204722"/>
  <pageSetup paperSize="9" scale="6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66"/>
  </sheetPr>
  <dimension ref="A1:U205"/>
  <sheetViews>
    <sheetView view="pageBreakPreview" zoomScaleNormal="85" zoomScaleSheetLayoutView="100" workbookViewId="0"/>
  </sheetViews>
  <sheetFormatPr defaultRowHeight="13.5" outlineLevelRow="1"/>
  <cols>
    <col min="1" max="1" width="16.109375" customWidth="1"/>
    <col min="2" max="2" width="13.21875" style="1" customWidth="1"/>
    <col min="3" max="7" width="10.77734375" style="1" customWidth="1"/>
    <col min="8" max="8" width="8.88671875" style="1"/>
    <col min="10" max="10" width="12.109375" customWidth="1"/>
  </cols>
  <sheetData>
    <row r="1" spans="1:8" ht="21.95" customHeight="1">
      <c r="A1" s="275" t="s">
        <v>296</v>
      </c>
      <c r="B1" s="318"/>
      <c r="C1" s="319"/>
      <c r="D1" s="318"/>
      <c r="E1" s="318"/>
      <c r="F1" s="318"/>
      <c r="G1" s="318"/>
      <c r="H1" s="318"/>
    </row>
    <row r="2" spans="1:8" ht="21.95" customHeight="1">
      <c r="A2" s="278" t="s">
        <v>297</v>
      </c>
      <c r="B2" s="318"/>
      <c r="C2" s="318"/>
      <c r="D2" s="318"/>
      <c r="E2" s="318"/>
      <c r="F2" s="318"/>
      <c r="G2" s="318"/>
      <c r="H2" s="318"/>
    </row>
    <row r="3" spans="1:8" ht="21.95" customHeight="1">
      <c r="A3" s="276" t="s">
        <v>298</v>
      </c>
      <c r="B3" s="318"/>
      <c r="C3" s="318"/>
      <c r="D3" s="318"/>
      <c r="E3" s="318"/>
      <c r="F3" s="318"/>
      <c r="G3" s="318"/>
      <c r="H3" s="318"/>
    </row>
    <row r="4" spans="1:8" ht="21.95" customHeight="1">
      <c r="A4" s="277" t="s">
        <v>299</v>
      </c>
      <c r="B4" s="318"/>
      <c r="C4" s="318"/>
      <c r="D4" s="318"/>
      <c r="E4" s="318"/>
      <c r="F4" s="318"/>
      <c r="G4" s="318"/>
      <c r="H4" s="318"/>
    </row>
    <row r="5" spans="1:8" s="305" customFormat="1" ht="21.95" customHeight="1">
      <c r="A5" s="1762" t="s">
        <v>35</v>
      </c>
      <c r="B5" s="323" t="s">
        <v>300</v>
      </c>
      <c r="C5" s="323" t="s">
        <v>301</v>
      </c>
      <c r="D5" s="323" t="s">
        <v>302</v>
      </c>
      <c r="E5" s="323" t="s">
        <v>303</v>
      </c>
      <c r="F5" s="323" t="s">
        <v>304</v>
      </c>
      <c r="G5" s="1766" t="s">
        <v>45</v>
      </c>
      <c r="H5" s="1767"/>
    </row>
    <row r="6" spans="1:8" s="305" customFormat="1" ht="21.95" customHeight="1">
      <c r="A6" s="1763"/>
      <c r="B6" s="324" t="s">
        <v>46</v>
      </c>
      <c r="C6" s="324" t="s">
        <v>46</v>
      </c>
      <c r="D6" s="324" t="s">
        <v>47</v>
      </c>
      <c r="E6" s="324" t="s">
        <v>305</v>
      </c>
      <c r="F6" s="324" t="s">
        <v>306</v>
      </c>
      <c r="G6" s="1768"/>
      <c r="H6" s="1769"/>
    </row>
    <row r="7" spans="1:8" s="305" customFormat="1" ht="20.45" customHeight="1">
      <c r="A7" s="325" t="str">
        <f>+'2.음성군급수총괄'!A6</f>
        <v>2005년</v>
      </c>
      <c r="B7" s="326">
        <f>+'2.음성군급수총괄'!C6</f>
        <v>88382</v>
      </c>
      <c r="C7" s="326">
        <f>+'2.음성군급수총괄'!D6</f>
        <v>54773</v>
      </c>
      <c r="D7" s="307">
        <f>+'2.음성군급수총괄'!E6</f>
        <v>61.9</v>
      </c>
      <c r="E7" s="326">
        <f>+'2.음성군급수총괄'!G6</f>
        <v>20342</v>
      </c>
      <c r="F7" s="326">
        <f>+'2.음성군급수총괄'!H6</f>
        <v>371.38736238657731</v>
      </c>
      <c r="G7" s="1764"/>
      <c r="H7" s="1765"/>
    </row>
    <row r="8" spans="1:8" s="305" customFormat="1" ht="20.45" customHeight="1">
      <c r="A8" s="325" t="str">
        <f>+'2.음성군급수총괄'!A7</f>
        <v>2006년</v>
      </c>
      <c r="B8" s="326">
        <f>+'2.음성군급수총괄'!C7</f>
        <v>90159</v>
      </c>
      <c r="C8" s="326">
        <f>+'2.음성군급수총괄'!D7</f>
        <v>56144</v>
      </c>
      <c r="D8" s="307">
        <f>+'2.음성군급수총괄'!E7</f>
        <v>62.3</v>
      </c>
      <c r="E8" s="326">
        <f>+'2.음성군급수총괄'!G7</f>
        <v>21838</v>
      </c>
      <c r="F8" s="326">
        <f>+'2.음성군급수총괄'!H7</f>
        <v>388.96409233399834</v>
      </c>
      <c r="G8" s="1764"/>
      <c r="H8" s="1765"/>
    </row>
    <row r="9" spans="1:8" s="305" customFormat="1" ht="20.25" customHeight="1">
      <c r="A9" s="325" t="str">
        <f>+'2.음성군급수총괄'!A8</f>
        <v>2007년</v>
      </c>
      <c r="B9" s="326">
        <f>+'2.음성군급수총괄'!C8</f>
        <v>92520</v>
      </c>
      <c r="C9" s="326">
        <f>+'2.음성군급수총괄'!D8</f>
        <v>59217</v>
      </c>
      <c r="D9" s="307">
        <f>+'2.음성군급수총괄'!E8</f>
        <v>64</v>
      </c>
      <c r="E9" s="326">
        <f>+'2.음성군급수총괄'!G8</f>
        <v>25182</v>
      </c>
      <c r="F9" s="326">
        <f>+'2.음성군급수총괄'!H8</f>
        <v>425.24950605400477</v>
      </c>
      <c r="G9" s="1764"/>
      <c r="H9" s="1765"/>
    </row>
    <row r="10" spans="1:8" s="305" customFormat="1" ht="20.45" customHeight="1">
      <c r="A10" s="325" t="str">
        <f>+'2.음성군급수총괄'!A9</f>
        <v>2008년</v>
      </c>
      <c r="B10" s="326">
        <f>+'2.음성군급수총괄'!C9</f>
        <v>94144</v>
      </c>
      <c r="C10" s="326">
        <f>+'2.음성군급수총괄'!D9</f>
        <v>63816</v>
      </c>
      <c r="D10" s="307">
        <f>+'2.음성군급수총괄'!E9</f>
        <v>67.8</v>
      </c>
      <c r="E10" s="326">
        <f>+'2.음성군급수총괄'!G9</f>
        <v>27183</v>
      </c>
      <c r="F10" s="326">
        <f>+'2.음성군급수총괄'!H9</f>
        <v>425.95900714554341</v>
      </c>
      <c r="G10" s="1764"/>
      <c r="H10" s="1765"/>
    </row>
    <row r="11" spans="1:8" s="305" customFormat="1" ht="20.45" customHeight="1">
      <c r="A11" s="325" t="str">
        <f>+'2.음성군급수총괄'!A10</f>
        <v>2009년</v>
      </c>
      <c r="B11" s="326">
        <f>+'2.음성군급수총괄'!C10</f>
        <v>94580</v>
      </c>
      <c r="C11" s="326">
        <f>+'2.음성군급수총괄'!D10</f>
        <v>66068</v>
      </c>
      <c r="D11" s="307">
        <f>+'2.음성군급수총괄'!E10</f>
        <v>69.900000000000006</v>
      </c>
      <c r="E11" s="326">
        <f>+'2.음성군급수총괄'!G10</f>
        <v>27456</v>
      </c>
      <c r="F11" s="326">
        <f>+'2.음성군급수총괄'!H10</f>
        <v>415.57183507900953</v>
      </c>
      <c r="G11" s="1764"/>
      <c r="H11" s="1765"/>
    </row>
    <row r="12" spans="1:8" s="305" customFormat="1" ht="20.45" customHeight="1">
      <c r="A12" s="325" t="str">
        <f>+'2.음성군급수총괄'!A11</f>
        <v>2010년</v>
      </c>
      <c r="B12" s="326">
        <f>+'2.음성군급수총괄'!C11</f>
        <v>96214</v>
      </c>
      <c r="C12" s="326">
        <f>+'2.음성군급수총괄'!D11</f>
        <v>66068</v>
      </c>
      <c r="D12" s="307">
        <f>+'2.음성군급수총괄'!E11</f>
        <v>68.7</v>
      </c>
      <c r="E12" s="326">
        <f>+'2.음성군급수총괄'!G11</f>
        <v>30502</v>
      </c>
      <c r="F12" s="326">
        <f>+'2.음성군급수총괄'!H11</f>
        <v>461.67584912514383</v>
      </c>
      <c r="G12" s="1764"/>
      <c r="H12" s="1765"/>
    </row>
    <row r="13" spans="1:8" s="305" customFormat="1" ht="20.45" customHeight="1">
      <c r="A13" s="325" t="str">
        <f>+'2.음성군급수총괄'!A12</f>
        <v>2011년</v>
      </c>
      <c r="B13" s="326">
        <f>+'2.음성군급수총괄'!C12</f>
        <v>96993</v>
      </c>
      <c r="C13" s="326">
        <f>+'2.음성군급수총괄'!D12</f>
        <v>73355</v>
      </c>
      <c r="D13" s="307">
        <f>+'2.음성군급수총괄'!E12</f>
        <v>75.599999999999994</v>
      </c>
      <c r="E13" s="326">
        <f>+'2.음성군급수총괄'!G12</f>
        <v>26607</v>
      </c>
      <c r="F13" s="326">
        <f>+'2.음성군급수총괄'!H12</f>
        <v>362.71556131143075</v>
      </c>
      <c r="G13" s="1764"/>
      <c r="H13" s="1765"/>
    </row>
    <row r="14" spans="1:8" s="305" customFormat="1" ht="20.45" customHeight="1">
      <c r="A14" s="325" t="str">
        <f>+'2.음성군급수총괄'!A13</f>
        <v>2012년</v>
      </c>
      <c r="B14" s="326">
        <f>+'2.음성군급수총괄'!C13</f>
        <v>98279</v>
      </c>
      <c r="C14" s="326">
        <f>+'2.음성군급수총괄'!D13</f>
        <v>76988</v>
      </c>
      <c r="D14" s="307">
        <f>+'2.음성군급수총괄'!E13</f>
        <v>78.3</v>
      </c>
      <c r="E14" s="326">
        <f>+'2.음성군급수총괄'!G13</f>
        <v>29861</v>
      </c>
      <c r="F14" s="326">
        <f>+'2.음성군급수총괄'!H13</f>
        <v>387.86564139865953</v>
      </c>
      <c r="G14" s="1764"/>
      <c r="H14" s="1765"/>
    </row>
    <row r="15" spans="1:8" s="305" customFormat="1" ht="20.45" customHeight="1">
      <c r="A15" s="325" t="str">
        <f>+'2.음성군급수총괄'!A14</f>
        <v>2013년</v>
      </c>
      <c r="B15" s="326">
        <f>+'2.음성군급수총괄'!C14</f>
        <v>99952</v>
      </c>
      <c r="C15" s="326">
        <f>+'2.음성군급수총괄'!D14</f>
        <v>79162</v>
      </c>
      <c r="D15" s="307">
        <f>+'2.음성군급수총괄'!E14</f>
        <v>79.2</v>
      </c>
      <c r="E15" s="326">
        <f>+'2.음성군급수총괄'!G14</f>
        <v>30756</v>
      </c>
      <c r="F15" s="326">
        <f>+'2.음성군급수총괄'!H14</f>
        <v>388.51974432177053</v>
      </c>
      <c r="G15" s="1764"/>
      <c r="H15" s="1765"/>
    </row>
    <row r="16" spans="1:8" s="305" customFormat="1" ht="20.45" customHeight="1">
      <c r="A16" s="325" t="str">
        <f>+'2.음성군급수총괄'!A15</f>
        <v>2014년</v>
      </c>
      <c r="B16" s="326">
        <f>+'2.음성군급수총괄'!C15</f>
        <v>102796</v>
      </c>
      <c r="C16" s="326">
        <f>+'2.음성군급수총괄'!D15</f>
        <v>87367</v>
      </c>
      <c r="D16" s="307">
        <f>+'2.음성군급수총괄'!E15</f>
        <v>85</v>
      </c>
      <c r="E16" s="326">
        <f>+'2.음성군급수총괄'!G15</f>
        <v>43683</v>
      </c>
      <c r="F16" s="326">
        <f>+'2.음성군급수총괄'!H15</f>
        <v>499.99427701534904</v>
      </c>
      <c r="G16" s="1764"/>
      <c r="H16" s="1765"/>
    </row>
    <row r="17" spans="1:8" s="305" customFormat="1" ht="20.45" customHeight="1">
      <c r="A17" s="1714" t="s">
        <v>273</v>
      </c>
      <c r="B17" s="306">
        <f>AVERAGE(B7:B16)</f>
        <v>95401.9</v>
      </c>
      <c r="C17" s="306">
        <f>AVERAGE(C7:C16)</f>
        <v>68295.8</v>
      </c>
      <c r="D17" s="307">
        <f>ROUND(C17/B17*100,1)</f>
        <v>71.599999999999994</v>
      </c>
      <c r="E17" s="306">
        <f>AVERAGE(E7:E16)</f>
        <v>28341</v>
      </c>
      <c r="F17" s="306">
        <f>IF(C17=0,"-",ROUND(E17/C17*1000,0))</f>
        <v>415</v>
      </c>
      <c r="G17" s="1772" t="s">
        <v>307</v>
      </c>
      <c r="H17" s="1773"/>
    </row>
    <row r="18" spans="1:8" s="305" customFormat="1" ht="20.45" customHeight="1">
      <c r="A18" s="1714"/>
      <c r="B18" s="306">
        <f>AVERAGE(B12:B16)</f>
        <v>98846.8</v>
      </c>
      <c r="C18" s="306">
        <f>AVERAGE(C12:C16)</f>
        <v>76588</v>
      </c>
      <c r="D18" s="307">
        <f t="shared" ref="D18:D19" si="0">ROUND(C18/B18*100,1)</f>
        <v>77.5</v>
      </c>
      <c r="E18" s="306">
        <f>AVERAGE(E12:E16)</f>
        <v>32281.8</v>
      </c>
      <c r="F18" s="306">
        <f t="shared" ref="F18:F19" si="1">IF(C18=0,"-",ROUND(E18/C18*1000,0))</f>
        <v>421</v>
      </c>
      <c r="G18" s="1772" t="s">
        <v>308</v>
      </c>
      <c r="H18" s="1773"/>
    </row>
    <row r="19" spans="1:8" s="305" customFormat="1" ht="20.45" customHeight="1">
      <c r="A19" s="1716"/>
      <c r="B19" s="308">
        <f>AVERAGE(B14:B16)</f>
        <v>100342.33333333333</v>
      </c>
      <c r="C19" s="308">
        <f>AVERAGE(C14:C16)</f>
        <v>81172.333333333328</v>
      </c>
      <c r="D19" s="309">
        <f t="shared" si="0"/>
        <v>80.900000000000006</v>
      </c>
      <c r="E19" s="308">
        <f>AVERAGE(E14:E16)</f>
        <v>34766.666666666664</v>
      </c>
      <c r="F19" s="308">
        <f t="shared" si="1"/>
        <v>428</v>
      </c>
      <c r="G19" s="1770" t="s">
        <v>309</v>
      </c>
      <c r="H19" s="1771"/>
    </row>
    <row r="20" spans="1:8" s="845" customFormat="1" ht="21.95" customHeight="1">
      <c r="A20" s="310" t="s">
        <v>1810</v>
      </c>
      <c r="B20" s="313"/>
      <c r="C20" s="313"/>
      <c r="D20" s="313"/>
      <c r="E20" s="313"/>
      <c r="F20" s="313"/>
      <c r="G20" s="313"/>
      <c r="H20" s="313"/>
    </row>
    <row r="21" spans="1:8" s="845" customFormat="1" ht="30" customHeight="1">
      <c r="A21" s="1711" t="s">
        <v>310</v>
      </c>
      <c r="B21" s="1712"/>
      <c r="C21" s="1280" t="s">
        <v>882</v>
      </c>
      <c r="D21" s="1280" t="s">
        <v>314</v>
      </c>
      <c r="E21" s="1280" t="s">
        <v>315</v>
      </c>
      <c r="F21" s="1280" t="s">
        <v>316</v>
      </c>
      <c r="G21" s="1280" t="s">
        <v>317</v>
      </c>
      <c r="H21" s="327" t="s">
        <v>45</v>
      </c>
    </row>
    <row r="22" spans="1:8" s="845" customFormat="1" ht="20.100000000000001" customHeight="1">
      <c r="A22" s="1713" t="s">
        <v>311</v>
      </c>
      <c r="B22" s="328" t="s">
        <v>959</v>
      </c>
      <c r="C22" s="1279">
        <f>+급수량원단위추정!D18</f>
        <v>291</v>
      </c>
      <c r="D22" s="1279">
        <f>+급수량원단위추정!E18</f>
        <v>306</v>
      </c>
      <c r="E22" s="1279">
        <f>+급수량원단위추정!F18</f>
        <v>322.33333333333331</v>
      </c>
      <c r="F22" s="1279">
        <f>+급수량원단위추정!G18</f>
        <v>339</v>
      </c>
      <c r="G22" s="1279">
        <f>+급수량원단위추정!H18</f>
        <v>357</v>
      </c>
      <c r="H22" s="329"/>
    </row>
    <row r="23" spans="1:8" s="845" customFormat="1" ht="20.100000000000001" customHeight="1">
      <c r="A23" s="1714"/>
      <c r="B23" s="328" t="s">
        <v>953</v>
      </c>
      <c r="C23" s="1279">
        <f>급수량원단위추정!D34</f>
        <v>313</v>
      </c>
      <c r="D23" s="1279">
        <f>+급수량원단위추정!E34</f>
        <v>312.66666666666669</v>
      </c>
      <c r="E23" s="1279">
        <f>+급수량원단위추정!F34</f>
        <v>312</v>
      </c>
      <c r="F23" s="1279">
        <f>+급수량원단위추정!G34</f>
        <v>311.33333333333331</v>
      </c>
      <c r="G23" s="1279">
        <f>+급수량원단위추정!H34</f>
        <v>311</v>
      </c>
      <c r="H23" s="329"/>
    </row>
    <row r="24" spans="1:8" s="845" customFormat="1" ht="20.100000000000001" customHeight="1">
      <c r="A24" s="1714"/>
      <c r="B24" s="330" t="s">
        <v>949</v>
      </c>
      <c r="C24" s="1279">
        <f>급수량원단위추정!D50</f>
        <v>295</v>
      </c>
      <c r="D24" s="1279">
        <f>+급수량원단위추정!E50</f>
        <v>362</v>
      </c>
      <c r="E24" s="1279">
        <f>+급수량원단위추정!F50</f>
        <v>429</v>
      </c>
      <c r="F24" s="1279">
        <f>+급수량원단위추정!G50</f>
        <v>495</v>
      </c>
      <c r="G24" s="1279">
        <f>+급수량원단위추정!H50</f>
        <v>562</v>
      </c>
      <c r="H24" s="331"/>
    </row>
    <row r="25" spans="1:8" s="845" customFormat="1" ht="20.100000000000001" customHeight="1">
      <c r="A25" s="1715"/>
      <c r="B25" s="330" t="s">
        <v>950</v>
      </c>
      <c r="C25" s="1279">
        <f>급수량원단위추정!D67</f>
        <v>341</v>
      </c>
      <c r="D25" s="1279">
        <f>급수량원단위추정!E67</f>
        <v>504</v>
      </c>
      <c r="E25" s="1279">
        <f>급수량원단위추정!F67</f>
        <v>667</v>
      </c>
      <c r="F25" s="1279">
        <f>급수량원단위추정!G67</f>
        <v>829</v>
      </c>
      <c r="G25" s="1279">
        <f>급수량원단위추정!H67</f>
        <v>992</v>
      </c>
      <c r="H25" s="1014"/>
    </row>
    <row r="26" spans="1:8" s="845" customFormat="1" ht="20.100000000000001" customHeight="1">
      <c r="A26" s="1715"/>
      <c r="B26" s="330" t="s">
        <v>1497</v>
      </c>
      <c r="C26" s="1279">
        <f>급수량원단위추정!D84</f>
        <v>395</v>
      </c>
      <c r="D26" s="1279">
        <f>급수량원단위추정!E84</f>
        <v>396</v>
      </c>
      <c r="E26" s="1279">
        <f>급수량원단위추정!F84</f>
        <v>396</v>
      </c>
      <c r="F26" s="1279">
        <f>급수량원단위추정!G84</f>
        <v>397</v>
      </c>
      <c r="G26" s="1279">
        <f>급수량원단위추정!H84</f>
        <v>397</v>
      </c>
      <c r="H26" s="1014"/>
    </row>
    <row r="27" spans="1:8" s="845" customFormat="1" ht="20.100000000000001" customHeight="1">
      <c r="A27" s="1716"/>
      <c r="B27" s="332" t="s">
        <v>951</v>
      </c>
      <c r="C27" s="333">
        <f>급수량원단위추정!D101</f>
        <v>286</v>
      </c>
      <c r="D27" s="333">
        <f>급수량원단위추정!E101</f>
        <v>298</v>
      </c>
      <c r="E27" s="333">
        <f>급수량원단위추정!F101</f>
        <v>311</v>
      </c>
      <c r="F27" s="333">
        <f>급수량원단위추정!G101</f>
        <v>324</v>
      </c>
      <c r="G27" s="333">
        <f>급수량원단위추정!H101</f>
        <v>338</v>
      </c>
      <c r="H27" s="334"/>
    </row>
    <row r="28" spans="1:8" s="305" customFormat="1" ht="21.95" customHeight="1">
      <c r="A28" s="310" t="s">
        <v>1811</v>
      </c>
      <c r="B28" s="313"/>
      <c r="C28" s="313"/>
      <c r="D28" s="313"/>
      <c r="E28" s="313"/>
      <c r="F28" s="313"/>
      <c r="G28" s="313"/>
      <c r="H28" s="313"/>
    </row>
    <row r="29" spans="1:8" s="305" customFormat="1" ht="30" customHeight="1">
      <c r="A29" s="1711" t="s">
        <v>310</v>
      </c>
      <c r="B29" s="1712"/>
      <c r="C29" s="323" t="s">
        <v>882</v>
      </c>
      <c r="D29" s="323" t="s">
        <v>314</v>
      </c>
      <c r="E29" s="323" t="s">
        <v>315</v>
      </c>
      <c r="F29" s="323" t="s">
        <v>316</v>
      </c>
      <c r="G29" s="323" t="s">
        <v>317</v>
      </c>
      <c r="H29" s="327" t="s">
        <v>45</v>
      </c>
    </row>
    <row r="30" spans="1:8" s="305" customFormat="1" ht="20.100000000000001" customHeight="1">
      <c r="A30" s="1713" t="s">
        <v>311</v>
      </c>
      <c r="B30" s="328" t="s">
        <v>1492</v>
      </c>
      <c r="C30" s="326">
        <f>+급수량원단위추정!D18</f>
        <v>291</v>
      </c>
      <c r="D30" s="326">
        <v>291</v>
      </c>
      <c r="E30" s="326">
        <v>291</v>
      </c>
      <c r="F30" s="326">
        <v>291</v>
      </c>
      <c r="G30" s="326">
        <v>291</v>
      </c>
      <c r="H30" s="329"/>
    </row>
    <row r="31" spans="1:8" s="305" customFormat="1" ht="20.100000000000001" customHeight="1">
      <c r="A31" s="1714"/>
      <c r="B31" s="328" t="s">
        <v>1494</v>
      </c>
      <c r="C31" s="326">
        <f>급수량원단위추정!D34</f>
        <v>313</v>
      </c>
      <c r="D31" s="326">
        <v>313</v>
      </c>
      <c r="E31" s="326">
        <v>313</v>
      </c>
      <c r="F31" s="326">
        <v>313</v>
      </c>
      <c r="G31" s="326">
        <v>313</v>
      </c>
      <c r="H31" s="329"/>
    </row>
    <row r="32" spans="1:8" s="305" customFormat="1" ht="20.100000000000001" customHeight="1">
      <c r="A32" s="1714"/>
      <c r="B32" s="330" t="s">
        <v>1496</v>
      </c>
      <c r="C32" s="326">
        <f>급수량원단위추정!D50</f>
        <v>295</v>
      </c>
      <c r="D32" s="326">
        <v>295</v>
      </c>
      <c r="E32" s="326">
        <v>295</v>
      </c>
      <c r="F32" s="326">
        <v>295</v>
      </c>
      <c r="G32" s="326">
        <v>295</v>
      </c>
      <c r="H32" s="331"/>
    </row>
    <row r="33" spans="1:17" s="845" customFormat="1" ht="20.100000000000001" customHeight="1">
      <c r="A33" s="1715"/>
      <c r="B33" s="330" t="s">
        <v>1582</v>
      </c>
      <c r="C33" s="920">
        <f>급수량원단위추정!D67</f>
        <v>341</v>
      </c>
      <c r="D33" s="920">
        <v>341</v>
      </c>
      <c r="E33" s="920">
        <v>341</v>
      </c>
      <c r="F33" s="920">
        <v>341</v>
      </c>
      <c r="G33" s="920">
        <v>341</v>
      </c>
      <c r="H33" s="1014"/>
    </row>
    <row r="34" spans="1:17" s="845" customFormat="1" ht="20.100000000000001" customHeight="1">
      <c r="A34" s="1715"/>
      <c r="B34" s="330" t="s">
        <v>1497</v>
      </c>
      <c r="C34" s="920">
        <f>급수량원단위추정!D84</f>
        <v>395</v>
      </c>
      <c r="D34" s="920">
        <v>395</v>
      </c>
      <c r="E34" s="920">
        <v>395</v>
      </c>
      <c r="F34" s="920">
        <v>395</v>
      </c>
      <c r="G34" s="920">
        <v>395</v>
      </c>
      <c r="H34" s="1014"/>
    </row>
    <row r="35" spans="1:17" s="305" customFormat="1" ht="20.100000000000001" customHeight="1">
      <c r="A35" s="1716"/>
      <c r="B35" s="332" t="s">
        <v>1580</v>
      </c>
      <c r="C35" s="333">
        <f>급수량원단위추정!D101</f>
        <v>286</v>
      </c>
      <c r="D35" s="333">
        <v>286</v>
      </c>
      <c r="E35" s="333">
        <v>286</v>
      </c>
      <c r="F35" s="333">
        <v>286</v>
      </c>
      <c r="G35" s="333">
        <v>286</v>
      </c>
      <c r="H35" s="334"/>
    </row>
    <row r="36" spans="1:17" s="305" customFormat="1" ht="21.95" customHeight="1">
      <c r="A36" s="310" t="s">
        <v>1813</v>
      </c>
      <c r="B36" s="313"/>
      <c r="C36" s="313"/>
      <c r="D36" s="313"/>
      <c r="E36" s="313"/>
      <c r="F36" s="313"/>
      <c r="G36" s="313"/>
      <c r="H36" s="313"/>
    </row>
    <row r="37" spans="1:17" s="305" customFormat="1" ht="21.95" customHeight="1">
      <c r="A37" s="311" t="s">
        <v>326</v>
      </c>
      <c r="B37" s="313"/>
      <c r="C37" s="313"/>
      <c r="D37" s="313"/>
      <c r="E37" s="313"/>
      <c r="F37" s="313"/>
      <c r="G37" s="313"/>
      <c r="H37" s="313"/>
    </row>
    <row r="38" spans="1:17" s="305" customFormat="1" ht="21.95" customHeight="1">
      <c r="A38" s="1724" t="s">
        <v>320</v>
      </c>
      <c r="B38" s="1725"/>
      <c r="C38" s="335" t="s">
        <v>869</v>
      </c>
      <c r="D38" s="336" t="s">
        <v>321</v>
      </c>
      <c r="E38" s="335" t="s">
        <v>397</v>
      </c>
      <c r="F38" s="336" t="s">
        <v>398</v>
      </c>
      <c r="G38" s="336" t="s">
        <v>399</v>
      </c>
      <c r="H38" s="337" t="s">
        <v>400</v>
      </c>
      <c r="J38" s="650" t="s">
        <v>35</v>
      </c>
      <c r="K38" s="651" t="s">
        <v>460</v>
      </c>
      <c r="L38" s="651" t="s">
        <v>461</v>
      </c>
      <c r="M38" s="651" t="s">
        <v>462</v>
      </c>
      <c r="N38" s="651" t="s">
        <v>463</v>
      </c>
      <c r="O38" s="651" t="s">
        <v>464</v>
      </c>
    </row>
    <row r="39" spans="1:17" s="305" customFormat="1" ht="20.100000000000001" customHeight="1">
      <c r="A39" s="1726" t="s">
        <v>322</v>
      </c>
      <c r="B39" s="1727"/>
      <c r="C39" s="338">
        <v>0.78300000000000003</v>
      </c>
      <c r="D39" s="339">
        <v>0.86</v>
      </c>
      <c r="E39" s="339">
        <v>0.87</v>
      </c>
      <c r="F39" s="339">
        <v>0.88</v>
      </c>
      <c r="G39" s="339">
        <v>0.9</v>
      </c>
      <c r="H39" s="340">
        <v>0.9</v>
      </c>
      <c r="J39" s="652" t="s">
        <v>465</v>
      </c>
      <c r="K39" s="653">
        <v>73.599999999999994</v>
      </c>
      <c r="L39" s="653">
        <v>78</v>
      </c>
      <c r="M39" s="653">
        <v>82</v>
      </c>
      <c r="N39" s="653">
        <v>85</v>
      </c>
      <c r="O39" s="653">
        <v>85</v>
      </c>
    </row>
    <row r="40" spans="1:17" s="305" customFormat="1" ht="20.100000000000001" customHeight="1">
      <c r="A40" s="1726" t="s">
        <v>323</v>
      </c>
      <c r="B40" s="1727"/>
      <c r="C40" s="338">
        <f>1-C39-C41</f>
        <v>7.6999999999999957E-2</v>
      </c>
      <c r="D40" s="339"/>
      <c r="E40" s="339"/>
      <c r="F40" s="339"/>
      <c r="G40" s="339"/>
      <c r="H40" s="340"/>
      <c r="J40" s="305" t="s">
        <v>649</v>
      </c>
    </row>
    <row r="41" spans="1:17" s="305" customFormat="1" ht="20.100000000000001" customHeight="1">
      <c r="A41" s="1726" t="s">
        <v>324</v>
      </c>
      <c r="B41" s="1727"/>
      <c r="C41" s="338">
        <f>+ROUND('5.생산량분석'!N26,2)</f>
        <v>0.14000000000000001</v>
      </c>
      <c r="D41" s="339"/>
      <c r="E41" s="339"/>
      <c r="F41" s="339"/>
      <c r="G41" s="339"/>
      <c r="H41" s="340"/>
    </row>
    <row r="42" spans="1:17" s="305" customFormat="1" ht="20.100000000000001" customHeight="1">
      <c r="A42" s="1740" t="s">
        <v>325</v>
      </c>
      <c r="B42" s="1741"/>
      <c r="C42" s="341">
        <f t="shared" ref="C42:H42" si="2">+C39+C40</f>
        <v>0.86</v>
      </c>
      <c r="D42" s="341">
        <f t="shared" si="2"/>
        <v>0.86</v>
      </c>
      <c r="E42" s="341">
        <f t="shared" si="2"/>
        <v>0.87</v>
      </c>
      <c r="F42" s="341">
        <f>+F39+F40</f>
        <v>0.88</v>
      </c>
      <c r="G42" s="341">
        <f t="shared" si="2"/>
        <v>0.9</v>
      </c>
      <c r="H42" s="342">
        <f t="shared" si="2"/>
        <v>0.9</v>
      </c>
      <c r="J42" s="1724" t="s">
        <v>22</v>
      </c>
      <c r="K42" s="1725"/>
      <c r="L42" s="847" t="s">
        <v>869</v>
      </c>
      <c r="M42" s="848" t="s">
        <v>286</v>
      </c>
      <c r="N42" s="847" t="s">
        <v>56</v>
      </c>
      <c r="O42" s="848" t="s">
        <v>57</v>
      </c>
      <c r="P42" s="848" t="s">
        <v>289</v>
      </c>
      <c r="Q42" s="849" t="s">
        <v>278</v>
      </c>
    </row>
    <row r="43" spans="1:17" s="305" customFormat="1" ht="21.95" customHeight="1">
      <c r="A43" s="311" t="s">
        <v>327</v>
      </c>
      <c r="B43" s="313"/>
      <c r="C43" s="313"/>
      <c r="D43" s="313"/>
      <c r="E43" s="313"/>
      <c r="F43" s="313"/>
      <c r="G43" s="313"/>
      <c r="H43" s="313"/>
      <c r="J43" s="1726" t="s">
        <v>322</v>
      </c>
      <c r="K43" s="1727"/>
      <c r="L43" s="338">
        <v>0.87</v>
      </c>
      <c r="M43" s="339">
        <f>+L43</f>
        <v>0.87</v>
      </c>
      <c r="N43" s="339">
        <f>+M43</f>
        <v>0.87</v>
      </c>
      <c r="O43" s="339">
        <f>+N43</f>
        <v>0.87</v>
      </c>
      <c r="P43" s="339">
        <f t="shared" ref="P43:Q43" si="3">+O43</f>
        <v>0.87</v>
      </c>
      <c r="Q43" s="339">
        <f t="shared" si="3"/>
        <v>0.87</v>
      </c>
    </row>
    <row r="44" spans="1:17" s="305" customFormat="1" ht="21.95" customHeight="1">
      <c r="A44" s="1717" t="s">
        <v>310</v>
      </c>
      <c r="B44" s="1718"/>
      <c r="C44" s="1718" t="s">
        <v>318</v>
      </c>
      <c r="D44" s="1718"/>
      <c r="E44" s="1718"/>
      <c r="F44" s="1718"/>
      <c r="G44" s="1718"/>
      <c r="H44" s="1774" t="s">
        <v>45</v>
      </c>
      <c r="J44" s="1726" t="s">
        <v>26</v>
      </c>
      <c r="K44" s="1727"/>
      <c r="L44" s="338">
        <f>1-L43-L45</f>
        <v>4.5999999999999999E-2</v>
      </c>
      <c r="M44" s="339">
        <f t="shared" ref="M44:Q44" si="4">1-M43-M45</f>
        <v>0.06</v>
      </c>
      <c r="N44" s="339">
        <f t="shared" si="4"/>
        <v>0.05</v>
      </c>
      <c r="O44" s="339">
        <f t="shared" si="4"/>
        <v>0.05</v>
      </c>
      <c r="P44" s="339">
        <f t="shared" si="4"/>
        <v>0.05</v>
      </c>
      <c r="Q44" s="340">
        <f t="shared" si="4"/>
        <v>0.05</v>
      </c>
    </row>
    <row r="45" spans="1:17" s="305" customFormat="1" ht="21.95" customHeight="1">
      <c r="A45" s="1742"/>
      <c r="B45" s="1743"/>
      <c r="C45" s="1229" t="s">
        <v>869</v>
      </c>
      <c r="D45" s="1229" t="s">
        <v>312</v>
      </c>
      <c r="E45" s="1229" t="s">
        <v>57</v>
      </c>
      <c r="F45" s="1229" t="s">
        <v>313</v>
      </c>
      <c r="G45" s="1229" t="s">
        <v>278</v>
      </c>
      <c r="H45" s="1775"/>
      <c r="J45" s="1726" t="s">
        <v>25</v>
      </c>
      <c r="K45" s="1727"/>
      <c r="L45" s="338">
        <v>8.4000000000000005E-2</v>
      </c>
      <c r="M45" s="339">
        <v>7.0000000000000007E-2</v>
      </c>
      <c r="N45" s="339">
        <v>0.08</v>
      </c>
      <c r="O45" s="339">
        <v>0.08</v>
      </c>
      <c r="P45" s="339">
        <v>0.08</v>
      </c>
      <c r="Q45" s="340">
        <v>0.08</v>
      </c>
    </row>
    <row r="46" spans="1:17" s="305" customFormat="1" ht="21.95" customHeight="1">
      <c r="A46" s="1728" t="s">
        <v>319</v>
      </c>
      <c r="B46" s="1016" t="s">
        <v>944</v>
      </c>
      <c r="C46" s="1235">
        <v>0.86</v>
      </c>
      <c r="D46" s="1235">
        <v>0.87</v>
      </c>
      <c r="E46" s="1235">
        <v>0.88</v>
      </c>
      <c r="F46" s="1235">
        <v>0.9</v>
      </c>
      <c r="G46" s="1235">
        <v>0.9</v>
      </c>
      <c r="H46" s="1018"/>
      <c r="J46" s="1740" t="s">
        <v>325</v>
      </c>
      <c r="K46" s="1741"/>
      <c r="L46" s="341">
        <f t="shared" ref="L46:N46" si="5">+L43+L44</f>
        <v>0.91600000000000004</v>
      </c>
      <c r="M46" s="341">
        <f t="shared" si="5"/>
        <v>0.92999999999999994</v>
      </c>
      <c r="N46" s="341">
        <f t="shared" si="5"/>
        <v>0.92</v>
      </c>
      <c r="O46" s="341">
        <f>+O43+O44</f>
        <v>0.92</v>
      </c>
      <c r="P46" s="341">
        <f t="shared" ref="P46:Q46" si="6">+P43+P44</f>
        <v>0.92</v>
      </c>
      <c r="Q46" s="342">
        <f t="shared" si="6"/>
        <v>0.92</v>
      </c>
    </row>
    <row r="47" spans="1:17" s="845" customFormat="1" ht="21.95" customHeight="1">
      <c r="A47" s="1728"/>
      <c r="B47" s="1016" t="s">
        <v>945</v>
      </c>
      <c r="C47" s="1235">
        <v>0.86</v>
      </c>
      <c r="D47" s="1235">
        <v>0.87</v>
      </c>
      <c r="E47" s="1235">
        <v>0.88</v>
      </c>
      <c r="F47" s="1235">
        <v>0.9</v>
      </c>
      <c r="G47" s="1235">
        <v>0.9</v>
      </c>
      <c r="H47" s="1018"/>
      <c r="J47" s="820"/>
      <c r="K47" s="820"/>
      <c r="L47" s="832"/>
      <c r="M47" s="832"/>
      <c r="N47" s="832"/>
      <c r="O47" s="832"/>
      <c r="P47" s="832"/>
      <c r="Q47" s="832"/>
    </row>
    <row r="48" spans="1:17" s="845" customFormat="1" ht="21.95" customHeight="1">
      <c r="A48" s="1728"/>
      <c r="B48" s="1019" t="s">
        <v>949</v>
      </c>
      <c r="C48" s="1235">
        <v>0.86</v>
      </c>
      <c r="D48" s="1235">
        <v>0.87</v>
      </c>
      <c r="E48" s="1235">
        <v>0.88</v>
      </c>
      <c r="F48" s="1235">
        <v>0.9</v>
      </c>
      <c r="G48" s="1235">
        <v>0.9</v>
      </c>
      <c r="H48" s="1018"/>
      <c r="J48" s="820"/>
      <c r="K48" s="820"/>
      <c r="L48" s="832"/>
      <c r="M48" s="832"/>
      <c r="N48" s="832"/>
      <c r="O48" s="832"/>
      <c r="P48" s="832"/>
      <c r="Q48" s="832"/>
    </row>
    <row r="49" spans="1:17" s="845" customFormat="1" ht="21.95" customHeight="1">
      <c r="A49" s="1728"/>
      <c r="B49" s="1019" t="s">
        <v>1582</v>
      </c>
      <c r="C49" s="1235">
        <v>0.86</v>
      </c>
      <c r="D49" s="1235">
        <v>0.87</v>
      </c>
      <c r="E49" s="1235">
        <v>0.88</v>
      </c>
      <c r="F49" s="1235">
        <v>0.9</v>
      </c>
      <c r="G49" s="1235">
        <v>0.9</v>
      </c>
      <c r="H49" s="1018"/>
      <c r="J49" s="820"/>
      <c r="K49" s="820"/>
      <c r="L49" s="832"/>
      <c r="M49" s="832"/>
      <c r="N49" s="832"/>
      <c r="O49" s="832"/>
      <c r="P49" s="832"/>
      <c r="Q49" s="832"/>
    </row>
    <row r="50" spans="1:17" s="845" customFormat="1" ht="21.95" customHeight="1">
      <c r="A50" s="1728"/>
      <c r="B50" s="1019" t="s">
        <v>1497</v>
      </c>
      <c r="C50" s="1235">
        <v>0.86</v>
      </c>
      <c r="D50" s="1235">
        <v>0.87</v>
      </c>
      <c r="E50" s="1235">
        <v>0.88</v>
      </c>
      <c r="F50" s="1235">
        <v>0.9</v>
      </c>
      <c r="G50" s="1235">
        <v>0.9</v>
      </c>
      <c r="H50" s="1018"/>
      <c r="J50" s="820"/>
      <c r="K50" s="820">
        <v>282</v>
      </c>
      <c r="L50" s="1444">
        <f>$K$50/C50</f>
        <v>327.90697674418607</v>
      </c>
      <c r="M50" s="1444">
        <f>$K$50/D50</f>
        <v>324.13793103448273</v>
      </c>
      <c r="N50" s="1444">
        <f>$K$50/E50</f>
        <v>320.45454545454544</v>
      </c>
      <c r="O50" s="1444">
        <f>$K$50/F50</f>
        <v>313.33333333333331</v>
      </c>
      <c r="P50" s="1444">
        <f>$K$50/G50</f>
        <v>313.33333333333331</v>
      </c>
      <c r="Q50" s="832"/>
    </row>
    <row r="51" spans="1:17" s="845" customFormat="1" ht="21.95" customHeight="1">
      <c r="A51" s="1729"/>
      <c r="B51" s="1022" t="s">
        <v>1580</v>
      </c>
      <c r="C51" s="1236">
        <v>0.86</v>
      </c>
      <c r="D51" s="1236">
        <v>0.87</v>
      </c>
      <c r="E51" s="1236">
        <v>0.88</v>
      </c>
      <c r="F51" s="1236">
        <v>0.9</v>
      </c>
      <c r="G51" s="1236">
        <v>0.9</v>
      </c>
      <c r="H51" s="1041"/>
      <c r="J51" s="820"/>
      <c r="K51" s="820">
        <v>227</v>
      </c>
      <c r="L51" s="1444">
        <f>$K$51/C51</f>
        <v>263.95348837209303</v>
      </c>
      <c r="M51" s="1444">
        <f t="shared" ref="M51:P51" si="7">$K$51/D51</f>
        <v>260.91954022988506</v>
      </c>
      <c r="N51" s="1444">
        <f t="shared" si="7"/>
        <v>257.95454545454544</v>
      </c>
      <c r="O51" s="1444">
        <f t="shared" si="7"/>
        <v>252.22222222222223</v>
      </c>
      <c r="P51" s="1444">
        <f t="shared" si="7"/>
        <v>252.22222222222223</v>
      </c>
      <c r="Q51" s="832"/>
    </row>
    <row r="52" spans="1:17" s="845" customFormat="1" ht="21.95" customHeight="1">
      <c r="A52" s="839"/>
      <c r="B52" s="839"/>
      <c r="C52" s="830"/>
      <c r="D52" s="830"/>
      <c r="E52" s="830"/>
      <c r="F52" s="830"/>
      <c r="G52" s="830"/>
      <c r="H52" s="846"/>
      <c r="J52" s="820"/>
      <c r="K52" s="820"/>
      <c r="L52" s="832"/>
      <c r="M52" s="832"/>
      <c r="N52" s="832"/>
      <c r="O52" s="832"/>
      <c r="P52" s="832"/>
      <c r="Q52" s="832"/>
    </row>
    <row r="53" spans="1:17" s="305" customFormat="1" ht="26.1" customHeight="1">
      <c r="A53" s="310" t="s">
        <v>1505</v>
      </c>
      <c r="B53" s="313"/>
      <c r="C53" s="313"/>
      <c r="D53" s="313"/>
      <c r="E53" s="313"/>
      <c r="F53" s="313"/>
      <c r="G53" s="313"/>
      <c r="H53" s="313"/>
    </row>
    <row r="54" spans="1:17" s="305" customFormat="1" ht="26.1" customHeight="1">
      <c r="A54" s="1717" t="s">
        <v>268</v>
      </c>
      <c r="B54" s="1718"/>
      <c r="C54" s="1718" t="s">
        <v>328</v>
      </c>
      <c r="D54" s="1718"/>
      <c r="E54" s="1718"/>
      <c r="F54" s="1718"/>
      <c r="G54" s="1718"/>
      <c r="H54" s="1774" t="s">
        <v>45</v>
      </c>
    </row>
    <row r="55" spans="1:17" s="305" customFormat="1" ht="26.1" customHeight="1">
      <c r="A55" s="1742"/>
      <c r="B55" s="1743"/>
      <c r="C55" s="1015" t="s">
        <v>869</v>
      </c>
      <c r="D55" s="1015" t="s">
        <v>312</v>
      </c>
      <c r="E55" s="1015" t="s">
        <v>57</v>
      </c>
      <c r="F55" s="1015" t="s">
        <v>313</v>
      </c>
      <c r="G55" s="1015" t="s">
        <v>278</v>
      </c>
      <c r="H55" s="1775"/>
    </row>
    <row r="56" spans="1:17" s="305" customFormat="1" ht="26.1" customHeight="1">
      <c r="A56" s="1719" t="s">
        <v>329</v>
      </c>
      <c r="B56" s="1016" t="s">
        <v>944</v>
      </c>
      <c r="C56" s="1017">
        <f>+C30</f>
        <v>291</v>
      </c>
      <c r="D56" s="1017">
        <f>+D30</f>
        <v>291</v>
      </c>
      <c r="E56" s="1017">
        <f>+E30</f>
        <v>291</v>
      </c>
      <c r="F56" s="1017">
        <f>+F30</f>
        <v>291</v>
      </c>
      <c r="G56" s="1017">
        <f>+G30</f>
        <v>291</v>
      </c>
      <c r="H56" s="1018"/>
    </row>
    <row r="57" spans="1:17" s="305" customFormat="1" ht="26.1" customHeight="1">
      <c r="A57" s="1720"/>
      <c r="B57" s="1016" t="s">
        <v>945</v>
      </c>
      <c r="C57" s="1017">
        <f t="shared" ref="C57:G57" si="8">+C31</f>
        <v>313</v>
      </c>
      <c r="D57" s="1017">
        <f t="shared" si="8"/>
        <v>313</v>
      </c>
      <c r="E57" s="1017">
        <f t="shared" si="8"/>
        <v>313</v>
      </c>
      <c r="F57" s="1017">
        <f t="shared" si="8"/>
        <v>313</v>
      </c>
      <c r="G57" s="1017">
        <f t="shared" si="8"/>
        <v>313</v>
      </c>
      <c r="H57" s="1018"/>
    </row>
    <row r="58" spans="1:17" s="845" customFormat="1" ht="26.1" customHeight="1">
      <c r="A58" s="1720"/>
      <c r="B58" s="1019" t="s">
        <v>949</v>
      </c>
      <c r="C58" s="1017">
        <f t="shared" ref="C58:G58" si="9">+C32</f>
        <v>295</v>
      </c>
      <c r="D58" s="1017">
        <f t="shared" si="9"/>
        <v>295</v>
      </c>
      <c r="E58" s="1017">
        <f t="shared" si="9"/>
        <v>295</v>
      </c>
      <c r="F58" s="1017">
        <f t="shared" si="9"/>
        <v>295</v>
      </c>
      <c r="G58" s="1017">
        <f t="shared" si="9"/>
        <v>295</v>
      </c>
      <c r="H58" s="1018"/>
    </row>
    <row r="59" spans="1:17" s="845" customFormat="1" ht="26.1" customHeight="1">
      <c r="A59" s="1720"/>
      <c r="B59" s="1019" t="s">
        <v>1582</v>
      </c>
      <c r="C59" s="1017">
        <f t="shared" ref="C59:G59" si="10">+C33</f>
        <v>341</v>
      </c>
      <c r="D59" s="1017">
        <f t="shared" si="10"/>
        <v>341</v>
      </c>
      <c r="E59" s="1017">
        <f t="shared" si="10"/>
        <v>341</v>
      </c>
      <c r="F59" s="1017">
        <f t="shared" si="10"/>
        <v>341</v>
      </c>
      <c r="G59" s="1017">
        <f t="shared" si="10"/>
        <v>341</v>
      </c>
      <c r="H59" s="1018"/>
    </row>
    <row r="60" spans="1:17" s="305" customFormat="1" ht="26.1" customHeight="1">
      <c r="A60" s="1720"/>
      <c r="B60" s="1019" t="s">
        <v>1497</v>
      </c>
      <c r="C60" s="1017">
        <f t="shared" ref="C60:G60" si="11">+C34</f>
        <v>395</v>
      </c>
      <c r="D60" s="1017">
        <f t="shared" si="11"/>
        <v>395</v>
      </c>
      <c r="E60" s="1017">
        <f t="shared" si="11"/>
        <v>395</v>
      </c>
      <c r="F60" s="1017">
        <f t="shared" si="11"/>
        <v>395</v>
      </c>
      <c r="G60" s="1017">
        <f t="shared" si="11"/>
        <v>395</v>
      </c>
      <c r="H60" s="1018"/>
    </row>
    <row r="61" spans="1:17" s="305" customFormat="1" ht="26.1" customHeight="1">
      <c r="A61" s="1720"/>
      <c r="B61" s="1016" t="s">
        <v>1580</v>
      </c>
      <c r="C61" s="1017">
        <f t="shared" ref="C61:G61" si="12">+C35</f>
        <v>286</v>
      </c>
      <c r="D61" s="1017">
        <f t="shared" si="12"/>
        <v>286</v>
      </c>
      <c r="E61" s="1017">
        <f t="shared" si="12"/>
        <v>286</v>
      </c>
      <c r="F61" s="1017">
        <f t="shared" si="12"/>
        <v>286</v>
      </c>
      <c r="G61" s="1017">
        <f t="shared" si="12"/>
        <v>286</v>
      </c>
      <c r="H61" s="1018"/>
    </row>
    <row r="62" spans="1:17" s="305" customFormat="1" ht="26.1" customHeight="1">
      <c r="A62" s="1720" t="s">
        <v>318</v>
      </c>
      <c r="B62" s="1016" t="s">
        <v>944</v>
      </c>
      <c r="C62" s="1020">
        <f>+C46</f>
        <v>0.86</v>
      </c>
      <c r="D62" s="1020">
        <f>+D46</f>
        <v>0.87</v>
      </c>
      <c r="E62" s="1020">
        <f>+E46</f>
        <v>0.88</v>
      </c>
      <c r="F62" s="1020">
        <f>+F46</f>
        <v>0.9</v>
      </c>
      <c r="G62" s="1020">
        <f>+G46</f>
        <v>0.9</v>
      </c>
      <c r="H62" s="1018"/>
    </row>
    <row r="63" spans="1:17" s="305" customFormat="1" ht="26.1" customHeight="1">
      <c r="A63" s="1720"/>
      <c r="B63" s="1016" t="s">
        <v>945</v>
      </c>
      <c r="C63" s="1020">
        <f t="shared" ref="C63:G63" si="13">+C47</f>
        <v>0.86</v>
      </c>
      <c r="D63" s="1020">
        <f t="shared" si="13"/>
        <v>0.87</v>
      </c>
      <c r="E63" s="1020">
        <f t="shared" si="13"/>
        <v>0.88</v>
      </c>
      <c r="F63" s="1020">
        <f t="shared" si="13"/>
        <v>0.9</v>
      </c>
      <c r="G63" s="1020">
        <f t="shared" si="13"/>
        <v>0.9</v>
      </c>
      <c r="H63" s="1018"/>
    </row>
    <row r="64" spans="1:17" s="845" customFormat="1" ht="26.1" customHeight="1">
      <c r="A64" s="1720"/>
      <c r="B64" s="1019" t="s">
        <v>949</v>
      </c>
      <c r="C64" s="1020">
        <f t="shared" ref="C64:G64" si="14">+C48</f>
        <v>0.86</v>
      </c>
      <c r="D64" s="1020">
        <f t="shared" si="14"/>
        <v>0.87</v>
      </c>
      <c r="E64" s="1020">
        <f t="shared" si="14"/>
        <v>0.88</v>
      </c>
      <c r="F64" s="1020">
        <f t="shared" si="14"/>
        <v>0.9</v>
      </c>
      <c r="G64" s="1020">
        <f t="shared" si="14"/>
        <v>0.9</v>
      </c>
      <c r="H64" s="1018"/>
    </row>
    <row r="65" spans="1:8" s="845" customFormat="1" ht="26.1" customHeight="1">
      <c r="A65" s="1720"/>
      <c r="B65" s="1019" t="s">
        <v>1582</v>
      </c>
      <c r="C65" s="1020">
        <f t="shared" ref="C65:G65" si="15">+C49</f>
        <v>0.86</v>
      </c>
      <c r="D65" s="1020">
        <f t="shared" si="15"/>
        <v>0.87</v>
      </c>
      <c r="E65" s="1020">
        <f t="shared" si="15"/>
        <v>0.88</v>
      </c>
      <c r="F65" s="1020">
        <f t="shared" si="15"/>
        <v>0.9</v>
      </c>
      <c r="G65" s="1020">
        <f t="shared" si="15"/>
        <v>0.9</v>
      </c>
      <c r="H65" s="1018"/>
    </row>
    <row r="66" spans="1:8" s="305" customFormat="1" ht="26.1" customHeight="1">
      <c r="A66" s="1720"/>
      <c r="B66" s="1019" t="s">
        <v>1497</v>
      </c>
      <c r="C66" s="1020">
        <f t="shared" ref="C66:G66" si="16">+C50</f>
        <v>0.86</v>
      </c>
      <c r="D66" s="1020">
        <f t="shared" si="16"/>
        <v>0.87</v>
      </c>
      <c r="E66" s="1020">
        <f t="shared" si="16"/>
        <v>0.88</v>
      </c>
      <c r="F66" s="1020">
        <f t="shared" si="16"/>
        <v>0.9</v>
      </c>
      <c r="G66" s="1020">
        <f t="shared" si="16"/>
        <v>0.9</v>
      </c>
      <c r="H66" s="1018"/>
    </row>
    <row r="67" spans="1:8" s="305" customFormat="1" ht="26.1" customHeight="1">
      <c r="A67" s="1720"/>
      <c r="B67" s="1016" t="s">
        <v>1580</v>
      </c>
      <c r="C67" s="1020">
        <f t="shared" ref="C67:G67" si="17">+C51</f>
        <v>0.86</v>
      </c>
      <c r="D67" s="1020">
        <f t="shared" si="17"/>
        <v>0.87</v>
      </c>
      <c r="E67" s="1020">
        <f t="shared" si="17"/>
        <v>0.88</v>
      </c>
      <c r="F67" s="1020">
        <f t="shared" si="17"/>
        <v>0.9</v>
      </c>
      <c r="G67" s="1020">
        <f t="shared" si="17"/>
        <v>0.9</v>
      </c>
      <c r="H67" s="1018"/>
    </row>
    <row r="68" spans="1:8" s="305" customFormat="1" ht="26.1" customHeight="1">
      <c r="A68" s="1719" t="s">
        <v>330</v>
      </c>
      <c r="B68" s="1016" t="s">
        <v>944</v>
      </c>
      <c r="C68" s="1021">
        <f t="shared" ref="C68:C73" si="18">+C56*C62</f>
        <v>250.26</v>
      </c>
      <c r="D68" s="1021">
        <f t="shared" ref="D68:G73" si="19">+D56*D62</f>
        <v>253.17</v>
      </c>
      <c r="E68" s="1021">
        <f t="shared" si="19"/>
        <v>256.08</v>
      </c>
      <c r="F68" s="1021">
        <f t="shared" si="19"/>
        <v>261.90000000000003</v>
      </c>
      <c r="G68" s="1021">
        <f t="shared" si="19"/>
        <v>261.90000000000003</v>
      </c>
      <c r="H68" s="1018"/>
    </row>
    <row r="69" spans="1:8" s="845" customFormat="1" ht="26.1" customHeight="1">
      <c r="A69" s="1719"/>
      <c r="B69" s="1016" t="s">
        <v>945</v>
      </c>
      <c r="C69" s="1021">
        <f t="shared" si="18"/>
        <v>269.18</v>
      </c>
      <c r="D69" s="1021">
        <f t="shared" si="19"/>
        <v>272.31</v>
      </c>
      <c r="E69" s="1021">
        <f t="shared" si="19"/>
        <v>275.44</v>
      </c>
      <c r="F69" s="1021">
        <f t="shared" si="19"/>
        <v>281.7</v>
      </c>
      <c r="G69" s="1021">
        <f t="shared" si="19"/>
        <v>281.7</v>
      </c>
      <c r="H69" s="1018"/>
    </row>
    <row r="70" spans="1:8" s="845" customFormat="1" ht="26.1" customHeight="1">
      <c r="A70" s="1719"/>
      <c r="B70" s="1019" t="s">
        <v>949</v>
      </c>
      <c r="C70" s="1021">
        <f t="shared" si="18"/>
        <v>253.7</v>
      </c>
      <c r="D70" s="1021">
        <f t="shared" si="19"/>
        <v>256.64999999999998</v>
      </c>
      <c r="E70" s="1021">
        <f t="shared" si="19"/>
        <v>259.60000000000002</v>
      </c>
      <c r="F70" s="1021">
        <f t="shared" si="19"/>
        <v>265.5</v>
      </c>
      <c r="G70" s="1021">
        <f t="shared" si="19"/>
        <v>265.5</v>
      </c>
      <c r="H70" s="1018"/>
    </row>
    <row r="71" spans="1:8" s="305" customFormat="1" ht="26.1" customHeight="1">
      <c r="A71" s="1720"/>
      <c r="B71" s="1019" t="s">
        <v>1582</v>
      </c>
      <c r="C71" s="1021">
        <f t="shared" si="18"/>
        <v>293.26</v>
      </c>
      <c r="D71" s="1021">
        <f t="shared" si="19"/>
        <v>296.67</v>
      </c>
      <c r="E71" s="1021">
        <f t="shared" si="19"/>
        <v>300.08</v>
      </c>
      <c r="F71" s="1021">
        <f t="shared" si="19"/>
        <v>306.90000000000003</v>
      </c>
      <c r="G71" s="1021">
        <f t="shared" si="19"/>
        <v>306.90000000000003</v>
      </c>
      <c r="H71" s="1018"/>
    </row>
    <row r="72" spans="1:8" s="305" customFormat="1" ht="26.1" customHeight="1">
      <c r="A72" s="1720"/>
      <c r="B72" s="1019" t="s">
        <v>1497</v>
      </c>
      <c r="C72" s="1021">
        <f t="shared" si="18"/>
        <v>339.7</v>
      </c>
      <c r="D72" s="1021">
        <f t="shared" si="19"/>
        <v>343.65</v>
      </c>
      <c r="E72" s="1021">
        <f t="shared" si="19"/>
        <v>347.6</v>
      </c>
      <c r="F72" s="1021">
        <f t="shared" si="19"/>
        <v>355.5</v>
      </c>
      <c r="G72" s="1021">
        <f t="shared" si="19"/>
        <v>355.5</v>
      </c>
      <c r="H72" s="1018"/>
    </row>
    <row r="73" spans="1:8" s="305" customFormat="1" ht="26.1" customHeight="1">
      <c r="A73" s="1721"/>
      <c r="B73" s="1022" t="s">
        <v>1580</v>
      </c>
      <c r="C73" s="1023">
        <f t="shared" si="18"/>
        <v>245.96</v>
      </c>
      <c r="D73" s="1023">
        <f t="shared" si="19"/>
        <v>248.82</v>
      </c>
      <c r="E73" s="1023">
        <f t="shared" si="19"/>
        <v>251.68</v>
      </c>
      <c r="F73" s="1023">
        <f t="shared" si="19"/>
        <v>257.40000000000003</v>
      </c>
      <c r="G73" s="1023">
        <f t="shared" si="19"/>
        <v>257.40000000000003</v>
      </c>
      <c r="H73" s="1024"/>
    </row>
    <row r="74" spans="1:8" s="305" customFormat="1" ht="26.1" customHeight="1">
      <c r="B74" s="301"/>
      <c r="C74" s="301"/>
      <c r="D74" s="301"/>
      <c r="E74" s="301"/>
      <c r="F74" s="301"/>
      <c r="G74" s="301"/>
      <c r="H74" s="301"/>
    </row>
    <row r="75" spans="1:8" s="305" customFormat="1" ht="26.1" customHeight="1">
      <c r="A75" s="312" t="s">
        <v>1941</v>
      </c>
      <c r="B75" s="301"/>
      <c r="C75" s="301"/>
      <c r="D75" s="301"/>
      <c r="E75" s="301"/>
      <c r="F75" s="301"/>
      <c r="G75" s="301"/>
      <c r="H75" s="301"/>
    </row>
    <row r="76" spans="1:8" s="305" customFormat="1" ht="26.1" customHeight="1">
      <c r="A76" s="310" t="s">
        <v>331</v>
      </c>
      <c r="B76" s="301"/>
      <c r="C76" s="301"/>
      <c r="D76" s="301"/>
      <c r="E76" s="301"/>
      <c r="F76" s="301"/>
      <c r="G76" s="301"/>
      <c r="H76" s="301"/>
    </row>
    <row r="77" spans="1:8" s="305" customFormat="1" ht="26.1" customHeight="1">
      <c r="A77" s="1754" t="s">
        <v>444</v>
      </c>
      <c r="B77" s="1748"/>
      <c r="C77" s="1748" t="s">
        <v>11</v>
      </c>
      <c r="D77" s="1748" t="s">
        <v>18</v>
      </c>
      <c r="E77" s="1748"/>
      <c r="F77" s="1748"/>
      <c r="G77" s="1748" t="s">
        <v>95</v>
      </c>
      <c r="H77" s="1744" t="s">
        <v>97</v>
      </c>
    </row>
    <row r="78" spans="1:8" s="305" customFormat="1" ht="26.1" customHeight="1">
      <c r="A78" s="1755"/>
      <c r="B78" s="1749"/>
      <c r="C78" s="1749"/>
      <c r="D78" s="343" t="s">
        <v>19</v>
      </c>
      <c r="E78" s="343" t="s">
        <v>12</v>
      </c>
      <c r="F78" s="344" t="s">
        <v>13</v>
      </c>
      <c r="G78" s="1750"/>
      <c r="H78" s="1745"/>
    </row>
    <row r="79" spans="1:8" s="305" customFormat="1" ht="26.1" customHeight="1">
      <c r="A79" s="1776" t="s">
        <v>942</v>
      </c>
      <c r="B79" s="345" t="s">
        <v>23</v>
      </c>
      <c r="C79" s="346">
        <f>+'4.1사용실적산정'!C4</f>
        <v>54773</v>
      </c>
      <c r="D79" s="346">
        <f>+'4.1사용실적산정'!D4</f>
        <v>9277</v>
      </c>
      <c r="E79" s="346">
        <f>+'4.1사용실적산정'!E4</f>
        <v>6682</v>
      </c>
      <c r="F79" s="346">
        <f>+'4.1사용실적산정'!F4</f>
        <v>2595</v>
      </c>
      <c r="G79" s="346">
        <f>+'4.1사용실적산정'!G4</f>
        <v>169</v>
      </c>
      <c r="H79" s="347">
        <f>+'4.1사용실적산정'!H4</f>
        <v>28</v>
      </c>
    </row>
    <row r="80" spans="1:8" s="305" customFormat="1" ht="26.1" customHeight="1">
      <c r="A80" s="1776"/>
      <c r="B80" s="345" t="s">
        <v>0</v>
      </c>
      <c r="C80" s="346">
        <f>+'4.1사용실적산정'!C5</f>
        <v>56144</v>
      </c>
      <c r="D80" s="346">
        <f>+'4.1사용실적산정'!D5</f>
        <v>10474</v>
      </c>
      <c r="E80" s="346">
        <f>+'4.1사용실적산정'!E5</f>
        <v>7236</v>
      </c>
      <c r="F80" s="346">
        <f>+'4.1사용실적산정'!F5</f>
        <v>3238</v>
      </c>
      <c r="G80" s="346">
        <f>+'4.1사용실적산정'!G5</f>
        <v>187</v>
      </c>
      <c r="H80" s="347">
        <f>+'4.1사용실적산정'!H5</f>
        <v>30.9</v>
      </c>
    </row>
    <row r="81" spans="1:8" s="305" customFormat="1" ht="26.1" customHeight="1">
      <c r="A81" s="1776"/>
      <c r="B81" s="345" t="s">
        <v>1</v>
      </c>
      <c r="C81" s="346">
        <f>+'4.1사용실적산정'!C6</f>
        <v>59217</v>
      </c>
      <c r="D81" s="346">
        <f>+'4.1사용실적산정'!D6</f>
        <v>16917</v>
      </c>
      <c r="E81" s="346">
        <f>+'4.1사용실적산정'!E6</f>
        <v>7800</v>
      </c>
      <c r="F81" s="346">
        <f>+'4.1사용실적산정'!F6</f>
        <v>9117</v>
      </c>
      <c r="G81" s="346">
        <f>+'4.1사용실적산정'!G6</f>
        <v>286</v>
      </c>
      <c r="H81" s="347">
        <f>+'4.1사용실적산정'!H6</f>
        <v>53.9</v>
      </c>
    </row>
    <row r="82" spans="1:8" s="305" customFormat="1" ht="26.1" customHeight="1">
      <c r="A82" s="1776"/>
      <c r="B82" s="345" t="s">
        <v>2</v>
      </c>
      <c r="C82" s="346">
        <f>+'4.1사용실적산정'!C7</f>
        <v>63816</v>
      </c>
      <c r="D82" s="346">
        <f>+'4.1사용실적산정'!D7</f>
        <v>12551</v>
      </c>
      <c r="E82" s="346">
        <f>+'4.1사용실적산정'!E7</f>
        <v>8721</v>
      </c>
      <c r="F82" s="346">
        <f>+'4.1사용실적산정'!F7</f>
        <v>3830</v>
      </c>
      <c r="G82" s="346">
        <f>+'4.1사용실적산정'!G7</f>
        <v>197</v>
      </c>
      <c r="H82" s="347">
        <f>+'4.1사용실적산정'!H7</f>
        <v>30.5</v>
      </c>
    </row>
    <row r="83" spans="1:8" s="305" customFormat="1" ht="26.1" customHeight="1">
      <c r="A83" s="1776"/>
      <c r="B83" s="345" t="s">
        <v>3</v>
      </c>
      <c r="C83" s="346">
        <f>+'4.1사용실적산정'!C8</f>
        <v>66068</v>
      </c>
      <c r="D83" s="346">
        <f>+'4.1사용실적산정'!D8</f>
        <v>13460</v>
      </c>
      <c r="E83" s="346">
        <f>+'4.1사용실적산정'!E8</f>
        <v>9417</v>
      </c>
      <c r="F83" s="346">
        <f>+'4.1사용실적산정'!F8</f>
        <v>4043</v>
      </c>
      <c r="G83" s="346">
        <f>+'4.1사용실적산정'!G8</f>
        <v>204</v>
      </c>
      <c r="H83" s="347">
        <f>+'4.1사용실적산정'!H8</f>
        <v>30</v>
      </c>
    </row>
    <row r="84" spans="1:8" s="305" customFormat="1" ht="26.1" customHeight="1">
      <c r="A84" s="1776"/>
      <c r="B84" s="345" t="s">
        <v>65</v>
      </c>
      <c r="C84" s="346">
        <f>+'4.1사용실적산정'!C9</f>
        <v>66068</v>
      </c>
      <c r="D84" s="346">
        <f>+'4.1사용실적산정'!D9</f>
        <v>14351</v>
      </c>
      <c r="E84" s="346">
        <f>+'4.1사용실적산정'!E9</f>
        <v>10217</v>
      </c>
      <c r="F84" s="346">
        <f>+'4.1사용실적산정'!F9</f>
        <v>4134</v>
      </c>
      <c r="G84" s="346">
        <f>+'4.1사용실적산정'!G9</f>
        <v>217</v>
      </c>
      <c r="H84" s="347">
        <f>+'4.1사용실적산정'!H9</f>
        <v>28.8</v>
      </c>
    </row>
    <row r="85" spans="1:8" s="305" customFormat="1" ht="26.1" customHeight="1">
      <c r="A85" s="1776"/>
      <c r="B85" s="345" t="s">
        <v>16</v>
      </c>
      <c r="C85" s="346">
        <f>+'4.1사용실적산정'!C10</f>
        <v>73355</v>
      </c>
      <c r="D85" s="346">
        <f>+'4.1사용실적산정'!D10</f>
        <v>15594</v>
      </c>
      <c r="E85" s="346">
        <f>+'4.1사용실적산정'!E10</f>
        <v>11144</v>
      </c>
      <c r="F85" s="346">
        <f>+'4.1사용실적산정'!F10</f>
        <v>4450</v>
      </c>
      <c r="G85" s="346">
        <f>+'4.1사용실적산정'!G10</f>
        <v>213</v>
      </c>
      <c r="H85" s="347">
        <f>+'4.1사용실적산정'!H10</f>
        <v>28.5</v>
      </c>
    </row>
    <row r="86" spans="1:8" s="305" customFormat="1" ht="26.1" customHeight="1">
      <c r="A86" s="1776"/>
      <c r="B86" s="345" t="s">
        <v>66</v>
      </c>
      <c r="C86" s="346">
        <f>+'4.1사용실적산정'!C11</f>
        <v>76988</v>
      </c>
      <c r="D86" s="346">
        <f>+'4.1사용실적산정'!D11</f>
        <v>16786</v>
      </c>
      <c r="E86" s="346">
        <f>+'4.1사용실적산정'!E11</f>
        <v>12597</v>
      </c>
      <c r="F86" s="346">
        <f>+'4.1사용실적산정'!F11</f>
        <v>4189</v>
      </c>
      <c r="G86" s="346">
        <f>+'4.1사용실적산정'!G11</f>
        <v>218</v>
      </c>
      <c r="H86" s="347">
        <f>+'4.1사용실적산정'!H11</f>
        <v>25</v>
      </c>
    </row>
    <row r="87" spans="1:8" s="305" customFormat="1" ht="26.1" customHeight="1">
      <c r="A87" s="1776"/>
      <c r="B87" s="345" t="s">
        <v>67</v>
      </c>
      <c r="C87" s="346">
        <f>+'4.1사용실적산정'!C12</f>
        <v>79162</v>
      </c>
      <c r="D87" s="346">
        <f>+'4.1사용실적산정'!D12</f>
        <v>17830</v>
      </c>
      <c r="E87" s="346">
        <f>+'4.1사용실적산정'!E12</f>
        <v>13548</v>
      </c>
      <c r="F87" s="346">
        <f>+'4.1사용실적산정'!F12</f>
        <v>4282</v>
      </c>
      <c r="G87" s="346">
        <f>+'4.1사용실적산정'!G12</f>
        <v>225</v>
      </c>
      <c r="H87" s="347">
        <f>+'4.1사용실적산정'!H12</f>
        <v>24</v>
      </c>
    </row>
    <row r="88" spans="1:8" s="305" customFormat="1" ht="26.1" customHeight="1">
      <c r="A88" s="1776"/>
      <c r="B88" s="345" t="s">
        <v>68</v>
      </c>
      <c r="C88" s="346">
        <f>+'4.1사용실적산정'!C13</f>
        <v>87367</v>
      </c>
      <c r="D88" s="346">
        <f>+'4.1사용실적산정'!D13</f>
        <v>19371</v>
      </c>
      <c r="E88" s="346">
        <f>+'4.1사용실적산정'!E13</f>
        <v>14289</v>
      </c>
      <c r="F88" s="346">
        <f>+'4.1사용실적산정'!F13</f>
        <v>5082</v>
      </c>
      <c r="G88" s="346">
        <f>+'4.1사용실적산정'!G13</f>
        <v>222</v>
      </c>
      <c r="H88" s="347">
        <f>+'4.1사용실적산정'!H13</f>
        <v>26.2</v>
      </c>
    </row>
    <row r="89" spans="1:8" s="305" customFormat="1" ht="26.1" customHeight="1">
      <c r="A89" s="1746" t="s">
        <v>273</v>
      </c>
      <c r="B89" s="314" t="s">
        <v>307</v>
      </c>
      <c r="C89" s="306">
        <f t="shared" ref="C89:H89" si="20">AVERAGE(C79:C88)</f>
        <v>68295.8</v>
      </c>
      <c r="D89" s="306">
        <f t="shared" si="20"/>
        <v>14661.1</v>
      </c>
      <c r="E89" s="306">
        <f t="shared" si="20"/>
        <v>10165.1</v>
      </c>
      <c r="F89" s="306">
        <f t="shared" si="20"/>
        <v>4496</v>
      </c>
      <c r="G89" s="306">
        <f t="shared" si="20"/>
        <v>213.8</v>
      </c>
      <c r="H89" s="348">
        <f t="shared" si="20"/>
        <v>30.580000000000002</v>
      </c>
    </row>
    <row r="90" spans="1:8" s="305" customFormat="1" ht="26.1" customHeight="1">
      <c r="A90" s="1746"/>
      <c r="B90" s="314" t="s">
        <v>308</v>
      </c>
      <c r="C90" s="306">
        <f t="shared" ref="C90:H90" si="21">AVERAGE(C84:C88)</f>
        <v>76588</v>
      </c>
      <c r="D90" s="306">
        <f t="shared" si="21"/>
        <v>16786.400000000001</v>
      </c>
      <c r="E90" s="306">
        <f t="shared" si="21"/>
        <v>12359</v>
      </c>
      <c r="F90" s="306">
        <f t="shared" si="21"/>
        <v>4427.3999999999996</v>
      </c>
      <c r="G90" s="306">
        <f t="shared" si="21"/>
        <v>219</v>
      </c>
      <c r="H90" s="348">
        <f t="shared" si="21"/>
        <v>26.5</v>
      </c>
    </row>
    <row r="91" spans="1:8" s="305" customFormat="1" ht="26.1" customHeight="1">
      <c r="A91" s="1747"/>
      <c r="B91" s="349" t="s">
        <v>309</v>
      </c>
      <c r="C91" s="308">
        <f t="shared" ref="C91:H91" si="22">AVERAGE(C86:C88)</f>
        <v>81172.333333333328</v>
      </c>
      <c r="D91" s="308">
        <f t="shared" si="22"/>
        <v>17995.666666666668</v>
      </c>
      <c r="E91" s="308">
        <f t="shared" si="22"/>
        <v>13478</v>
      </c>
      <c r="F91" s="308">
        <f t="shared" si="22"/>
        <v>4517.666666666667</v>
      </c>
      <c r="G91" s="308">
        <f t="shared" si="22"/>
        <v>221.66666666666666</v>
      </c>
      <c r="H91" s="350">
        <f t="shared" si="22"/>
        <v>25.066666666666666</v>
      </c>
    </row>
    <row r="92" spans="1:8" s="305" customFormat="1" ht="24.95" customHeight="1">
      <c r="B92" s="301"/>
      <c r="C92" s="301"/>
      <c r="D92" s="301"/>
      <c r="E92" s="301"/>
      <c r="F92" s="301"/>
      <c r="G92" s="301"/>
      <c r="H92" s="301"/>
    </row>
    <row r="93" spans="1:8" s="305" customFormat="1" ht="30" customHeight="1">
      <c r="A93" s="1282" t="s">
        <v>396</v>
      </c>
      <c r="B93" s="1283"/>
      <c r="C93" s="1283"/>
      <c r="D93" s="1283"/>
      <c r="E93" s="1283"/>
      <c r="F93" s="1283"/>
      <c r="G93" s="1283"/>
      <c r="H93" s="1283"/>
    </row>
    <row r="94" spans="1:8" s="305" customFormat="1" ht="30" customHeight="1">
      <c r="A94" s="311" t="s">
        <v>1812</v>
      </c>
      <c r="B94" s="313"/>
      <c r="C94" s="313"/>
      <c r="D94" s="313"/>
      <c r="E94" s="313"/>
      <c r="F94" s="313"/>
      <c r="G94" s="313"/>
      <c r="H94" s="313"/>
    </row>
    <row r="95" spans="1:8" s="305" customFormat="1" ht="30" customHeight="1">
      <c r="A95" s="1717" t="s">
        <v>310</v>
      </c>
      <c r="B95" s="1718"/>
      <c r="C95" s="1037" t="s">
        <v>879</v>
      </c>
      <c r="D95" s="1037" t="s">
        <v>314</v>
      </c>
      <c r="E95" s="1037" t="s">
        <v>315</v>
      </c>
      <c r="F95" s="1037" t="s">
        <v>316</v>
      </c>
      <c r="G95" s="1037" t="s">
        <v>317</v>
      </c>
      <c r="H95" s="1038" t="s">
        <v>45</v>
      </c>
    </row>
    <row r="96" spans="1:8" s="305" customFormat="1" ht="20.100000000000001" customHeight="1">
      <c r="A96" s="1719" t="s">
        <v>333</v>
      </c>
      <c r="B96" s="1016" t="s">
        <v>944</v>
      </c>
      <c r="C96" s="1039">
        <f>+'사용량 수학적추정'!D17</f>
        <v>249.2</v>
      </c>
      <c r="D96" s="1039">
        <f>+'사용량 수학적추정'!E17</f>
        <v>279.60000000000002</v>
      </c>
      <c r="E96" s="1039">
        <f>+'사용량 수학적추정'!F17</f>
        <v>311.2</v>
      </c>
      <c r="F96" s="1039">
        <f>+'사용량 수학적추정'!G17</f>
        <v>343.2</v>
      </c>
      <c r="G96" s="1039">
        <f>+'사용량 수학적추정'!H17</f>
        <v>375.4</v>
      </c>
      <c r="H96" s="1040"/>
    </row>
    <row r="97" spans="1:17" s="305" customFormat="1" ht="20.100000000000001" customHeight="1">
      <c r="A97" s="1720"/>
      <c r="B97" s="1016" t="s">
        <v>945</v>
      </c>
      <c r="C97" s="1039">
        <f>'사용량 수학적추정'!D33</f>
        <v>243.2</v>
      </c>
      <c r="D97" s="1039">
        <f>+'사용량 수학적추정'!E33</f>
        <v>281.39999999999998</v>
      </c>
      <c r="E97" s="1039">
        <f>+'사용량 수학적추정'!F33</f>
        <v>321.2</v>
      </c>
      <c r="F97" s="1039">
        <f>+'사용량 수학적추정'!G33</f>
        <v>362.8</v>
      </c>
      <c r="G97" s="1039">
        <f>+'사용량 수학적추정'!H33</f>
        <v>406.4</v>
      </c>
      <c r="H97" s="1040"/>
    </row>
    <row r="98" spans="1:17" s="305" customFormat="1" ht="20.100000000000001" customHeight="1">
      <c r="A98" s="1720"/>
      <c r="B98" s="1019" t="s">
        <v>949</v>
      </c>
      <c r="C98" s="1039">
        <f>'사용량 수학적추정'!D50</f>
        <v>284.5</v>
      </c>
      <c r="D98" s="1039">
        <f>'사용량 수학적추정'!E50</f>
        <v>386.5</v>
      </c>
      <c r="E98" s="1039">
        <f>'사용량 수학적추정'!F50</f>
        <v>489</v>
      </c>
      <c r="F98" s="1039">
        <f>'사용량 수학적추정'!G50</f>
        <v>591.5</v>
      </c>
      <c r="G98" s="1039">
        <f>'사용량 수학적추정'!H50</f>
        <v>693.5</v>
      </c>
      <c r="H98" s="1040"/>
    </row>
    <row r="99" spans="1:17" s="845" customFormat="1" ht="20.100000000000001" customHeight="1">
      <c r="A99" s="1720"/>
      <c r="B99" s="1019" t="s">
        <v>1582</v>
      </c>
      <c r="C99" s="1039">
        <f>'사용량 수학적추정'!D67</f>
        <v>227.5</v>
      </c>
      <c r="D99" s="1039">
        <f>'사용량 수학적추정'!E67</f>
        <v>343</v>
      </c>
      <c r="E99" s="1039">
        <f>'사용량 수학적추정'!F67</f>
        <v>458</v>
      </c>
      <c r="F99" s="1039">
        <f>'사용량 수학적추정'!G67</f>
        <v>573.5</v>
      </c>
      <c r="G99" s="1039">
        <f>'사용량 수학적추정'!H67</f>
        <v>688.5</v>
      </c>
      <c r="H99" s="1040"/>
    </row>
    <row r="100" spans="1:17" s="845" customFormat="1" ht="20.100000000000001" customHeight="1">
      <c r="A100" s="1720"/>
      <c r="B100" s="1019" t="s">
        <v>1497</v>
      </c>
      <c r="C100" s="1021">
        <f>'사용량 수학적추정'!D101</f>
        <v>298.5</v>
      </c>
      <c r="D100" s="1021">
        <f>'사용량 수학적추정'!E101</f>
        <v>355.5</v>
      </c>
      <c r="E100" s="1021">
        <f>'사용량 수학적추정'!F101</f>
        <v>412</v>
      </c>
      <c r="F100" s="1021">
        <f>'사용량 수학적추정'!G101</f>
        <v>468.5</v>
      </c>
      <c r="G100" s="1021">
        <f>'사용량 수학적추정'!H101</f>
        <v>526</v>
      </c>
      <c r="H100" s="1018"/>
    </row>
    <row r="101" spans="1:17" s="305" customFormat="1" ht="20.100000000000001" customHeight="1">
      <c r="A101" s="1721"/>
      <c r="B101" s="1022" t="s">
        <v>1580</v>
      </c>
      <c r="C101" s="1023">
        <f>'사용량 수학적추정'!D84</f>
        <v>245.5</v>
      </c>
      <c r="D101" s="1023">
        <f>'사용량 수학적추정'!E84</f>
        <v>322</v>
      </c>
      <c r="E101" s="1023">
        <f>'사용량 수학적추정'!F84</f>
        <v>398</v>
      </c>
      <c r="F101" s="1023">
        <f>'사용량 수학적추정'!G84</f>
        <v>474.5</v>
      </c>
      <c r="G101" s="1023">
        <f>'사용량 수학적추정'!H84</f>
        <v>550.5</v>
      </c>
      <c r="H101" s="1041"/>
      <c r="J101" s="305">
        <v>256</v>
      </c>
      <c r="K101" s="455">
        <f>+C101-J101</f>
        <v>-10.5</v>
      </c>
    </row>
    <row r="102" spans="1:17" s="845" customFormat="1" ht="30" customHeight="1">
      <c r="A102" s="311" t="s">
        <v>332</v>
      </c>
      <c r="B102" s="313"/>
      <c r="C102" s="313"/>
      <c r="D102" s="313"/>
      <c r="E102" s="313"/>
      <c r="F102" s="313"/>
      <c r="G102" s="313"/>
      <c r="H102" s="313"/>
    </row>
    <row r="103" spans="1:17" s="845" customFormat="1" ht="30" customHeight="1">
      <c r="A103" s="1717" t="s">
        <v>310</v>
      </c>
      <c r="B103" s="1718"/>
      <c r="C103" s="1037" t="s">
        <v>879</v>
      </c>
      <c r="D103" s="1037" t="s">
        <v>314</v>
      </c>
      <c r="E103" s="1037" t="s">
        <v>315</v>
      </c>
      <c r="F103" s="1037" t="s">
        <v>316</v>
      </c>
      <c r="G103" s="1037" t="s">
        <v>317</v>
      </c>
      <c r="H103" s="1281" t="s">
        <v>45</v>
      </c>
    </row>
    <row r="104" spans="1:17" s="845" customFormat="1" ht="20.100000000000001" customHeight="1">
      <c r="A104" s="1719" t="s">
        <v>333</v>
      </c>
      <c r="B104" s="1016" t="s">
        <v>944</v>
      </c>
      <c r="C104" s="1039">
        <f>+'사용량 수학적추정'!D17</f>
        <v>249.2</v>
      </c>
      <c r="D104" s="1039">
        <v>249</v>
      </c>
      <c r="E104" s="1039">
        <v>249</v>
      </c>
      <c r="F104" s="1039">
        <v>249</v>
      </c>
      <c r="G104" s="1039">
        <v>249</v>
      </c>
      <c r="H104" s="1040"/>
    </row>
    <row r="105" spans="1:17" s="845" customFormat="1" ht="20.100000000000001" customHeight="1">
      <c r="A105" s="1720"/>
      <c r="B105" s="1016" t="s">
        <v>945</v>
      </c>
      <c r="C105" s="1039">
        <f>'사용량 수학적추정'!D33</f>
        <v>243.2</v>
      </c>
      <c r="D105" s="1039">
        <v>243</v>
      </c>
      <c r="E105" s="1039">
        <v>243</v>
      </c>
      <c r="F105" s="1039">
        <v>243</v>
      </c>
      <c r="G105" s="1039">
        <v>243</v>
      </c>
      <c r="H105" s="1040"/>
    </row>
    <row r="106" spans="1:17" s="845" customFormat="1" ht="20.100000000000001" customHeight="1">
      <c r="A106" s="1720"/>
      <c r="B106" s="1019" t="s">
        <v>949</v>
      </c>
      <c r="C106" s="1039">
        <f>'사용량 수학적추정'!D50</f>
        <v>284.5</v>
      </c>
      <c r="D106" s="1039">
        <v>285</v>
      </c>
      <c r="E106" s="1039">
        <v>285</v>
      </c>
      <c r="F106" s="1039">
        <v>285</v>
      </c>
      <c r="G106" s="1039">
        <v>285</v>
      </c>
      <c r="H106" s="1040"/>
    </row>
    <row r="107" spans="1:17" s="845" customFormat="1" ht="20.100000000000001" customHeight="1">
      <c r="A107" s="1720"/>
      <c r="B107" s="1019" t="s">
        <v>950</v>
      </c>
      <c r="C107" s="1039">
        <f>'사용량 수학적추정'!D67</f>
        <v>227.5</v>
      </c>
      <c r="D107" s="1039">
        <v>228</v>
      </c>
      <c r="E107" s="1039">
        <v>228</v>
      </c>
      <c r="F107" s="1039">
        <v>228</v>
      </c>
      <c r="G107" s="1039">
        <v>228</v>
      </c>
      <c r="H107" s="1040"/>
    </row>
    <row r="108" spans="1:17" s="845" customFormat="1" ht="20.100000000000001" customHeight="1">
      <c r="A108" s="1720"/>
      <c r="B108" s="1019" t="s">
        <v>1497</v>
      </c>
      <c r="C108" s="1021">
        <f>'사용량 수학적추정'!D101</f>
        <v>298.5</v>
      </c>
      <c r="D108" s="1021">
        <v>299</v>
      </c>
      <c r="E108" s="1021">
        <v>299</v>
      </c>
      <c r="F108" s="1021">
        <v>299</v>
      </c>
      <c r="G108" s="1021">
        <v>299</v>
      </c>
      <c r="H108" s="1018"/>
    </row>
    <row r="109" spans="1:17" s="845" customFormat="1" ht="20.100000000000001" customHeight="1">
      <c r="A109" s="1721"/>
      <c r="B109" s="1022" t="s">
        <v>951</v>
      </c>
      <c r="C109" s="1023">
        <f>'사용량 수학적추정'!D84</f>
        <v>245.5</v>
      </c>
      <c r="D109" s="1023">
        <v>246</v>
      </c>
      <c r="E109" s="1023">
        <v>246</v>
      </c>
      <c r="F109" s="1023">
        <v>246</v>
      </c>
      <c r="G109" s="1023">
        <v>246</v>
      </c>
      <c r="H109" s="1041"/>
      <c r="J109" s="845">
        <v>256</v>
      </c>
      <c r="K109" s="455">
        <f>+C109-J109</f>
        <v>-10.5</v>
      </c>
    </row>
    <row r="110" spans="1:17" s="305" customFormat="1" ht="30" customHeight="1">
      <c r="A110" s="311" t="s">
        <v>334</v>
      </c>
      <c r="B110" s="313"/>
      <c r="C110" s="313"/>
      <c r="D110" s="456"/>
      <c r="E110" s="313"/>
      <c r="F110" s="313"/>
      <c r="G110" s="313"/>
      <c r="H110" s="313"/>
    </row>
    <row r="111" spans="1:17" s="305" customFormat="1" ht="30" customHeight="1">
      <c r="A111" s="1700" t="s">
        <v>35</v>
      </c>
      <c r="B111" s="1702" t="s">
        <v>335</v>
      </c>
      <c r="C111" s="1702"/>
      <c r="D111" s="1702"/>
      <c r="E111" s="1702"/>
      <c r="F111" s="1702"/>
      <c r="G111" s="1702" t="s">
        <v>336</v>
      </c>
      <c r="H111" s="1704" t="s">
        <v>337</v>
      </c>
      <c r="J111" s="1700" t="s">
        <v>35</v>
      </c>
      <c r="K111" s="1702" t="s">
        <v>335</v>
      </c>
      <c r="L111" s="1702"/>
      <c r="M111" s="1702"/>
      <c r="N111" s="1702"/>
      <c r="O111" s="1702"/>
      <c r="P111" s="1702" t="s">
        <v>336</v>
      </c>
      <c r="Q111" s="1704" t="s">
        <v>337</v>
      </c>
    </row>
    <row r="112" spans="1:17" s="305" customFormat="1" ht="30" customHeight="1">
      <c r="A112" s="1701"/>
      <c r="B112" s="816" t="s">
        <v>445</v>
      </c>
      <c r="C112" s="816" t="s">
        <v>446</v>
      </c>
      <c r="D112" s="816" t="s">
        <v>447</v>
      </c>
      <c r="E112" s="816" t="s">
        <v>448</v>
      </c>
      <c r="F112" s="351" t="s">
        <v>880</v>
      </c>
      <c r="G112" s="1703"/>
      <c r="H112" s="1705"/>
      <c r="J112" s="1701"/>
      <c r="K112" s="1227" t="s">
        <v>445</v>
      </c>
      <c r="L112" s="1227" t="s">
        <v>446</v>
      </c>
      <c r="M112" s="1227" t="s">
        <v>447</v>
      </c>
      <c r="N112" s="1227" t="s">
        <v>448</v>
      </c>
      <c r="O112" s="1227" t="s">
        <v>880</v>
      </c>
      <c r="P112" s="1703"/>
      <c r="Q112" s="1705"/>
    </row>
    <row r="113" spans="1:17" s="305" customFormat="1" ht="30" customHeight="1">
      <c r="A113" s="352" t="s">
        <v>1508</v>
      </c>
      <c r="B113" s="440">
        <f>+'3.면별급수현황'!D19</f>
        <v>15556</v>
      </c>
      <c r="C113" s="440">
        <f>+'3.면별급수현황'!D20</f>
        <v>15845</v>
      </c>
      <c r="D113" s="440">
        <f>+'3.면별급수현황'!D21</f>
        <v>15227</v>
      </c>
      <c r="E113" s="440">
        <f>+'3.면별급수현황'!D22</f>
        <v>15429</v>
      </c>
      <c r="F113" s="440">
        <f>+'3.면별급수현황'!D23</f>
        <v>16429</v>
      </c>
      <c r="G113" s="441">
        <f>AVERAGE(B113:F113)</f>
        <v>15697.2</v>
      </c>
      <c r="H113" s="353"/>
      <c r="J113" s="352" t="s">
        <v>1786</v>
      </c>
      <c r="K113" s="440">
        <f>+'3.면별급수현황'!D29</f>
        <v>15985</v>
      </c>
      <c r="L113" s="440">
        <f>+'3.면별급수현황'!D30</f>
        <v>16978</v>
      </c>
      <c r="M113" s="440">
        <f>+'3.면별급수현황'!D31</f>
        <v>18885</v>
      </c>
      <c r="N113" s="440">
        <f>+'3.면별급수현황'!D32</f>
        <v>19253</v>
      </c>
      <c r="O113" s="440">
        <f>+'3.면별급수현황'!D33</f>
        <v>20253</v>
      </c>
      <c r="P113" s="441">
        <f>AVERAGE(K113:O113)</f>
        <v>18270.8</v>
      </c>
      <c r="Q113" s="353"/>
    </row>
    <row r="114" spans="1:17" s="305" customFormat="1" ht="30" customHeight="1">
      <c r="A114" s="352" t="s">
        <v>1509</v>
      </c>
      <c r="B114" s="442">
        <f>+'3.면별급수현황'!G19</f>
        <v>4270</v>
      </c>
      <c r="C114" s="442">
        <f>+'3.면별급수현황'!G20</f>
        <v>3609</v>
      </c>
      <c r="D114" s="442">
        <f>+'3.면별급수현황'!G21</f>
        <v>3664</v>
      </c>
      <c r="E114" s="442">
        <f>+'3.면별급수현황'!G22</f>
        <v>3882</v>
      </c>
      <c r="F114" s="442">
        <f>+'3.면별급수현황'!G23</f>
        <v>4795</v>
      </c>
      <c r="G114" s="442">
        <f>AVERAGE(B114:F114)</f>
        <v>4044</v>
      </c>
      <c r="H114" s="354"/>
      <c r="J114" s="352" t="s">
        <v>1787</v>
      </c>
      <c r="K114" s="442">
        <f>+'3.면별급수현황'!G29</f>
        <v>5229</v>
      </c>
      <c r="L114" s="442">
        <f>+'3.면별급수현황'!G30</f>
        <v>3912</v>
      </c>
      <c r="M114" s="442">
        <f>+'3.면별급수현황'!G31</f>
        <v>4051</v>
      </c>
      <c r="N114" s="442">
        <f>+'3.면별급수현황'!G32</f>
        <v>4346</v>
      </c>
      <c r="O114" s="442">
        <f>+'3.면별급수현황'!G33</f>
        <v>5609</v>
      </c>
      <c r="P114" s="442">
        <f>AVERAGE(K114:O114)</f>
        <v>4629.3999999999996</v>
      </c>
      <c r="Q114" s="354"/>
    </row>
    <row r="115" spans="1:17" s="305" customFormat="1" ht="30" customHeight="1">
      <c r="A115" s="352" t="s">
        <v>338</v>
      </c>
      <c r="B115" s="443">
        <v>4.4999999999999998E-2</v>
      </c>
      <c r="C115" s="443">
        <v>4.4999999999999998E-2</v>
      </c>
      <c r="D115" s="443">
        <v>4.4999999999999998E-2</v>
      </c>
      <c r="E115" s="443">
        <v>4.4999999999999998E-2</v>
      </c>
      <c r="F115" s="443">
        <v>4.4999999999999998E-2</v>
      </c>
      <c r="G115" s="443">
        <f>AVERAGE(B115:F115)</f>
        <v>4.4999999999999998E-2</v>
      </c>
      <c r="H115" s="354"/>
      <c r="J115" s="352" t="s">
        <v>338</v>
      </c>
      <c r="K115" s="443">
        <f t="shared" ref="K115:O115" si="23">B115</f>
        <v>4.4999999999999998E-2</v>
      </c>
      <c r="L115" s="443">
        <f t="shared" si="23"/>
        <v>4.4999999999999998E-2</v>
      </c>
      <c r="M115" s="443">
        <f t="shared" si="23"/>
        <v>4.4999999999999998E-2</v>
      </c>
      <c r="N115" s="443">
        <f t="shared" si="23"/>
        <v>4.4999999999999998E-2</v>
      </c>
      <c r="O115" s="443">
        <f t="shared" si="23"/>
        <v>4.4999999999999998E-2</v>
      </c>
      <c r="P115" s="443">
        <f>AVERAGE(K115:O115)</f>
        <v>4.4999999999999998E-2</v>
      </c>
      <c r="Q115" s="354"/>
    </row>
    <row r="116" spans="1:17" s="305" customFormat="1" ht="30" customHeight="1">
      <c r="A116" s="352" t="s">
        <v>339</v>
      </c>
      <c r="B116" s="442">
        <f>+B114*B115</f>
        <v>192.15</v>
      </c>
      <c r="C116" s="442">
        <f>+C114*C115</f>
        <v>162.405</v>
      </c>
      <c r="D116" s="442">
        <f>+D114*D115</f>
        <v>164.88</v>
      </c>
      <c r="E116" s="442">
        <f>+E114*E115</f>
        <v>174.69</v>
      </c>
      <c r="F116" s="442">
        <f>+F114*F115</f>
        <v>215.77500000000001</v>
      </c>
      <c r="G116" s="442">
        <f>AVERAGE(B116:F116)</f>
        <v>181.98</v>
      </c>
      <c r="H116" s="354"/>
      <c r="J116" s="352" t="s">
        <v>339</v>
      </c>
      <c r="K116" s="442">
        <f>+K114*K115</f>
        <v>235.30499999999998</v>
      </c>
      <c r="L116" s="442">
        <f>+L114*L115</f>
        <v>176.04</v>
      </c>
      <c r="M116" s="442">
        <f>+M114*M115</f>
        <v>182.29499999999999</v>
      </c>
      <c r="N116" s="442">
        <f>+N114*N115</f>
        <v>195.57</v>
      </c>
      <c r="O116" s="442">
        <f>+O114*O115</f>
        <v>252.405</v>
      </c>
      <c r="P116" s="442">
        <f>AVERAGE(K116:O116)</f>
        <v>208.32300000000001</v>
      </c>
      <c r="Q116" s="354"/>
    </row>
    <row r="117" spans="1:17" s="305" customFormat="1" ht="30" customHeight="1">
      <c r="A117" s="352" t="s">
        <v>340</v>
      </c>
      <c r="B117" s="445">
        <f>+B116/B113*1000</f>
        <v>12.352147081511959</v>
      </c>
      <c r="C117" s="445">
        <f t="shared" ref="C117:F117" si="24">+C116/C113*1000</f>
        <v>10.249605553802461</v>
      </c>
      <c r="D117" s="445">
        <f t="shared" si="24"/>
        <v>10.828134235240034</v>
      </c>
      <c r="E117" s="445">
        <f t="shared" si="24"/>
        <v>11.322185494847364</v>
      </c>
      <c r="F117" s="445">
        <f t="shared" si="24"/>
        <v>13.133787814230933</v>
      </c>
      <c r="G117" s="446">
        <f>AVERAGE(B117:F117)</f>
        <v>11.57717203592655</v>
      </c>
      <c r="H117" s="447"/>
      <c r="J117" s="352" t="s">
        <v>340</v>
      </c>
      <c r="K117" s="445">
        <f>+K116/K113*1000</f>
        <v>14.720362840162652</v>
      </c>
      <c r="L117" s="445">
        <f t="shared" ref="L117:O117" si="25">+L116/L113*1000</f>
        <v>10.368712451407703</v>
      </c>
      <c r="M117" s="445">
        <f t="shared" si="25"/>
        <v>9.6528991262907073</v>
      </c>
      <c r="N117" s="445">
        <f t="shared" si="25"/>
        <v>10.157897470524073</v>
      </c>
      <c r="O117" s="445">
        <f t="shared" si="25"/>
        <v>12.462598133609836</v>
      </c>
      <c r="P117" s="446">
        <f>AVERAGE(K117:O117)</f>
        <v>11.472494004398994</v>
      </c>
      <c r="Q117" s="447"/>
    </row>
    <row r="118" spans="1:17" s="305" customFormat="1" ht="30" customHeight="1">
      <c r="A118" s="355" t="s">
        <v>55</v>
      </c>
      <c r="B118" s="1707">
        <v>12</v>
      </c>
      <c r="C118" s="1707"/>
      <c r="D118" s="1707"/>
      <c r="E118" s="1707"/>
      <c r="F118" s="1707"/>
      <c r="G118" s="1707"/>
      <c r="H118" s="356"/>
      <c r="J118" s="355" t="s">
        <v>55</v>
      </c>
      <c r="K118" s="1706">
        <f>P117</f>
        <v>11.472494004398994</v>
      </c>
      <c r="L118" s="1707"/>
      <c r="M118" s="1707"/>
      <c r="N118" s="1707"/>
      <c r="O118" s="1707"/>
      <c r="P118" s="1707"/>
      <c r="Q118" s="356"/>
    </row>
    <row r="119" spans="1:17" s="305" customFormat="1" ht="30" customHeight="1">
      <c r="A119" s="311" t="s">
        <v>342</v>
      </c>
      <c r="B119" s="313"/>
      <c r="C119" s="313"/>
      <c r="D119" s="313"/>
      <c r="E119" s="313"/>
      <c r="F119" s="313"/>
      <c r="G119" s="313"/>
      <c r="H119" s="313"/>
    </row>
    <row r="120" spans="1:17" s="305" customFormat="1" ht="30" customHeight="1">
      <c r="A120" s="1711" t="s">
        <v>310</v>
      </c>
      <c r="B120" s="1712"/>
      <c r="C120" s="1391" t="s">
        <v>879</v>
      </c>
      <c r="D120" s="1391" t="s">
        <v>314</v>
      </c>
      <c r="E120" s="1391" t="s">
        <v>315</v>
      </c>
      <c r="F120" s="1391" t="s">
        <v>316</v>
      </c>
      <c r="G120" s="1391" t="s">
        <v>317</v>
      </c>
      <c r="H120" s="327" t="s">
        <v>45</v>
      </c>
      <c r="J120" s="1700" t="s">
        <v>35</v>
      </c>
      <c r="K120" s="1702" t="s">
        <v>335</v>
      </c>
      <c r="L120" s="1702"/>
      <c r="M120" s="1702"/>
      <c r="N120" s="1702"/>
      <c r="O120" s="1702"/>
      <c r="P120" s="1702" t="s">
        <v>336</v>
      </c>
      <c r="Q120" s="1704" t="s">
        <v>337</v>
      </c>
    </row>
    <row r="121" spans="1:17" s="305" customFormat="1" ht="30" customHeight="1">
      <c r="A121" s="1759" t="s">
        <v>343</v>
      </c>
      <c r="B121" s="328" t="s">
        <v>944</v>
      </c>
      <c r="C121" s="1390">
        <v>11</v>
      </c>
      <c r="D121" s="1390">
        <v>11</v>
      </c>
      <c r="E121" s="1390">
        <v>11</v>
      </c>
      <c r="F121" s="1390">
        <v>11</v>
      </c>
      <c r="G121" s="1390">
        <v>11</v>
      </c>
      <c r="H121" s="1426"/>
      <c r="J121" s="1701"/>
      <c r="K121" s="1227" t="s">
        <v>1788</v>
      </c>
      <c r="L121" s="1227" t="s">
        <v>1789</v>
      </c>
      <c r="M121" s="1227" t="s">
        <v>1790</v>
      </c>
      <c r="N121" s="1227" t="s">
        <v>1791</v>
      </c>
      <c r="O121" s="1227" t="s">
        <v>1792</v>
      </c>
      <c r="P121" s="1703"/>
      <c r="Q121" s="1705"/>
    </row>
    <row r="122" spans="1:17" s="305" customFormat="1" ht="30" customHeight="1">
      <c r="A122" s="1760"/>
      <c r="B122" s="328" t="s">
        <v>945</v>
      </c>
      <c r="C122" s="1390">
        <v>12</v>
      </c>
      <c r="D122" s="1390">
        <v>12</v>
      </c>
      <c r="E122" s="1390">
        <v>12</v>
      </c>
      <c r="F122" s="1390">
        <v>12</v>
      </c>
      <c r="G122" s="1390">
        <v>12</v>
      </c>
      <c r="H122" s="1426"/>
      <c r="J122" s="352" t="s">
        <v>1796</v>
      </c>
      <c r="K122" s="440">
        <f>+'3.면별급수현황'!D69</f>
        <v>12562</v>
      </c>
      <c r="L122" s="440">
        <f>+'3.면별급수현황'!D70</f>
        <v>14898</v>
      </c>
      <c r="M122" s="440">
        <f>+'3.면별급수현황'!D71</f>
        <v>14201</v>
      </c>
      <c r="N122" s="440">
        <f>+'3.면별급수현황'!D72</f>
        <v>14561</v>
      </c>
      <c r="O122" s="440">
        <f>+'3.면별급수현황'!D73</f>
        <v>16561</v>
      </c>
      <c r="P122" s="441">
        <f>AVERAGE(K122:O122)</f>
        <v>14556.6</v>
      </c>
      <c r="Q122" s="353"/>
    </row>
    <row r="123" spans="1:17" s="305" customFormat="1" ht="30" customHeight="1">
      <c r="A123" s="1760"/>
      <c r="B123" s="330" t="s">
        <v>949</v>
      </c>
      <c r="C123" s="1390">
        <v>12</v>
      </c>
      <c r="D123" s="1390">
        <v>12</v>
      </c>
      <c r="E123" s="1390">
        <v>12</v>
      </c>
      <c r="F123" s="1390">
        <v>12</v>
      </c>
      <c r="G123" s="1390">
        <v>12</v>
      </c>
      <c r="H123" s="1426"/>
      <c r="J123" s="352" t="s">
        <v>1797</v>
      </c>
      <c r="K123" s="442">
        <f>+'3.면별급수현황'!G69</f>
        <v>4405</v>
      </c>
      <c r="L123" s="442">
        <f>+'3.면별급수현황'!G70</f>
        <v>2801</v>
      </c>
      <c r="M123" s="442">
        <f>+'3.면별급수현황'!G71</f>
        <v>2989</v>
      </c>
      <c r="N123" s="442">
        <f>+'3.면별급수현황'!G72</f>
        <v>3286</v>
      </c>
      <c r="O123" s="442">
        <f>+'3.면별급수현황'!G73</f>
        <v>4622</v>
      </c>
      <c r="P123" s="442">
        <f>AVERAGE(K123:O123)</f>
        <v>3620.6</v>
      </c>
      <c r="Q123" s="354"/>
    </row>
    <row r="124" spans="1:17" s="845" customFormat="1" ht="30" customHeight="1">
      <c r="A124" s="1760"/>
      <c r="B124" s="330" t="s">
        <v>1582</v>
      </c>
      <c r="C124" s="1390">
        <v>10</v>
      </c>
      <c r="D124" s="1390">
        <v>10</v>
      </c>
      <c r="E124" s="1390">
        <v>10</v>
      </c>
      <c r="F124" s="1390">
        <v>10</v>
      </c>
      <c r="G124" s="1390">
        <v>10</v>
      </c>
      <c r="H124" s="1426"/>
      <c r="J124" s="352" t="s">
        <v>338</v>
      </c>
      <c r="K124" s="443">
        <f>B115</f>
        <v>4.4999999999999998E-2</v>
      </c>
      <c r="L124" s="443">
        <f>C115</f>
        <v>4.4999999999999998E-2</v>
      </c>
      <c r="M124" s="443">
        <f>D115</f>
        <v>4.4999999999999998E-2</v>
      </c>
      <c r="N124" s="443">
        <f>E115</f>
        <v>4.4999999999999998E-2</v>
      </c>
      <c r="O124" s="443">
        <f>F115</f>
        <v>4.4999999999999998E-2</v>
      </c>
      <c r="P124" s="443">
        <f>AVERAGE(K124:O124)</f>
        <v>4.4999999999999998E-2</v>
      </c>
      <c r="Q124" s="354"/>
    </row>
    <row r="125" spans="1:17" s="845" customFormat="1" ht="30" customHeight="1">
      <c r="A125" s="1760"/>
      <c r="B125" s="330" t="s">
        <v>1497</v>
      </c>
      <c r="C125" s="1408">
        <v>12</v>
      </c>
      <c r="D125" s="1408">
        <v>12</v>
      </c>
      <c r="E125" s="1408">
        <v>12</v>
      </c>
      <c r="F125" s="1408">
        <v>12</v>
      </c>
      <c r="G125" s="1408">
        <v>12</v>
      </c>
      <c r="H125" s="1427"/>
      <c r="J125" s="352" t="s">
        <v>339</v>
      </c>
      <c r="K125" s="442">
        <f>+K123*K124</f>
        <v>198.22499999999999</v>
      </c>
      <c r="L125" s="442">
        <f>+L123*L124</f>
        <v>126.045</v>
      </c>
      <c r="M125" s="442">
        <f>+M123*M124</f>
        <v>134.505</v>
      </c>
      <c r="N125" s="442">
        <f>+N123*N124</f>
        <v>147.87</v>
      </c>
      <c r="O125" s="442">
        <f>+O123*O124</f>
        <v>207.98999999999998</v>
      </c>
      <c r="P125" s="442">
        <f>AVERAGE(K125:O125)</f>
        <v>162.92699999999999</v>
      </c>
      <c r="Q125" s="354"/>
    </row>
    <row r="126" spans="1:17" s="305" customFormat="1" ht="30" customHeight="1">
      <c r="A126" s="1761"/>
      <c r="B126" s="1409" t="s">
        <v>1580</v>
      </c>
      <c r="C126" s="1410">
        <v>10</v>
      </c>
      <c r="D126" s="1410">
        <v>10</v>
      </c>
      <c r="E126" s="1410">
        <v>10</v>
      </c>
      <c r="F126" s="1410">
        <v>10</v>
      </c>
      <c r="G126" s="1410">
        <v>10</v>
      </c>
      <c r="H126" s="1411"/>
      <c r="J126" s="352" t="s">
        <v>340</v>
      </c>
      <c r="K126" s="445">
        <f>+K125/K122*1000</f>
        <v>15.779732526667727</v>
      </c>
      <c r="L126" s="445">
        <f t="shared" ref="L126:O126" si="26">+L125/L122*1000</f>
        <v>8.4605316149818766</v>
      </c>
      <c r="M126" s="445">
        <f t="shared" si="26"/>
        <v>9.4715160904161664</v>
      </c>
      <c r="N126" s="445">
        <f t="shared" si="26"/>
        <v>10.15520912025273</v>
      </c>
      <c r="O126" s="445">
        <f t="shared" si="26"/>
        <v>12.559024213513675</v>
      </c>
      <c r="P126" s="446">
        <f>AVERAGE(K126:O126)</f>
        <v>11.285202713166434</v>
      </c>
      <c r="Q126" s="447"/>
    </row>
    <row r="127" spans="1:17" s="305" customFormat="1" ht="30" hidden="1" customHeight="1" outlineLevel="1">
      <c r="A127" s="1422"/>
      <c r="B127" s="1423" t="s">
        <v>948</v>
      </c>
      <c r="C127" s="1424">
        <v>12</v>
      </c>
      <c r="D127" s="1424">
        <v>12</v>
      </c>
      <c r="E127" s="1424">
        <v>12</v>
      </c>
      <c r="F127" s="1424">
        <v>12</v>
      </c>
      <c r="G127" s="1424">
        <v>12</v>
      </c>
      <c r="H127" s="1425"/>
      <c r="J127" s="355" t="s">
        <v>55</v>
      </c>
      <c r="K127" s="1706">
        <f>P126</f>
        <v>11.285202713166434</v>
      </c>
      <c r="L127" s="1707"/>
      <c r="M127" s="1707"/>
      <c r="N127" s="1707"/>
      <c r="O127" s="1707"/>
      <c r="P127" s="1707"/>
      <c r="Q127" s="356"/>
    </row>
    <row r="128" spans="1:17" s="305" customFormat="1" ht="30" customHeight="1" collapsed="1">
      <c r="A128" s="311" t="s">
        <v>1506</v>
      </c>
      <c r="B128" s="313"/>
      <c r="C128" s="313"/>
      <c r="D128" s="313"/>
      <c r="E128" s="313"/>
      <c r="F128" s="313"/>
      <c r="G128" s="313"/>
      <c r="H128" s="313"/>
      <c r="I128" s="845"/>
      <c r="J128" s="1413"/>
      <c r="K128" s="1414"/>
      <c r="L128" s="1415"/>
      <c r="M128" s="1415"/>
      <c r="N128" s="1415"/>
      <c r="O128" s="1415"/>
      <c r="P128" s="1415"/>
      <c r="Q128" s="1416"/>
    </row>
    <row r="129" spans="1:19" s="305" customFormat="1" ht="30" customHeight="1">
      <c r="A129" s="1717" t="s">
        <v>310</v>
      </c>
      <c r="B129" s="1718"/>
      <c r="C129" s="1037" t="s">
        <v>879</v>
      </c>
      <c r="D129" s="1037" t="s">
        <v>314</v>
      </c>
      <c r="E129" s="1037" t="s">
        <v>315</v>
      </c>
      <c r="F129" s="1037" t="s">
        <v>316</v>
      </c>
      <c r="G129" s="1037" t="s">
        <v>317</v>
      </c>
      <c r="H129" s="1038" t="s">
        <v>45</v>
      </c>
      <c r="J129" s="845" t="s">
        <v>103</v>
      </c>
      <c r="K129" s="845"/>
      <c r="L129" s="845"/>
      <c r="M129" s="845"/>
      <c r="N129" s="845"/>
      <c r="O129" s="845"/>
      <c r="P129" s="845"/>
      <c r="Q129" s="845"/>
    </row>
    <row r="130" spans="1:19" s="305" customFormat="1" ht="30" customHeight="1">
      <c r="A130" s="1719" t="s">
        <v>344</v>
      </c>
      <c r="B130" s="1016" t="s">
        <v>944</v>
      </c>
      <c r="C130" s="1039">
        <f t="shared" ref="C130:G135" si="27">ROUND(+C104+C121,0)</f>
        <v>260</v>
      </c>
      <c r="D130" s="1039">
        <f t="shared" si="27"/>
        <v>260</v>
      </c>
      <c r="E130" s="1039">
        <f t="shared" si="27"/>
        <v>260</v>
      </c>
      <c r="F130" s="1039">
        <f t="shared" si="27"/>
        <v>260</v>
      </c>
      <c r="G130" s="1039">
        <f t="shared" si="27"/>
        <v>260</v>
      </c>
      <c r="H130" s="1040"/>
      <c r="I130" s="455">
        <f>+D130-C130</f>
        <v>0</v>
      </c>
      <c r="J130" s="444" t="s">
        <v>305</v>
      </c>
      <c r="K130" s="444">
        <f>+K114*K115</f>
        <v>235.30499999999998</v>
      </c>
      <c r="L130" s="444">
        <f>+L114*L115</f>
        <v>176.04</v>
      </c>
      <c r="M130" s="444">
        <f>+M114*M115</f>
        <v>182.29499999999999</v>
      </c>
      <c r="N130" s="444">
        <f>+N114*N115</f>
        <v>195.57</v>
      </c>
      <c r="O130" s="845">
        <f>+O114*O115</f>
        <v>252.405</v>
      </c>
      <c r="P130" s="1230">
        <f>AVERAGE(K116:O116)</f>
        <v>208.32300000000001</v>
      </c>
      <c r="Q130" s="845"/>
    </row>
    <row r="131" spans="1:19" s="305" customFormat="1" ht="30" customHeight="1">
      <c r="A131" s="1720"/>
      <c r="B131" s="1016" t="s">
        <v>945</v>
      </c>
      <c r="C131" s="1039">
        <f t="shared" si="27"/>
        <v>255</v>
      </c>
      <c r="D131" s="1039">
        <f t="shared" si="27"/>
        <v>255</v>
      </c>
      <c r="E131" s="1039">
        <f t="shared" si="27"/>
        <v>255</v>
      </c>
      <c r="F131" s="1039">
        <f t="shared" si="27"/>
        <v>255</v>
      </c>
      <c r="G131" s="1039">
        <f t="shared" si="27"/>
        <v>255</v>
      </c>
      <c r="H131" s="1040"/>
      <c r="I131" s="455">
        <f>+D131-C131</f>
        <v>0</v>
      </c>
      <c r="J131" s="444" t="s">
        <v>340</v>
      </c>
      <c r="K131" s="444">
        <f>+K116/K113*1000</f>
        <v>14.720362840162652</v>
      </c>
      <c r="L131" s="444">
        <f>+L116/L113*1000</f>
        <v>10.368712451407703</v>
      </c>
      <c r="M131" s="444">
        <f>+M116/M113*1000</f>
        <v>9.6528991262907073</v>
      </c>
      <c r="N131" s="444">
        <f>+N116/N113*1000</f>
        <v>10.157897470524073</v>
      </c>
      <c r="O131" s="845">
        <f>+O116/O113*1000</f>
        <v>12.462598133609836</v>
      </c>
      <c r="P131" s="444">
        <f>AVERAGE(K117:O117)</f>
        <v>11.472494004398994</v>
      </c>
      <c r="Q131" s="845"/>
      <c r="R131" s="444">
        <f>+K132+Q132</f>
        <v>11.472494004398994</v>
      </c>
      <c r="S131" s="444">
        <f>+P132+Q132</f>
        <v>0</v>
      </c>
    </row>
    <row r="132" spans="1:19" s="845" customFormat="1" ht="30" customHeight="1">
      <c r="A132" s="1720"/>
      <c r="B132" s="1019" t="s">
        <v>949</v>
      </c>
      <c r="C132" s="1039">
        <f t="shared" si="27"/>
        <v>297</v>
      </c>
      <c r="D132" s="1039">
        <f t="shared" si="27"/>
        <v>297</v>
      </c>
      <c r="E132" s="1039">
        <f t="shared" si="27"/>
        <v>297</v>
      </c>
      <c r="F132" s="1039">
        <f t="shared" si="27"/>
        <v>297</v>
      </c>
      <c r="G132" s="1039">
        <f t="shared" si="27"/>
        <v>297</v>
      </c>
      <c r="H132" s="1040"/>
      <c r="I132" s="455">
        <f>+D132-C132</f>
        <v>0</v>
      </c>
      <c r="J132" s="444" t="s">
        <v>341</v>
      </c>
      <c r="K132" s="444">
        <f>P117</f>
        <v>11.472494004398994</v>
      </c>
      <c r="L132" s="444"/>
      <c r="M132" s="444"/>
      <c r="N132" s="444"/>
      <c r="P132" s="444"/>
      <c r="R132" s="444"/>
      <c r="S132" s="444"/>
    </row>
    <row r="133" spans="1:19" s="845" customFormat="1" ht="30" customHeight="1">
      <c r="A133" s="1720"/>
      <c r="B133" s="1019" t="s">
        <v>1582</v>
      </c>
      <c r="C133" s="1039">
        <f t="shared" si="27"/>
        <v>238</v>
      </c>
      <c r="D133" s="1039">
        <f t="shared" si="27"/>
        <v>238</v>
      </c>
      <c r="E133" s="1039">
        <f t="shared" si="27"/>
        <v>238</v>
      </c>
      <c r="F133" s="1039">
        <f t="shared" si="27"/>
        <v>238</v>
      </c>
      <c r="G133" s="1039">
        <f t="shared" si="27"/>
        <v>238</v>
      </c>
      <c r="H133" s="1040"/>
      <c r="I133" s="455"/>
      <c r="J133" s="444"/>
      <c r="K133" s="444"/>
      <c r="L133" s="444"/>
      <c r="M133" s="444"/>
      <c r="N133" s="444"/>
      <c r="P133" s="444"/>
      <c r="R133" s="444"/>
      <c r="S133" s="444"/>
    </row>
    <row r="134" spans="1:19" s="305" customFormat="1" ht="30" customHeight="1">
      <c r="A134" s="1720"/>
      <c r="B134" s="1019" t="s">
        <v>1497</v>
      </c>
      <c r="C134" s="1039">
        <f t="shared" si="27"/>
        <v>311</v>
      </c>
      <c r="D134" s="1039">
        <f t="shared" si="27"/>
        <v>311</v>
      </c>
      <c r="E134" s="1039">
        <f t="shared" si="27"/>
        <v>311</v>
      </c>
      <c r="F134" s="1039">
        <f t="shared" si="27"/>
        <v>311</v>
      </c>
      <c r="G134" s="1039">
        <f t="shared" si="27"/>
        <v>311</v>
      </c>
      <c r="H134" s="1018"/>
      <c r="I134" s="455"/>
      <c r="J134" s="444"/>
      <c r="K134" s="444"/>
      <c r="L134" s="444"/>
      <c r="M134" s="444"/>
      <c r="N134" s="444"/>
      <c r="O134" s="845"/>
      <c r="P134" s="444"/>
      <c r="Q134" s="845"/>
    </row>
    <row r="135" spans="1:19" s="305" customFormat="1" ht="30" customHeight="1">
      <c r="A135" s="1721"/>
      <c r="B135" s="1022" t="s">
        <v>1580</v>
      </c>
      <c r="C135" s="1042">
        <f t="shared" si="27"/>
        <v>256</v>
      </c>
      <c r="D135" s="1042">
        <f t="shared" si="27"/>
        <v>256</v>
      </c>
      <c r="E135" s="1042">
        <f t="shared" si="27"/>
        <v>256</v>
      </c>
      <c r="F135" s="1042">
        <f t="shared" si="27"/>
        <v>256</v>
      </c>
      <c r="G135" s="1042">
        <f t="shared" si="27"/>
        <v>256</v>
      </c>
      <c r="H135" s="1041"/>
      <c r="I135" s="455">
        <f>+D135-C135</f>
        <v>0</v>
      </c>
      <c r="J135" s="444">
        <f>+C135*0.9</f>
        <v>230.4</v>
      </c>
      <c r="K135" s="444">
        <f>+D135*0.9</f>
        <v>230.4</v>
      </c>
      <c r="L135" s="444">
        <f>+E135*0.9</f>
        <v>230.4</v>
      </c>
      <c r="M135" s="444">
        <f>+F135*0.9</f>
        <v>230.4</v>
      </c>
      <c r="N135" s="444">
        <f>+G135*0.9</f>
        <v>230.4</v>
      </c>
      <c r="P135" s="305">
        <f>+K135/0.8</f>
        <v>288</v>
      </c>
      <c r="Q135" s="444"/>
    </row>
    <row r="136" spans="1:19" s="845" customFormat="1" ht="30" hidden="1" customHeight="1" outlineLevel="1">
      <c r="A136" s="1719" t="s">
        <v>1919</v>
      </c>
      <c r="B136" s="1016" t="s">
        <v>944</v>
      </c>
      <c r="C136" s="1039">
        <f>ROUND(C130/0.9,0)</f>
        <v>289</v>
      </c>
      <c r="D136" s="1039">
        <f t="shared" ref="D136:G136" si="28">ROUND(D130/0.9,0)</f>
        <v>289</v>
      </c>
      <c r="E136" s="1039">
        <f t="shared" si="28"/>
        <v>289</v>
      </c>
      <c r="F136" s="1039">
        <f t="shared" si="28"/>
        <v>289</v>
      </c>
      <c r="G136" s="1039">
        <f t="shared" si="28"/>
        <v>289</v>
      </c>
      <c r="H136" s="1040"/>
      <c r="I136" s="455">
        <f>+D136-C136</f>
        <v>0</v>
      </c>
      <c r="J136" s="444" t="s">
        <v>305</v>
      </c>
      <c r="K136" s="444" t="e">
        <f>+K120*K121</f>
        <v>#VALUE!</v>
      </c>
      <c r="L136" s="444" t="e">
        <f>+L120*L121</f>
        <v>#VALUE!</v>
      </c>
      <c r="M136" s="444" t="e">
        <f>+M120*M121</f>
        <v>#VALUE!</v>
      </c>
      <c r="N136" s="444" t="e">
        <f>+N120*N121</f>
        <v>#VALUE!</v>
      </c>
      <c r="O136" s="845" t="e">
        <f>+O120*O121</f>
        <v>#VALUE!</v>
      </c>
      <c r="P136" s="1230">
        <f>AVERAGE(K122:O122)</f>
        <v>14556.6</v>
      </c>
    </row>
    <row r="137" spans="1:19" s="845" customFormat="1" ht="30" hidden="1" customHeight="1" outlineLevel="1">
      <c r="A137" s="1720"/>
      <c r="B137" s="1016" t="s">
        <v>945</v>
      </c>
      <c r="C137" s="1039">
        <f t="shared" ref="C137:G137" si="29">ROUND(C131/0.9,0)</f>
        <v>283</v>
      </c>
      <c r="D137" s="1039">
        <f t="shared" si="29"/>
        <v>283</v>
      </c>
      <c r="E137" s="1039">
        <f t="shared" si="29"/>
        <v>283</v>
      </c>
      <c r="F137" s="1039">
        <f t="shared" si="29"/>
        <v>283</v>
      </c>
      <c r="G137" s="1039">
        <f t="shared" si="29"/>
        <v>283</v>
      </c>
      <c r="H137" s="1040"/>
      <c r="I137" s="455">
        <f>+D137-C137</f>
        <v>0</v>
      </c>
      <c r="J137" s="444" t="s">
        <v>340</v>
      </c>
      <c r="K137" s="444" t="e">
        <f>+K122/K119*1000</f>
        <v>#DIV/0!</v>
      </c>
      <c r="L137" s="444" t="e">
        <f>+L122/L119*1000</f>
        <v>#DIV/0!</v>
      </c>
      <c r="M137" s="444" t="e">
        <f>+M122/M119*1000</f>
        <v>#DIV/0!</v>
      </c>
      <c r="N137" s="444" t="e">
        <f>+N122/N119*1000</f>
        <v>#DIV/0!</v>
      </c>
      <c r="O137" s="845" t="e">
        <f>+O122/O119*1000</f>
        <v>#DIV/0!</v>
      </c>
      <c r="P137" s="444">
        <f>AVERAGE(K123:O123)</f>
        <v>3620.6</v>
      </c>
      <c r="R137" s="444">
        <f>+K138+Q138</f>
        <v>3620.6</v>
      </c>
      <c r="S137" s="444">
        <f>+P138+Q138</f>
        <v>0</v>
      </c>
    </row>
    <row r="138" spans="1:19" s="845" customFormat="1" ht="30" hidden="1" customHeight="1" outlineLevel="1">
      <c r="A138" s="1720"/>
      <c r="B138" s="1019" t="s">
        <v>949</v>
      </c>
      <c r="C138" s="1039">
        <f t="shared" ref="C138:G138" si="30">ROUND(C132/0.9,0)</f>
        <v>330</v>
      </c>
      <c r="D138" s="1039">
        <f t="shared" si="30"/>
        <v>330</v>
      </c>
      <c r="E138" s="1039">
        <f t="shared" si="30"/>
        <v>330</v>
      </c>
      <c r="F138" s="1039">
        <f t="shared" si="30"/>
        <v>330</v>
      </c>
      <c r="G138" s="1039">
        <f t="shared" si="30"/>
        <v>330</v>
      </c>
      <c r="H138" s="1040"/>
      <c r="I138" s="455">
        <f>+D138-C138</f>
        <v>0</v>
      </c>
      <c r="J138" s="444" t="s">
        <v>341</v>
      </c>
      <c r="K138" s="444">
        <f>P123</f>
        <v>3620.6</v>
      </c>
      <c r="L138" s="444"/>
      <c r="M138" s="444"/>
      <c r="N138" s="444"/>
      <c r="P138" s="444"/>
      <c r="R138" s="444"/>
      <c r="S138" s="444"/>
    </row>
    <row r="139" spans="1:19" s="845" customFormat="1" ht="30" hidden="1" customHeight="1" outlineLevel="1">
      <c r="A139" s="1720"/>
      <c r="B139" s="1019" t="s">
        <v>950</v>
      </c>
      <c r="C139" s="1039">
        <f t="shared" ref="C139:G139" si="31">ROUND(C133/0.9,0)</f>
        <v>264</v>
      </c>
      <c r="D139" s="1039">
        <f t="shared" si="31"/>
        <v>264</v>
      </c>
      <c r="E139" s="1039">
        <f t="shared" si="31"/>
        <v>264</v>
      </c>
      <c r="F139" s="1039">
        <f t="shared" si="31"/>
        <v>264</v>
      </c>
      <c r="G139" s="1039">
        <f t="shared" si="31"/>
        <v>264</v>
      </c>
      <c r="H139" s="1040"/>
      <c r="I139" s="455"/>
      <c r="J139" s="444"/>
      <c r="K139" s="444"/>
      <c r="L139" s="444"/>
      <c r="M139" s="444"/>
      <c r="N139" s="444"/>
      <c r="P139" s="444"/>
      <c r="R139" s="444"/>
      <c r="S139" s="444"/>
    </row>
    <row r="140" spans="1:19" s="845" customFormat="1" ht="30" hidden="1" customHeight="1" outlineLevel="1">
      <c r="A140" s="1720"/>
      <c r="B140" s="1019" t="s">
        <v>1497</v>
      </c>
      <c r="C140" s="1039">
        <f t="shared" ref="C140:G140" si="32">ROUND(C134/0.9,0)</f>
        <v>346</v>
      </c>
      <c r="D140" s="1039">
        <f t="shared" si="32"/>
        <v>346</v>
      </c>
      <c r="E140" s="1039">
        <f t="shared" si="32"/>
        <v>346</v>
      </c>
      <c r="F140" s="1039">
        <f t="shared" si="32"/>
        <v>346</v>
      </c>
      <c r="G140" s="1039">
        <f t="shared" si="32"/>
        <v>346</v>
      </c>
      <c r="H140" s="1018"/>
      <c r="I140" s="455"/>
      <c r="J140" s="444"/>
      <c r="K140" s="444"/>
      <c r="L140" s="444"/>
      <c r="M140" s="444"/>
      <c r="N140" s="444"/>
      <c r="P140" s="444"/>
    </row>
    <row r="141" spans="1:19" s="845" customFormat="1" ht="30" hidden="1" customHeight="1" outlineLevel="1">
      <c r="A141" s="1721"/>
      <c r="B141" s="1022" t="s">
        <v>951</v>
      </c>
      <c r="C141" s="1042">
        <f t="shared" ref="C141:G141" si="33">ROUND(C135/0.9,0)</f>
        <v>284</v>
      </c>
      <c r="D141" s="1042">
        <f t="shared" si="33"/>
        <v>284</v>
      </c>
      <c r="E141" s="1042">
        <f t="shared" si="33"/>
        <v>284</v>
      </c>
      <c r="F141" s="1042">
        <f t="shared" si="33"/>
        <v>284</v>
      </c>
      <c r="G141" s="1042">
        <f t="shared" si="33"/>
        <v>284</v>
      </c>
      <c r="H141" s="1041"/>
      <c r="I141" s="455">
        <f>+D141-C141</f>
        <v>0</v>
      </c>
      <c r="J141" s="444">
        <f>+C141*0.9</f>
        <v>255.6</v>
      </c>
      <c r="K141" s="444">
        <f>+D141*0.9</f>
        <v>255.6</v>
      </c>
      <c r="L141" s="444">
        <f>+E141*0.9</f>
        <v>255.6</v>
      </c>
      <c r="M141" s="444">
        <f>+F141*0.9</f>
        <v>255.6</v>
      </c>
      <c r="N141" s="444">
        <f>+G141*0.9</f>
        <v>255.6</v>
      </c>
      <c r="P141" s="845">
        <f>+K141/0.8</f>
        <v>319.5</v>
      </c>
      <c r="Q141" s="444"/>
    </row>
    <row r="142" spans="1:19" s="845" customFormat="1" ht="26.1" customHeight="1" collapsed="1">
      <c r="A142" s="315"/>
      <c r="B142" s="315"/>
      <c r="C142" s="316"/>
      <c r="D142" s="316"/>
      <c r="E142" s="316"/>
      <c r="F142" s="316"/>
      <c r="G142" s="316"/>
      <c r="H142" s="317"/>
      <c r="I142" s="305"/>
      <c r="J142" s="305"/>
      <c r="K142" s="305"/>
      <c r="L142" s="305"/>
      <c r="M142" s="305"/>
      <c r="N142" s="305"/>
      <c r="O142" s="305"/>
      <c r="P142" s="305"/>
      <c r="Q142" s="305"/>
    </row>
    <row r="143" spans="1:19" s="845" customFormat="1" ht="26.1" customHeight="1">
      <c r="A143" s="312" t="s">
        <v>1500</v>
      </c>
      <c r="B143" s="301"/>
      <c r="C143" s="301"/>
      <c r="D143" s="301"/>
      <c r="E143" s="301"/>
      <c r="F143" s="301"/>
      <c r="G143" s="301"/>
      <c r="H143" s="301"/>
    </row>
    <row r="144" spans="1:19" s="845" customFormat="1" ht="26.1" customHeight="1">
      <c r="A144" s="310" t="s">
        <v>1501</v>
      </c>
      <c r="B144" s="301"/>
      <c r="C144" s="301"/>
      <c r="D144" s="301"/>
      <c r="E144" s="301"/>
      <c r="F144" s="301"/>
      <c r="G144" s="301"/>
      <c r="H144" s="301"/>
    </row>
    <row r="145" spans="1:21" s="845" customFormat="1" ht="26.1" customHeight="1">
      <c r="A145" s="1754" t="s">
        <v>135</v>
      </c>
      <c r="B145" s="1748"/>
      <c r="C145" s="1748" t="s">
        <v>1817</v>
      </c>
      <c r="D145" s="1748" t="s">
        <v>18</v>
      </c>
      <c r="E145" s="1748"/>
      <c r="F145" s="1748"/>
      <c r="G145" s="1748" t="s">
        <v>95</v>
      </c>
      <c r="H145" s="1744" t="s">
        <v>1014</v>
      </c>
    </row>
    <row r="146" spans="1:21" s="845" customFormat="1" ht="26.1" customHeight="1">
      <c r="A146" s="1755"/>
      <c r="B146" s="1749"/>
      <c r="C146" s="1749"/>
      <c r="D146" s="915" t="s">
        <v>19</v>
      </c>
      <c r="E146" s="915" t="s">
        <v>12</v>
      </c>
      <c r="F146" s="914" t="s">
        <v>13</v>
      </c>
      <c r="G146" s="1750"/>
      <c r="H146" s="1745"/>
    </row>
    <row r="147" spans="1:21" s="845" customFormat="1" ht="26.1" customHeight="1">
      <c r="A147" s="1756" t="s">
        <v>1503</v>
      </c>
      <c r="B147" s="345" t="s">
        <v>66</v>
      </c>
      <c r="C147" s="346">
        <f>'6. 물사용량 실적산정'!D4</f>
        <v>49723</v>
      </c>
      <c r="D147" s="346">
        <f>'6. 물사용량 실적산정'!F4</f>
        <v>14882.599999999997</v>
      </c>
      <c r="E147" s="346">
        <v>10844.947945205478</v>
      </c>
      <c r="F147" s="346">
        <v>4037.6520547945202</v>
      </c>
      <c r="G147" s="346">
        <f>'6. 물사용량 실적산정'!I4</f>
        <v>299.31017838827097</v>
      </c>
      <c r="H147" s="347"/>
    </row>
    <row r="148" spans="1:21" s="845" customFormat="1" ht="26.1" customHeight="1">
      <c r="A148" s="1757"/>
      <c r="B148" s="345" t="s">
        <v>67</v>
      </c>
      <c r="C148" s="346">
        <f xml:space="preserve"> '6. 물사용량 실적산정'!D5</f>
        <v>50630</v>
      </c>
      <c r="D148" s="346">
        <f>'6. 물사용량 실적산정'!F5</f>
        <v>15995.430136986302</v>
      </c>
      <c r="E148" s="346">
        <v>12263.824657534247</v>
      </c>
      <c r="F148" s="346">
        <v>3731.6054794520555</v>
      </c>
      <c r="G148" s="346">
        <f>'6. 물사용량 실적산정'!I5</f>
        <v>315.92791106036543</v>
      </c>
      <c r="H148" s="347"/>
    </row>
    <row r="149" spans="1:21" s="845" customFormat="1" ht="26.1" customHeight="1">
      <c r="A149" s="1757"/>
      <c r="B149" s="345" t="s">
        <v>68</v>
      </c>
      <c r="C149" s="346">
        <f>'6. 물사용량 실적산정'!D6</f>
        <v>50137</v>
      </c>
      <c r="D149" s="346">
        <f>'6. 물사용량 실적산정'!F6</f>
        <v>17079.008219178082</v>
      </c>
      <c r="E149" s="346">
        <v>13126.715068493151</v>
      </c>
      <c r="F149" s="346">
        <v>3952.2931506849318</v>
      </c>
      <c r="G149" s="346">
        <f>'6. 물사용량 실적산정'!I6</f>
        <v>340.64679217300761</v>
      </c>
      <c r="H149" s="347"/>
    </row>
    <row r="150" spans="1:21" s="845" customFormat="1" ht="26.1" customHeight="1">
      <c r="A150" s="1757"/>
      <c r="B150" s="345" t="s">
        <v>877</v>
      </c>
      <c r="C150" s="346">
        <f>'6. 물사용량 실적산정'!D7</f>
        <v>53756</v>
      </c>
      <c r="D150" s="346">
        <f>'6. 물사용량 실적산정'!F7</f>
        <v>16193.876712328769</v>
      </c>
      <c r="E150" s="346">
        <v>12286.509589041098</v>
      </c>
      <c r="F150" s="346">
        <v>3907.3671232876713</v>
      </c>
      <c r="G150" s="346">
        <f>'6. 물사용량 실적산정'!I7</f>
        <v>301.24779954477208</v>
      </c>
      <c r="H150" s="347"/>
    </row>
    <row r="151" spans="1:21" s="845" customFormat="1" ht="26.1" customHeight="1">
      <c r="A151" s="1757"/>
      <c r="B151" s="345" t="s">
        <v>50</v>
      </c>
      <c r="C151" s="346">
        <f>'6. 물사용량 실적산정'!D8</f>
        <v>59004.063636816078</v>
      </c>
      <c r="D151" s="346">
        <f>'6. 물사용량 실적산정'!F8</f>
        <v>17501.131506849317</v>
      </c>
      <c r="E151" s="346">
        <v>13249.410958904111</v>
      </c>
      <c r="F151" s="346">
        <v>4251.7205479452059</v>
      </c>
      <c r="G151" s="346">
        <f>'6. 물사용량 실적산정'!I8</f>
        <v>296.60891857504777</v>
      </c>
      <c r="H151" s="347"/>
    </row>
    <row r="152" spans="1:21" s="845" customFormat="1" ht="26.1" customHeight="1">
      <c r="A152" s="1757"/>
      <c r="B152" s="345" t="s">
        <v>1502</v>
      </c>
      <c r="C152" s="346">
        <f>'6. 물사용량 실적산정'!D9</f>
        <v>64641.84</v>
      </c>
      <c r="D152" s="346">
        <f>'6. 물사용량 실적산정'!F9</f>
        <v>19097.073972602746</v>
      </c>
      <c r="E152" s="346">
        <v>14108.013698630139</v>
      </c>
      <c r="F152" s="346">
        <v>4989.0602739726019</v>
      </c>
      <c r="G152" s="346">
        <f>'6. 물사용량 실적산정'!I9</f>
        <v>295.42899726559062</v>
      </c>
      <c r="H152" s="347"/>
    </row>
    <row r="153" spans="1:21" s="845" customFormat="1" ht="26.1" customHeight="1">
      <c r="A153" s="1758"/>
      <c r="B153" s="1286" t="s">
        <v>1818</v>
      </c>
      <c r="C153" s="346">
        <f>'6. 물사용량 실적산정'!D10</f>
        <v>67101</v>
      </c>
      <c r="D153" s="346">
        <f>'6. 물사용량 실적산정'!F10</f>
        <v>19644.373626373628</v>
      </c>
      <c r="E153" s="346">
        <v>14329.549450549452</v>
      </c>
      <c r="F153" s="346">
        <v>5314.8241758241757</v>
      </c>
      <c r="G153" s="346">
        <f>'6. 물사용량 실적산정'!I10</f>
        <v>292.75828417420945</v>
      </c>
      <c r="H153" s="1285"/>
    </row>
    <row r="154" spans="1:21" s="845" customFormat="1" ht="26.1" customHeight="1">
      <c r="A154" s="1746" t="s">
        <v>273</v>
      </c>
      <c r="B154" s="314" t="s">
        <v>1832</v>
      </c>
      <c r="C154" s="912">
        <f>AVERAGE(C147:C153)</f>
        <v>56427.557662402294</v>
      </c>
      <c r="D154" s="912">
        <f t="shared" ref="D154:F154" si="34">AVERAGE(D147:D153)</f>
        <v>17199.070596331261</v>
      </c>
      <c r="E154" s="912">
        <f t="shared" si="34"/>
        <v>12886.995909765383</v>
      </c>
      <c r="F154" s="912">
        <f t="shared" si="34"/>
        <v>4312.0746865658793</v>
      </c>
      <c r="G154" s="912">
        <f>AVERAGE(G147:G152)</f>
        <v>308.19509950117578</v>
      </c>
      <c r="H154" s="913"/>
    </row>
    <row r="155" spans="1:21" s="845" customFormat="1" ht="26.1" customHeight="1">
      <c r="A155" s="1746"/>
      <c r="B155" s="314" t="s">
        <v>308</v>
      </c>
      <c r="C155" s="912">
        <f>AVERAGE(C149:C153)</f>
        <v>58927.980727363218</v>
      </c>
      <c r="D155" s="912">
        <f t="shared" ref="D155:F155" si="35">AVERAGE(D149:D153)</f>
        <v>17903.092807466506</v>
      </c>
      <c r="E155" s="912">
        <f t="shared" si="35"/>
        <v>13420.03975312359</v>
      </c>
      <c r="F155" s="912">
        <f t="shared" si="35"/>
        <v>4483.0530543429177</v>
      </c>
      <c r="G155" s="912">
        <f t="shared" ref="G155" si="36">AVERAGE(G148:G152)</f>
        <v>309.97208372375673</v>
      </c>
      <c r="H155" s="913"/>
    </row>
    <row r="156" spans="1:21" s="845" customFormat="1" ht="30" customHeight="1">
      <c r="A156" s="1747"/>
      <c r="B156" s="349" t="s">
        <v>309</v>
      </c>
      <c r="C156" s="910">
        <f>AVERAGE(C151:C153)</f>
        <v>63582.301212272025</v>
      </c>
      <c r="D156" s="910">
        <f t="shared" ref="D156:F156" si="37">AVERAGE(D151:D153)</f>
        <v>18747.526368608564</v>
      </c>
      <c r="E156" s="910">
        <f t="shared" si="37"/>
        <v>13895.658036027899</v>
      </c>
      <c r="F156" s="910">
        <f t="shared" si="37"/>
        <v>4851.8683325806605</v>
      </c>
      <c r="G156" s="910">
        <f>AVERAGE(G151:G153)</f>
        <v>294.93206667161593</v>
      </c>
      <c r="H156" s="911"/>
    </row>
    <row r="157" spans="1:21" s="845" customFormat="1" ht="30" customHeight="1">
      <c r="A157" s="310" t="s">
        <v>1814</v>
      </c>
      <c r="B157" s="313"/>
      <c r="C157" s="313"/>
      <c r="D157" s="313"/>
      <c r="E157" s="313"/>
      <c r="F157" s="313"/>
      <c r="G157" s="313"/>
      <c r="H157" s="313"/>
    </row>
    <row r="158" spans="1:21" s="845" customFormat="1" ht="30" customHeight="1">
      <c r="A158" s="1722" t="s">
        <v>310</v>
      </c>
      <c r="B158" s="1723"/>
      <c r="C158" s="1402" t="s">
        <v>1504</v>
      </c>
      <c r="D158" s="1402" t="s">
        <v>314</v>
      </c>
      <c r="E158" s="1402" t="s">
        <v>315</v>
      </c>
      <c r="F158" s="1402" t="s">
        <v>316</v>
      </c>
      <c r="G158" s="1402" t="s">
        <v>317</v>
      </c>
      <c r="H158" s="1403" t="s">
        <v>45</v>
      </c>
      <c r="J158" s="1277">
        <v>2011</v>
      </c>
      <c r="K158" s="1277">
        <v>2012</v>
      </c>
      <c r="L158" s="1277">
        <v>2013</v>
      </c>
      <c r="M158" s="1277">
        <v>2014</v>
      </c>
      <c r="N158" s="1277">
        <v>2015</v>
      </c>
      <c r="O158" s="1277">
        <v>2016</v>
      </c>
      <c r="P158" s="1277">
        <v>2017</v>
      </c>
      <c r="R158" s="444"/>
      <c r="S158" s="444"/>
      <c r="T158" s="444"/>
      <c r="U158" s="444"/>
    </row>
    <row r="159" spans="1:21" s="845" customFormat="1" ht="30" customHeight="1">
      <c r="A159" s="1751" t="s">
        <v>344</v>
      </c>
      <c r="B159" s="1016" t="s">
        <v>944</v>
      </c>
      <c r="C159" s="1039">
        <f t="shared" ref="C159:C164" si="38">P159+C121</f>
        <v>266</v>
      </c>
      <c r="D159" s="1039">
        <f>'물사용량 수학적추정'!E17+D121</f>
        <v>233.5</v>
      </c>
      <c r="E159" s="1039">
        <f>'물사용량 수학적추정'!F17+E121</f>
        <v>192.5</v>
      </c>
      <c r="F159" s="1039">
        <f>'물사용량 수학적추정'!G17+F121</f>
        <v>155</v>
      </c>
      <c r="G159" s="1039">
        <f>'물사용량 수학적추정'!H17+G121</f>
        <v>119</v>
      </c>
      <c r="H159" s="1404"/>
      <c r="I159" s="455">
        <f>+D159-C159</f>
        <v>-32.5</v>
      </c>
      <c r="J159" s="1278">
        <v>231</v>
      </c>
      <c r="K159" s="1278">
        <v>248</v>
      </c>
      <c r="L159" s="1278">
        <v>257</v>
      </c>
      <c r="M159" s="1278">
        <v>238</v>
      </c>
      <c r="N159" s="1278">
        <v>255</v>
      </c>
      <c r="O159" s="1278">
        <v>257</v>
      </c>
      <c r="P159" s="1278">
        <v>255</v>
      </c>
      <c r="Q159" s="444"/>
      <c r="R159" s="444"/>
      <c r="S159" s="444"/>
      <c r="T159" s="444"/>
      <c r="U159" s="444"/>
    </row>
    <row r="160" spans="1:21" s="845" customFormat="1" ht="30" customHeight="1">
      <c r="A160" s="1752"/>
      <c r="B160" s="1016" t="s">
        <v>945</v>
      </c>
      <c r="C160" s="1039">
        <f t="shared" si="38"/>
        <v>286</v>
      </c>
      <c r="D160" s="1039">
        <f>'물사용량 수학적추정'!E33+D122</f>
        <v>293</v>
      </c>
      <c r="E160" s="1039">
        <f>'물사용량 수학적추정'!F33+E122</f>
        <v>311.5</v>
      </c>
      <c r="F160" s="1039">
        <f>'물사용량 수학적추정'!G33+F122</f>
        <v>331</v>
      </c>
      <c r="G160" s="1039">
        <f>'물사용량 수학적추정'!H33+G122</f>
        <v>350.5</v>
      </c>
      <c r="H160" s="1404"/>
      <c r="I160" s="455">
        <f>+D160-C160</f>
        <v>7</v>
      </c>
      <c r="J160" s="1278">
        <v>227</v>
      </c>
      <c r="K160" s="1278">
        <v>215</v>
      </c>
      <c r="L160" s="1278">
        <v>226</v>
      </c>
      <c r="M160" s="1278">
        <v>224</v>
      </c>
      <c r="N160" s="1278">
        <v>240</v>
      </c>
      <c r="O160" s="1278">
        <v>267</v>
      </c>
      <c r="P160" s="1278">
        <v>274</v>
      </c>
      <c r="Q160" s="444"/>
      <c r="R160" s="444"/>
      <c r="S160" s="444"/>
      <c r="T160" s="444"/>
      <c r="U160" s="444"/>
    </row>
    <row r="161" spans="1:21" s="845" customFormat="1" ht="30" customHeight="1">
      <c r="A161" s="1752"/>
      <c r="B161" s="1019" t="s">
        <v>949</v>
      </c>
      <c r="C161" s="1039">
        <f t="shared" si="38"/>
        <v>276</v>
      </c>
      <c r="D161" s="1039">
        <f>'물사용량 수학적추정'!E50+D123</f>
        <v>254.5</v>
      </c>
      <c r="E161" s="1039">
        <f>'물사용량 수학적추정'!F50+E123</f>
        <v>222.5</v>
      </c>
      <c r="F161" s="1039">
        <f>'물사용량 수학적추정'!G50+F123</f>
        <v>193</v>
      </c>
      <c r="G161" s="1039">
        <f>'물사용량 수학적추정'!H50+G123</f>
        <v>164.5</v>
      </c>
      <c r="H161" s="1404"/>
      <c r="I161" s="455">
        <f>+D161-C161</f>
        <v>-21.5</v>
      </c>
      <c r="J161" s="1278">
        <v>188</v>
      </c>
      <c r="K161" s="1278">
        <v>211</v>
      </c>
      <c r="L161" s="1278">
        <v>226</v>
      </c>
      <c r="M161" s="1278">
        <v>212</v>
      </c>
      <c r="N161" s="1278">
        <v>227</v>
      </c>
      <c r="O161" s="1278">
        <v>269</v>
      </c>
      <c r="P161" s="1278">
        <v>264</v>
      </c>
      <c r="Q161" s="444"/>
      <c r="R161" s="444"/>
      <c r="S161" s="444"/>
      <c r="T161" s="444"/>
      <c r="U161" s="444"/>
    </row>
    <row r="162" spans="1:21" s="845" customFormat="1" ht="30" customHeight="1">
      <c r="A162" s="1752"/>
      <c r="B162" s="1019" t="s">
        <v>950</v>
      </c>
      <c r="C162" s="1039">
        <f t="shared" si="38"/>
        <v>233</v>
      </c>
      <c r="D162" s="1039">
        <f>'물사용량 수학적추정'!E67+D124</f>
        <v>273.5</v>
      </c>
      <c r="E162" s="1039">
        <f>'물사용량 수학적추정'!F67+E124</f>
        <v>345.5</v>
      </c>
      <c r="F162" s="1039">
        <f>'물사용량 수학적추정'!G67+F124</f>
        <v>432</v>
      </c>
      <c r="G162" s="1039">
        <f>'물사용량 수학적추정'!H67+G124</f>
        <v>539</v>
      </c>
      <c r="H162" s="1404"/>
      <c r="I162" s="455"/>
      <c r="J162" s="1278">
        <v>123</v>
      </c>
      <c r="K162" s="1278">
        <v>240</v>
      </c>
      <c r="L162" s="1278">
        <v>214</v>
      </c>
      <c r="M162" s="1278">
        <v>185</v>
      </c>
      <c r="N162" s="1278">
        <v>206</v>
      </c>
      <c r="O162" s="1278">
        <v>214</v>
      </c>
      <c r="P162" s="1278">
        <v>223</v>
      </c>
      <c r="Q162" s="444"/>
      <c r="R162" s="444"/>
      <c r="S162" s="444"/>
      <c r="T162" s="444"/>
      <c r="U162" s="444"/>
    </row>
    <row r="163" spans="1:21" s="845" customFormat="1" ht="30" customHeight="1">
      <c r="A163" s="1752"/>
      <c r="B163" s="1019" t="s">
        <v>1497</v>
      </c>
      <c r="C163" s="1039">
        <f t="shared" si="38"/>
        <v>282</v>
      </c>
      <c r="D163" s="1039">
        <f>'물사용량 수학적추정'!E84+D125</f>
        <v>189.5</v>
      </c>
      <c r="E163" s="1039">
        <f>'물사용량 수학적추정'!F84+E125</f>
        <v>145.5</v>
      </c>
      <c r="F163" s="1039">
        <f>'물사용량 수학적추정'!G84+F125</f>
        <v>105</v>
      </c>
      <c r="G163" s="1039">
        <f>'물사용량 수학적추정'!H84+G125</f>
        <v>67.5</v>
      </c>
      <c r="H163" s="1404"/>
      <c r="I163" s="455"/>
      <c r="J163" s="1278">
        <v>248</v>
      </c>
      <c r="K163" s="1278">
        <v>242</v>
      </c>
      <c r="L163" s="1278">
        <v>249</v>
      </c>
      <c r="M163" s="1278">
        <v>262</v>
      </c>
      <c r="N163" s="1278">
        <v>260</v>
      </c>
      <c r="O163" s="1278">
        <v>290</v>
      </c>
      <c r="P163" s="1278">
        <v>270</v>
      </c>
      <c r="Q163" s="444"/>
      <c r="R163" s="444"/>
      <c r="S163" s="444"/>
      <c r="T163" s="444"/>
      <c r="U163" s="444"/>
    </row>
    <row r="164" spans="1:21" s="845" customFormat="1" ht="30" customHeight="1">
      <c r="A164" s="1753"/>
      <c r="B164" s="1405" t="s">
        <v>951</v>
      </c>
      <c r="C164" s="1406">
        <f t="shared" si="38"/>
        <v>227</v>
      </c>
      <c r="D164" s="1406">
        <f>'물사용량 수학적추정'!E101+D126</f>
        <v>279</v>
      </c>
      <c r="E164" s="1406">
        <f>'물사용량 수학적추정'!F101+E126</f>
        <v>253</v>
      </c>
      <c r="F164" s="1406">
        <f>'물사용량 수학적추정'!G101+F126</f>
        <v>229</v>
      </c>
      <c r="G164" s="1406">
        <f>'물사용량 수학적추정'!H101+G126</f>
        <v>205.5</v>
      </c>
      <c r="H164" s="1412"/>
      <c r="I164" s="455">
        <f>+D164-C164</f>
        <v>52</v>
      </c>
      <c r="J164" s="1278">
        <v>370</v>
      </c>
      <c r="K164" s="1278">
        <v>286</v>
      </c>
      <c r="L164" s="1278">
        <v>268</v>
      </c>
      <c r="M164" s="1278">
        <v>268</v>
      </c>
      <c r="N164" s="1278">
        <v>262</v>
      </c>
      <c r="O164" s="1278">
        <v>259</v>
      </c>
      <c r="P164" s="1278">
        <v>217</v>
      </c>
      <c r="Q164" s="444"/>
      <c r="R164" s="444"/>
      <c r="S164" s="444"/>
      <c r="T164" s="444"/>
      <c r="U164" s="444"/>
    </row>
    <row r="165" spans="1:21" s="845" customFormat="1" ht="30" customHeight="1">
      <c r="A165" s="310" t="s">
        <v>1816</v>
      </c>
      <c r="B165" s="313"/>
      <c r="C165" s="313"/>
      <c r="D165" s="313"/>
      <c r="E165" s="313"/>
      <c r="F165" s="313"/>
      <c r="G165" s="313"/>
      <c r="H165" s="313"/>
      <c r="I165" s="455"/>
      <c r="J165" s="1278"/>
      <c r="K165" s="1278"/>
      <c r="L165" s="1278"/>
      <c r="M165" s="1278"/>
      <c r="N165" s="1278"/>
      <c r="O165" s="1278"/>
      <c r="P165" s="1278"/>
    </row>
    <row r="166" spans="1:21" s="845" customFormat="1" ht="30" customHeight="1">
      <c r="A166" s="1722" t="s">
        <v>310</v>
      </c>
      <c r="B166" s="1723"/>
      <c r="C166" s="1402" t="s">
        <v>1504</v>
      </c>
      <c r="D166" s="1402" t="s">
        <v>314</v>
      </c>
      <c r="E166" s="1402" t="s">
        <v>315</v>
      </c>
      <c r="F166" s="1402" t="s">
        <v>316</v>
      </c>
      <c r="G166" s="1402" t="s">
        <v>317</v>
      </c>
      <c r="H166" s="1403" t="s">
        <v>45</v>
      </c>
      <c r="J166" s="1277">
        <v>2011</v>
      </c>
      <c r="K166" s="1277">
        <v>2012</v>
      </c>
      <c r="L166" s="1277">
        <v>2013</v>
      </c>
      <c r="M166" s="1277">
        <v>2014</v>
      </c>
      <c r="N166" s="1277">
        <v>2015</v>
      </c>
      <c r="O166" s="1277">
        <v>2016</v>
      </c>
      <c r="P166" s="1277">
        <v>2017</v>
      </c>
      <c r="Q166" s="444"/>
      <c r="R166" s="444"/>
      <c r="S166" s="444"/>
      <c r="T166" s="444"/>
      <c r="U166" s="444"/>
    </row>
    <row r="167" spans="1:21" s="845" customFormat="1" ht="30" customHeight="1">
      <c r="A167" s="1737" t="s">
        <v>344</v>
      </c>
      <c r="B167" s="1016" t="s">
        <v>944</v>
      </c>
      <c r="C167" s="1039">
        <f t="shared" ref="C167:C172" si="39">P159+C121</f>
        <v>266</v>
      </c>
      <c r="D167" s="1039">
        <f>C167</f>
        <v>266</v>
      </c>
      <c r="E167" s="1039">
        <f>D167</f>
        <v>266</v>
      </c>
      <c r="F167" s="1039">
        <f>E167</f>
        <v>266</v>
      </c>
      <c r="G167" s="1039">
        <f>F167</f>
        <v>266</v>
      </c>
      <c r="H167" s="1404"/>
      <c r="I167" s="455">
        <f>+D167-C167</f>
        <v>0</v>
      </c>
      <c r="J167" s="1278">
        <v>231</v>
      </c>
      <c r="K167" s="1278">
        <v>248</v>
      </c>
      <c r="L167" s="1278">
        <v>257</v>
      </c>
      <c r="M167" s="1278">
        <v>238</v>
      </c>
      <c r="N167" s="1278">
        <v>255</v>
      </c>
      <c r="O167" s="1278">
        <v>262</v>
      </c>
      <c r="P167" s="1278">
        <v>255</v>
      </c>
      <c r="Q167" s="444"/>
      <c r="R167" s="444"/>
      <c r="S167" s="444"/>
      <c r="T167" s="444"/>
      <c r="U167" s="444"/>
    </row>
    <row r="168" spans="1:21" s="845" customFormat="1" ht="30" customHeight="1">
      <c r="A168" s="1738"/>
      <c r="B168" s="1016" t="s">
        <v>945</v>
      </c>
      <c r="C168" s="1039">
        <f t="shared" si="39"/>
        <v>286</v>
      </c>
      <c r="D168" s="1039">
        <f t="shared" ref="D168:G172" si="40">C168</f>
        <v>286</v>
      </c>
      <c r="E168" s="1039">
        <f t="shared" si="40"/>
        <v>286</v>
      </c>
      <c r="F168" s="1039">
        <f t="shared" si="40"/>
        <v>286</v>
      </c>
      <c r="G168" s="1039">
        <f t="shared" si="40"/>
        <v>286</v>
      </c>
      <c r="H168" s="1404"/>
      <c r="I168" s="455">
        <f>+D168-C168</f>
        <v>0</v>
      </c>
      <c r="J168" s="1278">
        <v>227</v>
      </c>
      <c r="K168" s="1278">
        <v>215</v>
      </c>
      <c r="L168" s="1278">
        <v>226</v>
      </c>
      <c r="M168" s="1278">
        <v>224</v>
      </c>
      <c r="N168" s="1278">
        <v>240</v>
      </c>
      <c r="O168" s="1278">
        <v>255</v>
      </c>
      <c r="P168" s="1278">
        <v>274</v>
      </c>
      <c r="Q168" s="444"/>
      <c r="R168" s="444"/>
      <c r="S168" s="444"/>
      <c r="T168" s="444"/>
      <c r="U168" s="444"/>
    </row>
    <row r="169" spans="1:21" s="845" customFormat="1" ht="30" customHeight="1">
      <c r="A169" s="1738"/>
      <c r="B169" s="1019" t="s">
        <v>949</v>
      </c>
      <c r="C169" s="1039">
        <f t="shared" si="39"/>
        <v>276</v>
      </c>
      <c r="D169" s="1039">
        <f t="shared" si="40"/>
        <v>276</v>
      </c>
      <c r="E169" s="1039">
        <f t="shared" si="40"/>
        <v>276</v>
      </c>
      <c r="F169" s="1039">
        <f t="shared" si="40"/>
        <v>276</v>
      </c>
      <c r="G169" s="1039">
        <f t="shared" si="40"/>
        <v>276</v>
      </c>
      <c r="H169" s="1404"/>
      <c r="I169" s="455">
        <f>+D169-C169</f>
        <v>0</v>
      </c>
      <c r="J169" s="1278">
        <v>188</v>
      </c>
      <c r="K169" s="1278">
        <v>211</v>
      </c>
      <c r="L169" s="1278">
        <v>226</v>
      </c>
      <c r="M169" s="1278">
        <v>212</v>
      </c>
      <c r="N169" s="1278">
        <v>227</v>
      </c>
      <c r="O169" s="1278">
        <v>245</v>
      </c>
      <c r="P169" s="1278">
        <v>264</v>
      </c>
      <c r="Q169" s="444"/>
      <c r="R169" s="444"/>
      <c r="S169" s="444"/>
      <c r="T169" s="444"/>
      <c r="U169" s="444"/>
    </row>
    <row r="170" spans="1:21" s="845" customFormat="1" ht="30" customHeight="1">
      <c r="A170" s="1738"/>
      <c r="B170" s="1019" t="s">
        <v>1582</v>
      </c>
      <c r="C170" s="1039">
        <f t="shared" si="39"/>
        <v>233</v>
      </c>
      <c r="D170" s="1039">
        <f t="shared" si="40"/>
        <v>233</v>
      </c>
      <c r="E170" s="1039">
        <f t="shared" si="40"/>
        <v>233</v>
      </c>
      <c r="F170" s="1039">
        <f t="shared" si="40"/>
        <v>233</v>
      </c>
      <c r="G170" s="1039">
        <f t="shared" si="40"/>
        <v>233</v>
      </c>
      <c r="H170" s="1404"/>
      <c r="I170" s="455"/>
      <c r="J170" s="1278">
        <v>123</v>
      </c>
      <c r="K170" s="1278">
        <v>240</v>
      </c>
      <c r="L170" s="1278">
        <v>214</v>
      </c>
      <c r="M170" s="1278">
        <v>185</v>
      </c>
      <c r="N170" s="1278">
        <v>206</v>
      </c>
      <c r="O170" s="1278">
        <v>218</v>
      </c>
      <c r="P170" s="1278">
        <v>223</v>
      </c>
      <c r="Q170" s="444"/>
      <c r="R170" s="444"/>
      <c r="S170" s="444"/>
      <c r="T170" s="444"/>
      <c r="U170" s="444"/>
    </row>
    <row r="171" spans="1:21" s="845" customFormat="1" ht="30" customHeight="1">
      <c r="A171" s="1738"/>
      <c r="B171" s="1019" t="s">
        <v>1497</v>
      </c>
      <c r="C171" s="1039">
        <f t="shared" si="39"/>
        <v>282</v>
      </c>
      <c r="D171" s="1039">
        <f t="shared" si="40"/>
        <v>282</v>
      </c>
      <c r="E171" s="1039">
        <f t="shared" si="40"/>
        <v>282</v>
      </c>
      <c r="F171" s="1039">
        <f t="shared" si="40"/>
        <v>282</v>
      </c>
      <c r="G171" s="1039">
        <f t="shared" si="40"/>
        <v>282</v>
      </c>
      <c r="H171" s="1404"/>
      <c r="I171" s="455"/>
      <c r="J171" s="1278">
        <v>370</v>
      </c>
      <c r="K171" s="1278">
        <v>286</v>
      </c>
      <c r="L171" s="1278">
        <v>268</v>
      </c>
      <c r="M171" s="1278">
        <v>268</v>
      </c>
      <c r="N171" s="1278">
        <v>262</v>
      </c>
      <c r="O171" s="1278">
        <v>274</v>
      </c>
      <c r="P171" s="1278">
        <v>217</v>
      </c>
      <c r="Q171" s="444"/>
      <c r="R171" s="444"/>
      <c r="S171" s="444"/>
      <c r="T171" s="444"/>
      <c r="U171" s="444"/>
    </row>
    <row r="172" spans="1:21" s="845" customFormat="1" ht="26.1" customHeight="1">
      <c r="A172" s="1739"/>
      <c r="B172" s="1405" t="s">
        <v>1580</v>
      </c>
      <c r="C172" s="1406">
        <f t="shared" si="39"/>
        <v>227</v>
      </c>
      <c r="D172" s="1406">
        <f t="shared" si="40"/>
        <v>227</v>
      </c>
      <c r="E172" s="1406">
        <f t="shared" si="40"/>
        <v>227</v>
      </c>
      <c r="F172" s="1406">
        <f t="shared" si="40"/>
        <v>227</v>
      </c>
      <c r="G172" s="1406">
        <f t="shared" si="40"/>
        <v>227</v>
      </c>
      <c r="H172" s="1412"/>
      <c r="I172" s="455">
        <f>+D172-C172</f>
        <v>0</v>
      </c>
      <c r="J172" s="1278">
        <v>248</v>
      </c>
      <c r="K172" s="1278">
        <v>242</v>
      </c>
      <c r="L172" s="1278">
        <v>249</v>
      </c>
      <c r="M172" s="1278">
        <v>262</v>
      </c>
      <c r="N172" s="1278">
        <v>260</v>
      </c>
      <c r="O172" s="1278">
        <v>275</v>
      </c>
      <c r="P172" s="1278">
        <v>270</v>
      </c>
    </row>
    <row r="173" spans="1:21" s="305" customFormat="1" ht="30" customHeight="1">
      <c r="A173" s="312" t="s">
        <v>1815</v>
      </c>
      <c r="B173" s="301"/>
      <c r="C173" s="301"/>
      <c r="D173" s="301"/>
      <c r="E173" s="301"/>
      <c r="F173" s="301"/>
      <c r="G173" s="301"/>
      <c r="H173" s="301"/>
      <c r="J173" s="305" t="s">
        <v>493</v>
      </c>
    </row>
    <row r="174" spans="1:21" s="305" customFormat="1" ht="30" customHeight="1">
      <c r="A174" s="1733" t="s">
        <v>22</v>
      </c>
      <c r="B174" s="1734"/>
      <c r="C174" s="1734" t="s">
        <v>345</v>
      </c>
      <c r="D174" s="1734"/>
      <c r="E174" s="1734"/>
      <c r="F174" s="1734"/>
      <c r="G174" s="1734"/>
      <c r="H174" s="1780" t="s">
        <v>45</v>
      </c>
      <c r="J174" s="1787" t="s">
        <v>15</v>
      </c>
      <c r="K174" s="1787"/>
      <c r="L174" s="448" t="s">
        <v>477</v>
      </c>
      <c r="M174" s="448" t="s">
        <v>479</v>
      </c>
      <c r="N174" s="448" t="s">
        <v>481</v>
      </c>
      <c r="O174" s="448" t="s">
        <v>483</v>
      </c>
      <c r="P174" s="1787" t="s">
        <v>337</v>
      </c>
    </row>
    <row r="175" spans="1:21" s="305" customFormat="1" ht="30" customHeight="1">
      <c r="A175" s="1735"/>
      <c r="B175" s="1736"/>
      <c r="C175" s="1242" t="s">
        <v>869</v>
      </c>
      <c r="D175" s="1381" t="s">
        <v>51</v>
      </c>
      <c r="E175" s="1381" t="s">
        <v>52</v>
      </c>
      <c r="F175" s="1381" t="s">
        <v>269</v>
      </c>
      <c r="G175" s="1242" t="s">
        <v>1906</v>
      </c>
      <c r="H175" s="1781"/>
      <c r="J175" s="1787"/>
      <c r="K175" s="1787"/>
      <c r="L175" s="448" t="s">
        <v>478</v>
      </c>
      <c r="M175" s="448" t="s">
        <v>480</v>
      </c>
      <c r="N175" s="448" t="s">
        <v>482</v>
      </c>
      <c r="O175" s="448" t="s">
        <v>484</v>
      </c>
      <c r="P175" s="1787"/>
    </row>
    <row r="176" spans="1:21" s="305" customFormat="1" ht="30" customHeight="1">
      <c r="A176" s="1731" t="s">
        <v>346</v>
      </c>
      <c r="B176" s="1016" t="s">
        <v>1491</v>
      </c>
      <c r="C176" s="1044">
        <f t="shared" ref="C176:G181" si="41">+C68</f>
        <v>250.26</v>
      </c>
      <c r="D176" s="1044">
        <f t="shared" si="41"/>
        <v>253.17</v>
      </c>
      <c r="E176" s="1044">
        <f t="shared" si="41"/>
        <v>256.08</v>
      </c>
      <c r="F176" s="1044">
        <f t="shared" si="41"/>
        <v>261.90000000000003</v>
      </c>
      <c r="G176" s="1044">
        <f t="shared" si="41"/>
        <v>261.90000000000003</v>
      </c>
      <c r="H176" s="1791"/>
      <c r="J176" s="1782" t="s">
        <v>485</v>
      </c>
      <c r="K176" s="449" t="s">
        <v>384</v>
      </c>
      <c r="L176" s="450">
        <v>220</v>
      </c>
      <c r="M176" s="450">
        <v>220</v>
      </c>
      <c r="N176" s="450">
        <v>220</v>
      </c>
      <c r="O176" s="450">
        <v>220</v>
      </c>
      <c r="P176" s="1782" t="s">
        <v>486</v>
      </c>
    </row>
    <row r="177" spans="1:16" s="305" customFormat="1" ht="30" customHeight="1">
      <c r="A177" s="1731"/>
      <c r="B177" s="1016" t="s">
        <v>1493</v>
      </c>
      <c r="C177" s="1044">
        <f t="shared" si="41"/>
        <v>269.18</v>
      </c>
      <c r="D177" s="1044">
        <f t="shared" si="41"/>
        <v>272.31</v>
      </c>
      <c r="E177" s="1044">
        <f t="shared" si="41"/>
        <v>275.44</v>
      </c>
      <c r="F177" s="1044">
        <f t="shared" si="41"/>
        <v>281.7</v>
      </c>
      <c r="G177" s="1044">
        <f t="shared" si="41"/>
        <v>281.7</v>
      </c>
      <c r="H177" s="1792"/>
      <c r="J177" s="1782"/>
      <c r="K177" s="449" t="s">
        <v>385</v>
      </c>
      <c r="L177" s="450">
        <v>275</v>
      </c>
      <c r="M177" s="450">
        <v>275</v>
      </c>
      <c r="N177" s="450">
        <v>275</v>
      </c>
      <c r="O177" s="450">
        <v>275</v>
      </c>
      <c r="P177" s="1782"/>
    </row>
    <row r="178" spans="1:16" s="845" customFormat="1" ht="30" customHeight="1">
      <c r="A178" s="1731"/>
      <c r="B178" s="1019" t="s">
        <v>1495</v>
      </c>
      <c r="C178" s="1044">
        <f t="shared" si="41"/>
        <v>253.7</v>
      </c>
      <c r="D178" s="1044">
        <f t="shared" si="41"/>
        <v>256.64999999999998</v>
      </c>
      <c r="E178" s="1044">
        <f t="shared" si="41"/>
        <v>259.60000000000002</v>
      </c>
      <c r="F178" s="1044">
        <f t="shared" si="41"/>
        <v>265.5</v>
      </c>
      <c r="G178" s="1044">
        <f t="shared" si="41"/>
        <v>265.5</v>
      </c>
      <c r="H178" s="1792"/>
      <c r="I178" s="305"/>
      <c r="J178" s="1782"/>
      <c r="K178" s="449" t="s">
        <v>386</v>
      </c>
      <c r="L178" s="450">
        <v>413</v>
      </c>
      <c r="M178" s="450">
        <v>413</v>
      </c>
      <c r="N178" s="450">
        <v>413</v>
      </c>
      <c r="O178" s="450">
        <v>413</v>
      </c>
      <c r="P178" s="1782"/>
    </row>
    <row r="179" spans="1:16" s="845" customFormat="1" ht="30" customHeight="1">
      <c r="A179" s="1731"/>
      <c r="B179" s="1019" t="s">
        <v>1581</v>
      </c>
      <c r="C179" s="1044">
        <f t="shared" si="41"/>
        <v>293.26</v>
      </c>
      <c r="D179" s="1044">
        <f t="shared" si="41"/>
        <v>296.67</v>
      </c>
      <c r="E179" s="1044">
        <f t="shared" si="41"/>
        <v>300.08</v>
      </c>
      <c r="F179" s="1044">
        <f t="shared" si="41"/>
        <v>306.90000000000003</v>
      </c>
      <c r="G179" s="1044">
        <f t="shared" si="41"/>
        <v>306.90000000000003</v>
      </c>
      <c r="H179" s="1792"/>
      <c r="J179" s="979"/>
      <c r="K179" s="979"/>
      <c r="L179" s="1043"/>
      <c r="M179" s="1043"/>
      <c r="N179" s="1043"/>
      <c r="O179" s="1043"/>
      <c r="P179" s="979"/>
    </row>
    <row r="180" spans="1:16" s="305" customFormat="1" ht="30" customHeight="1">
      <c r="A180" s="1731"/>
      <c r="B180" s="1019" t="s">
        <v>1497</v>
      </c>
      <c r="C180" s="1044">
        <f t="shared" si="41"/>
        <v>339.7</v>
      </c>
      <c r="D180" s="1044">
        <f t="shared" si="41"/>
        <v>343.65</v>
      </c>
      <c r="E180" s="1044">
        <f t="shared" si="41"/>
        <v>347.6</v>
      </c>
      <c r="F180" s="1044">
        <f t="shared" si="41"/>
        <v>355.5</v>
      </c>
      <c r="G180" s="1044">
        <f t="shared" si="41"/>
        <v>355.5</v>
      </c>
      <c r="H180" s="1792"/>
      <c r="I180" s="845"/>
      <c r="J180" s="979"/>
      <c r="K180" s="979"/>
      <c r="L180" s="1043"/>
      <c r="M180" s="1043"/>
      <c r="N180" s="1043"/>
      <c r="O180" s="1043"/>
      <c r="P180" s="979"/>
    </row>
    <row r="181" spans="1:16" s="305" customFormat="1" ht="30" customHeight="1">
      <c r="A181" s="1731"/>
      <c r="B181" s="1016" t="s">
        <v>1579</v>
      </c>
      <c r="C181" s="1044">
        <f t="shared" si="41"/>
        <v>245.96</v>
      </c>
      <c r="D181" s="1044">
        <f t="shared" si="41"/>
        <v>248.82</v>
      </c>
      <c r="E181" s="1044">
        <f t="shared" si="41"/>
        <v>251.68</v>
      </c>
      <c r="F181" s="1044">
        <f t="shared" si="41"/>
        <v>257.40000000000003</v>
      </c>
      <c r="G181" s="1044">
        <f t="shared" si="41"/>
        <v>257.40000000000003</v>
      </c>
      <c r="H181" s="1793"/>
      <c r="J181" s="1782" t="s">
        <v>487</v>
      </c>
      <c r="K181" s="449" t="s">
        <v>384</v>
      </c>
      <c r="L181" s="450">
        <v>190</v>
      </c>
      <c r="M181" s="450">
        <v>190</v>
      </c>
      <c r="N181" s="450">
        <v>190</v>
      </c>
      <c r="O181" s="450">
        <v>190</v>
      </c>
      <c r="P181" s="1782" t="s">
        <v>488</v>
      </c>
    </row>
    <row r="182" spans="1:16" s="305" customFormat="1" ht="30" customHeight="1">
      <c r="A182" s="1731" t="s">
        <v>347</v>
      </c>
      <c r="B182" s="1016" t="s">
        <v>1491</v>
      </c>
      <c r="C182" s="1044">
        <f t="shared" ref="C182:G187" si="42">+C130</f>
        <v>260</v>
      </c>
      <c r="D182" s="1044">
        <f t="shared" si="42"/>
        <v>260</v>
      </c>
      <c r="E182" s="1044">
        <f t="shared" si="42"/>
        <v>260</v>
      </c>
      <c r="F182" s="1044">
        <f t="shared" si="42"/>
        <v>260</v>
      </c>
      <c r="G182" s="1044">
        <f t="shared" si="42"/>
        <v>260</v>
      </c>
      <c r="H182" s="1788"/>
      <c r="J182" s="1782"/>
      <c r="K182" s="449" t="s">
        <v>385</v>
      </c>
      <c r="L182" s="450">
        <v>238</v>
      </c>
      <c r="M182" s="450">
        <v>238</v>
      </c>
      <c r="N182" s="450">
        <v>238</v>
      </c>
      <c r="O182" s="450">
        <v>238</v>
      </c>
      <c r="P182" s="1782"/>
    </row>
    <row r="183" spans="1:16" s="305" customFormat="1" ht="30" customHeight="1">
      <c r="A183" s="1731"/>
      <c r="B183" s="1016" t="s">
        <v>1493</v>
      </c>
      <c r="C183" s="1044">
        <f t="shared" si="42"/>
        <v>255</v>
      </c>
      <c r="D183" s="1044">
        <f t="shared" si="42"/>
        <v>255</v>
      </c>
      <c r="E183" s="1044">
        <f t="shared" si="42"/>
        <v>255</v>
      </c>
      <c r="F183" s="1044">
        <f t="shared" si="42"/>
        <v>255</v>
      </c>
      <c r="G183" s="1044">
        <f t="shared" si="42"/>
        <v>255</v>
      </c>
      <c r="H183" s="1789"/>
      <c r="J183" s="1782"/>
      <c r="K183" s="449" t="s">
        <v>386</v>
      </c>
      <c r="L183" s="450">
        <v>357</v>
      </c>
      <c r="M183" s="450">
        <v>357</v>
      </c>
      <c r="N183" s="450">
        <v>357</v>
      </c>
      <c r="O183" s="450">
        <v>357</v>
      </c>
      <c r="P183" s="1782"/>
    </row>
    <row r="184" spans="1:16" s="845" customFormat="1" ht="30" customHeight="1">
      <c r="A184" s="1731"/>
      <c r="B184" s="1019" t="s">
        <v>1495</v>
      </c>
      <c r="C184" s="1044">
        <f t="shared" si="42"/>
        <v>297</v>
      </c>
      <c r="D184" s="1044">
        <f t="shared" si="42"/>
        <v>297</v>
      </c>
      <c r="E184" s="1044">
        <f t="shared" si="42"/>
        <v>297</v>
      </c>
      <c r="F184" s="1044">
        <f t="shared" si="42"/>
        <v>297</v>
      </c>
      <c r="G184" s="1044">
        <f t="shared" si="42"/>
        <v>297</v>
      </c>
      <c r="H184" s="1789"/>
      <c r="I184" s="305"/>
      <c r="J184" s="1784" t="s">
        <v>494</v>
      </c>
      <c r="K184" s="449" t="s">
        <v>384</v>
      </c>
      <c r="L184" s="450">
        <v>231</v>
      </c>
      <c r="M184" s="450">
        <v>231</v>
      </c>
      <c r="N184" s="450">
        <v>231</v>
      </c>
      <c r="O184" s="450">
        <v>231</v>
      </c>
      <c r="P184" s="1782" t="s">
        <v>489</v>
      </c>
    </row>
    <row r="185" spans="1:16" s="845" customFormat="1" ht="30" customHeight="1">
      <c r="A185" s="1731"/>
      <c r="B185" s="1019" t="s">
        <v>1581</v>
      </c>
      <c r="C185" s="1044">
        <f t="shared" si="42"/>
        <v>238</v>
      </c>
      <c r="D185" s="1044">
        <f t="shared" si="42"/>
        <v>238</v>
      </c>
      <c r="E185" s="1044">
        <f t="shared" si="42"/>
        <v>238</v>
      </c>
      <c r="F185" s="1044">
        <f t="shared" si="42"/>
        <v>238</v>
      </c>
      <c r="G185" s="1044">
        <f t="shared" si="42"/>
        <v>238</v>
      </c>
      <c r="H185" s="1789"/>
      <c r="J185" s="1785"/>
      <c r="K185" s="979"/>
      <c r="L185" s="1043"/>
      <c r="M185" s="1043"/>
      <c r="N185" s="1043"/>
      <c r="O185" s="1043"/>
      <c r="P185" s="1783"/>
    </row>
    <row r="186" spans="1:16" s="305" customFormat="1" ht="30" customHeight="1">
      <c r="A186" s="1731"/>
      <c r="B186" s="1019" t="s">
        <v>1497</v>
      </c>
      <c r="C186" s="1044">
        <f t="shared" si="42"/>
        <v>311</v>
      </c>
      <c r="D186" s="1044">
        <f t="shared" si="42"/>
        <v>311</v>
      </c>
      <c r="E186" s="1044">
        <f t="shared" si="42"/>
        <v>311</v>
      </c>
      <c r="F186" s="1044">
        <f t="shared" si="42"/>
        <v>311</v>
      </c>
      <c r="G186" s="1044">
        <f t="shared" si="42"/>
        <v>311</v>
      </c>
      <c r="H186" s="1789"/>
      <c r="I186" s="845"/>
      <c r="J186" s="1785"/>
      <c r="K186" s="979"/>
      <c r="L186" s="1043"/>
      <c r="M186" s="1043"/>
      <c r="N186" s="1043"/>
      <c r="O186" s="1043"/>
      <c r="P186" s="1783"/>
    </row>
    <row r="187" spans="1:16" s="845" customFormat="1" ht="30" customHeight="1">
      <c r="A187" s="1731"/>
      <c r="B187" s="1016" t="s">
        <v>1579</v>
      </c>
      <c r="C187" s="1044">
        <f t="shared" si="42"/>
        <v>256</v>
      </c>
      <c r="D187" s="1044">
        <f t="shared" si="42"/>
        <v>256</v>
      </c>
      <c r="E187" s="1044">
        <f t="shared" si="42"/>
        <v>256</v>
      </c>
      <c r="F187" s="1044">
        <f t="shared" si="42"/>
        <v>256</v>
      </c>
      <c r="G187" s="1044">
        <f t="shared" si="42"/>
        <v>256</v>
      </c>
      <c r="H187" s="1790"/>
      <c r="I187" s="305"/>
      <c r="J187" s="1785"/>
      <c r="K187" s="449" t="s">
        <v>385</v>
      </c>
      <c r="L187" s="450">
        <v>289</v>
      </c>
      <c r="M187" s="450">
        <v>289</v>
      </c>
      <c r="N187" s="450">
        <v>289</v>
      </c>
      <c r="O187" s="450">
        <v>289</v>
      </c>
      <c r="P187" s="1782"/>
    </row>
    <row r="188" spans="1:16" s="845" customFormat="1" ht="30" customHeight="1">
      <c r="A188" s="1730" t="s">
        <v>1507</v>
      </c>
      <c r="B188" s="1016" t="s">
        <v>1491</v>
      </c>
      <c r="C188" s="1044">
        <f t="shared" ref="C188:G193" si="43">C167</f>
        <v>266</v>
      </c>
      <c r="D188" s="1044">
        <f t="shared" si="43"/>
        <v>266</v>
      </c>
      <c r="E188" s="1044">
        <f t="shared" si="43"/>
        <v>266</v>
      </c>
      <c r="F188" s="1044">
        <f t="shared" si="43"/>
        <v>266</v>
      </c>
      <c r="G188" s="1044">
        <f t="shared" si="43"/>
        <v>266</v>
      </c>
      <c r="H188" s="1788" t="s">
        <v>1799</v>
      </c>
      <c r="J188" s="1785"/>
      <c r="K188" s="909" t="s">
        <v>385</v>
      </c>
      <c r="L188" s="450">
        <v>238</v>
      </c>
      <c r="M188" s="450">
        <v>238</v>
      </c>
      <c r="N188" s="450">
        <v>238</v>
      </c>
      <c r="O188" s="450">
        <v>238</v>
      </c>
      <c r="P188" s="1783"/>
    </row>
    <row r="189" spans="1:16" s="845" customFormat="1" ht="30" customHeight="1">
      <c r="A189" s="1731"/>
      <c r="B189" s="1016" t="s">
        <v>1493</v>
      </c>
      <c r="C189" s="1044">
        <f t="shared" si="43"/>
        <v>286</v>
      </c>
      <c r="D189" s="1044">
        <f t="shared" si="43"/>
        <v>286</v>
      </c>
      <c r="E189" s="1044">
        <f t="shared" si="43"/>
        <v>286</v>
      </c>
      <c r="F189" s="1044">
        <f t="shared" si="43"/>
        <v>286</v>
      </c>
      <c r="G189" s="1044">
        <f t="shared" si="43"/>
        <v>286</v>
      </c>
      <c r="H189" s="1789"/>
      <c r="J189" s="1785"/>
      <c r="K189" s="909" t="s">
        <v>386</v>
      </c>
      <c r="L189" s="450">
        <v>357</v>
      </c>
      <c r="M189" s="450">
        <v>357</v>
      </c>
      <c r="N189" s="450">
        <v>357</v>
      </c>
      <c r="O189" s="450">
        <v>357</v>
      </c>
      <c r="P189" s="1783"/>
    </row>
    <row r="190" spans="1:16" s="845" customFormat="1" ht="30" customHeight="1">
      <c r="A190" s="1731"/>
      <c r="B190" s="1019" t="s">
        <v>1495</v>
      </c>
      <c r="C190" s="1044">
        <f t="shared" si="43"/>
        <v>276</v>
      </c>
      <c r="D190" s="1044">
        <f t="shared" si="43"/>
        <v>276</v>
      </c>
      <c r="E190" s="1044">
        <f t="shared" si="43"/>
        <v>276</v>
      </c>
      <c r="F190" s="1044">
        <f t="shared" si="43"/>
        <v>276</v>
      </c>
      <c r="G190" s="1044">
        <f t="shared" si="43"/>
        <v>276</v>
      </c>
      <c r="H190" s="1789"/>
      <c r="J190" s="1785"/>
      <c r="K190" s="909" t="s">
        <v>384</v>
      </c>
      <c r="L190" s="450">
        <v>231</v>
      </c>
      <c r="M190" s="450">
        <v>231</v>
      </c>
      <c r="N190" s="450">
        <v>231</v>
      </c>
      <c r="O190" s="450">
        <v>231</v>
      </c>
      <c r="P190" s="1783"/>
    </row>
    <row r="191" spans="1:16" s="845" customFormat="1" ht="30" customHeight="1">
      <c r="A191" s="1731"/>
      <c r="B191" s="1019" t="s">
        <v>1581</v>
      </c>
      <c r="C191" s="1044">
        <f t="shared" si="43"/>
        <v>233</v>
      </c>
      <c r="D191" s="1044">
        <f t="shared" si="43"/>
        <v>233</v>
      </c>
      <c r="E191" s="1044">
        <f t="shared" si="43"/>
        <v>233</v>
      </c>
      <c r="F191" s="1044">
        <f t="shared" si="43"/>
        <v>233</v>
      </c>
      <c r="G191" s="1044">
        <f t="shared" si="43"/>
        <v>233</v>
      </c>
      <c r="H191" s="1789"/>
      <c r="J191" s="1785"/>
      <c r="K191" s="979"/>
      <c r="L191" s="1043"/>
      <c r="M191" s="1043"/>
      <c r="N191" s="1043"/>
      <c r="O191" s="1043"/>
      <c r="P191" s="1783"/>
    </row>
    <row r="192" spans="1:16" s="845" customFormat="1" ht="30" customHeight="1">
      <c r="A192" s="1731"/>
      <c r="B192" s="1019" t="s">
        <v>1497</v>
      </c>
      <c r="C192" s="1044">
        <f t="shared" si="43"/>
        <v>282</v>
      </c>
      <c r="D192" s="1044">
        <f t="shared" si="43"/>
        <v>282</v>
      </c>
      <c r="E192" s="1044">
        <f t="shared" si="43"/>
        <v>282</v>
      </c>
      <c r="F192" s="1044">
        <f t="shared" si="43"/>
        <v>282</v>
      </c>
      <c r="G192" s="1044">
        <f t="shared" si="43"/>
        <v>282</v>
      </c>
      <c r="H192" s="1789"/>
      <c r="J192" s="1785"/>
      <c r="K192" s="979"/>
      <c r="L192" s="1043"/>
      <c r="M192" s="1043"/>
      <c r="N192" s="1043"/>
      <c r="O192" s="1043"/>
      <c r="P192" s="1783"/>
    </row>
    <row r="193" spans="1:16" s="305" customFormat="1" ht="30" customHeight="1">
      <c r="A193" s="1732"/>
      <c r="B193" s="1243" t="s">
        <v>1579</v>
      </c>
      <c r="C193" s="1244">
        <f t="shared" si="43"/>
        <v>227</v>
      </c>
      <c r="D193" s="1244">
        <f t="shared" si="43"/>
        <v>227</v>
      </c>
      <c r="E193" s="1244">
        <f t="shared" si="43"/>
        <v>227</v>
      </c>
      <c r="F193" s="1244">
        <f t="shared" si="43"/>
        <v>227</v>
      </c>
      <c r="G193" s="1244">
        <f t="shared" si="43"/>
        <v>227</v>
      </c>
      <c r="H193" s="1789"/>
      <c r="I193" s="845"/>
      <c r="J193" s="1785"/>
      <c r="K193" s="909" t="s">
        <v>385</v>
      </c>
      <c r="L193" s="450">
        <v>289</v>
      </c>
      <c r="M193" s="450">
        <v>289</v>
      </c>
      <c r="N193" s="450">
        <v>289</v>
      </c>
      <c r="O193" s="450">
        <v>289</v>
      </c>
      <c r="P193" s="1783"/>
    </row>
    <row r="194" spans="1:16" s="305" customFormat="1" ht="30" customHeight="1">
      <c r="A194" s="1777" t="s">
        <v>1798</v>
      </c>
      <c r="B194" s="1245" t="s">
        <v>1491</v>
      </c>
      <c r="C194" s="1246">
        <f>C188</f>
        <v>266</v>
      </c>
      <c r="D194" s="1246">
        <f t="shared" ref="D194:G194" si="44">D188</f>
        <v>266</v>
      </c>
      <c r="E194" s="1246">
        <f t="shared" si="44"/>
        <v>266</v>
      </c>
      <c r="F194" s="1246">
        <f t="shared" si="44"/>
        <v>266</v>
      </c>
      <c r="G194" s="1246">
        <f t="shared" si="44"/>
        <v>266</v>
      </c>
      <c r="H194" s="1708"/>
      <c r="J194" s="1786"/>
      <c r="K194" s="449" t="s">
        <v>386</v>
      </c>
      <c r="L194" s="450">
        <v>434</v>
      </c>
      <c r="M194" s="450">
        <v>434</v>
      </c>
      <c r="N194" s="450">
        <v>434</v>
      </c>
      <c r="O194" s="450">
        <v>434</v>
      </c>
      <c r="P194" s="1782"/>
    </row>
    <row r="195" spans="1:16" s="305" customFormat="1" ht="30" customHeight="1">
      <c r="A195" s="1778"/>
      <c r="B195" s="1016" t="s">
        <v>1493</v>
      </c>
      <c r="C195" s="1247">
        <f t="shared" ref="C195:G195" si="45">C189</f>
        <v>286</v>
      </c>
      <c r="D195" s="1247">
        <f t="shared" si="45"/>
        <v>286</v>
      </c>
      <c r="E195" s="1247">
        <f t="shared" si="45"/>
        <v>286</v>
      </c>
      <c r="F195" s="1247">
        <f t="shared" si="45"/>
        <v>286</v>
      </c>
      <c r="G195" s="1247">
        <f t="shared" si="45"/>
        <v>286</v>
      </c>
      <c r="H195" s="1709"/>
      <c r="J195" s="1784" t="s">
        <v>490</v>
      </c>
      <c r="K195" s="449" t="s">
        <v>384</v>
      </c>
      <c r="L195" s="450">
        <v>160</v>
      </c>
      <c r="M195" s="450">
        <v>160</v>
      </c>
      <c r="N195" s="450">
        <v>160</v>
      </c>
      <c r="O195" s="450">
        <v>160</v>
      </c>
      <c r="P195" s="449" t="s">
        <v>491</v>
      </c>
    </row>
    <row r="196" spans="1:16" s="845" customFormat="1" ht="30" customHeight="1">
      <c r="A196" s="1778"/>
      <c r="B196" s="1019" t="s">
        <v>1495</v>
      </c>
      <c r="C196" s="1247">
        <f t="shared" ref="C196:G196" si="46">C190</f>
        <v>276</v>
      </c>
      <c r="D196" s="1247">
        <f t="shared" si="46"/>
        <v>276</v>
      </c>
      <c r="E196" s="1247">
        <f t="shared" si="46"/>
        <v>276</v>
      </c>
      <c r="F196" s="1247">
        <f t="shared" si="46"/>
        <v>276</v>
      </c>
      <c r="G196" s="1247">
        <f t="shared" si="46"/>
        <v>276</v>
      </c>
      <c r="H196" s="1709"/>
      <c r="I196" s="305"/>
      <c r="J196" s="1785"/>
      <c r="K196" s="449" t="s">
        <v>385</v>
      </c>
      <c r="L196" s="450">
        <v>200</v>
      </c>
      <c r="M196" s="450">
        <v>200</v>
      </c>
      <c r="N196" s="450">
        <v>200</v>
      </c>
      <c r="O196" s="450">
        <v>200</v>
      </c>
      <c r="P196" s="449" t="s">
        <v>492</v>
      </c>
    </row>
    <row r="197" spans="1:16" s="845" customFormat="1" ht="30" customHeight="1">
      <c r="A197" s="1778"/>
      <c r="B197" s="1019" t="s">
        <v>1581</v>
      </c>
      <c r="C197" s="1247">
        <f t="shared" ref="C197:G197" si="47">C191</f>
        <v>233</v>
      </c>
      <c r="D197" s="1247">
        <f t="shared" si="47"/>
        <v>233</v>
      </c>
      <c r="E197" s="1247">
        <f t="shared" si="47"/>
        <v>233</v>
      </c>
      <c r="F197" s="1247">
        <f t="shared" si="47"/>
        <v>233</v>
      </c>
      <c r="G197" s="1247">
        <f t="shared" si="47"/>
        <v>233</v>
      </c>
      <c r="H197" s="1709"/>
      <c r="J197" s="1785"/>
      <c r="K197" s="979"/>
      <c r="L197" s="1043"/>
      <c r="M197" s="1043"/>
      <c r="N197" s="1043"/>
      <c r="O197" s="1043"/>
      <c r="P197" s="979"/>
    </row>
    <row r="198" spans="1:16" s="305" customFormat="1" ht="30" customHeight="1">
      <c r="A198" s="1778"/>
      <c r="B198" s="1019" t="s">
        <v>1497</v>
      </c>
      <c r="C198" s="1247">
        <f t="shared" ref="C198:G198" si="48">C192</f>
        <v>282</v>
      </c>
      <c r="D198" s="1247">
        <f t="shared" si="48"/>
        <v>282</v>
      </c>
      <c r="E198" s="1247">
        <f t="shared" si="48"/>
        <v>282</v>
      </c>
      <c r="F198" s="1247">
        <f t="shared" si="48"/>
        <v>282</v>
      </c>
      <c r="G198" s="1247">
        <f t="shared" si="48"/>
        <v>282</v>
      </c>
      <c r="H198" s="1709"/>
      <c r="I198" s="845"/>
      <c r="J198" s="1785"/>
      <c r="K198" s="979"/>
      <c r="L198" s="1043"/>
      <c r="M198" s="1043"/>
      <c r="N198" s="1043"/>
      <c r="O198" s="1043"/>
      <c r="P198" s="979"/>
    </row>
    <row r="199" spans="1:16" ht="24.95" customHeight="1">
      <c r="A199" s="1779"/>
      <c r="B199" s="1022" t="s">
        <v>1579</v>
      </c>
      <c r="C199" s="1248">
        <f t="shared" ref="C199:G199" si="49">C193</f>
        <v>227</v>
      </c>
      <c r="D199" s="1248">
        <f t="shared" si="49"/>
        <v>227</v>
      </c>
      <c r="E199" s="1248">
        <f t="shared" si="49"/>
        <v>227</v>
      </c>
      <c r="F199" s="1248">
        <f t="shared" si="49"/>
        <v>227</v>
      </c>
      <c r="G199" s="1248">
        <f t="shared" si="49"/>
        <v>227</v>
      </c>
      <c r="H199" s="1710"/>
      <c r="I199" s="305"/>
      <c r="J199" s="1786"/>
      <c r="K199" s="449" t="s">
        <v>386</v>
      </c>
      <c r="L199" s="450">
        <v>300</v>
      </c>
      <c r="M199" s="450">
        <v>300</v>
      </c>
      <c r="N199" s="450">
        <v>300</v>
      </c>
      <c r="O199" s="450">
        <v>300</v>
      </c>
      <c r="P199" s="451"/>
    </row>
    <row r="200" spans="1:16" ht="24.95" customHeight="1">
      <c r="A200" s="282"/>
      <c r="B200" s="320"/>
      <c r="C200" s="321"/>
      <c r="D200" s="321"/>
      <c r="E200" s="321"/>
      <c r="F200" s="321"/>
      <c r="G200" s="321"/>
      <c r="H200" s="322"/>
    </row>
    <row r="201" spans="1:16" ht="24.95" customHeight="1">
      <c r="A201" s="282"/>
      <c r="B201" s="320"/>
      <c r="C201" s="321"/>
      <c r="D201" s="321"/>
      <c r="E201" s="321"/>
      <c r="F201" s="321"/>
      <c r="G201" s="321"/>
      <c r="H201" s="322"/>
    </row>
    <row r="202" spans="1:16">
      <c r="A202" s="282"/>
      <c r="B202" s="320"/>
      <c r="C202" s="321"/>
      <c r="D202" s="321"/>
      <c r="E202" s="321"/>
      <c r="F202" s="321"/>
      <c r="G202" s="321"/>
      <c r="H202" s="322"/>
    </row>
    <row r="203" spans="1:16">
      <c r="A203" s="283"/>
      <c r="B203" s="320"/>
      <c r="C203" s="321"/>
      <c r="D203" s="321"/>
      <c r="E203" s="321"/>
      <c r="F203" s="321"/>
      <c r="G203" s="321"/>
      <c r="H203" s="322"/>
    </row>
    <row r="204" spans="1:16">
      <c r="A204" s="283"/>
      <c r="B204" s="320"/>
      <c r="C204" s="321"/>
      <c r="D204" s="321"/>
      <c r="E204" s="321"/>
      <c r="F204" s="321"/>
      <c r="G204" s="321"/>
      <c r="H204" s="322"/>
    </row>
    <row r="205" spans="1:16">
      <c r="A205" s="283"/>
      <c r="B205" s="320"/>
      <c r="C205" s="321"/>
      <c r="D205" s="321"/>
      <c r="E205" s="321"/>
      <c r="F205" s="321"/>
      <c r="G205" s="321"/>
      <c r="H205" s="322"/>
    </row>
  </sheetData>
  <mergeCells count="102">
    <mergeCell ref="A194:A199"/>
    <mergeCell ref="C174:G174"/>
    <mergeCell ref="H174:H175"/>
    <mergeCell ref="A176:A181"/>
    <mergeCell ref="J111:J112"/>
    <mergeCell ref="A129:B129"/>
    <mergeCell ref="G111:G112"/>
    <mergeCell ref="H111:H112"/>
    <mergeCell ref="P184:P194"/>
    <mergeCell ref="J195:J199"/>
    <mergeCell ref="J184:J194"/>
    <mergeCell ref="J174:K175"/>
    <mergeCell ref="A130:A135"/>
    <mergeCell ref="H188:H193"/>
    <mergeCell ref="H182:H187"/>
    <mergeCell ref="H176:H181"/>
    <mergeCell ref="K111:O111"/>
    <mergeCell ref="P111:P112"/>
    <mergeCell ref="P174:P175"/>
    <mergeCell ref="J176:J178"/>
    <mergeCell ref="P176:P178"/>
    <mergeCell ref="J181:J183"/>
    <mergeCell ref="P181:P183"/>
    <mergeCell ref="J120:J121"/>
    <mergeCell ref="J46:K46"/>
    <mergeCell ref="H44:H45"/>
    <mergeCell ref="C44:G44"/>
    <mergeCell ref="A79:A88"/>
    <mergeCell ref="A89:A91"/>
    <mergeCell ref="C54:G54"/>
    <mergeCell ref="A54:B55"/>
    <mergeCell ref="H54:H55"/>
    <mergeCell ref="A56:A61"/>
    <mergeCell ref="A68:A73"/>
    <mergeCell ref="A62:A67"/>
    <mergeCell ref="A77:B78"/>
    <mergeCell ref="C77:C78"/>
    <mergeCell ref="D77:F77"/>
    <mergeCell ref="A5:A6"/>
    <mergeCell ref="A17:A19"/>
    <mergeCell ref="G11:H11"/>
    <mergeCell ref="G12:H12"/>
    <mergeCell ref="G13:H13"/>
    <mergeCell ref="G14:H14"/>
    <mergeCell ref="G5:H6"/>
    <mergeCell ref="G9:H9"/>
    <mergeCell ref="G10:H10"/>
    <mergeCell ref="G15:H15"/>
    <mergeCell ref="G16:H16"/>
    <mergeCell ref="G19:H19"/>
    <mergeCell ref="G18:H18"/>
    <mergeCell ref="G17:H17"/>
    <mergeCell ref="G8:H8"/>
    <mergeCell ref="G7:H7"/>
    <mergeCell ref="A41:B41"/>
    <mergeCell ref="Q120:Q121"/>
    <mergeCell ref="K127:P127"/>
    <mergeCell ref="A154:A156"/>
    <mergeCell ref="A166:B166"/>
    <mergeCell ref="C145:C146"/>
    <mergeCell ref="D145:F145"/>
    <mergeCell ref="G145:G146"/>
    <mergeCell ref="H145:H146"/>
    <mergeCell ref="A120:B120"/>
    <mergeCell ref="A159:A164"/>
    <mergeCell ref="A145:B146"/>
    <mergeCell ref="A147:A153"/>
    <mergeCell ref="G77:G78"/>
    <mergeCell ref="Q111:Q112"/>
    <mergeCell ref="K118:P118"/>
    <mergeCell ref="K120:O120"/>
    <mergeCell ref="P120:P121"/>
    <mergeCell ref="A121:A126"/>
    <mergeCell ref="A136:A141"/>
    <mergeCell ref="J42:K42"/>
    <mergeCell ref="J43:K43"/>
    <mergeCell ref="J44:K44"/>
    <mergeCell ref="J45:K45"/>
    <mergeCell ref="H194:H199"/>
    <mergeCell ref="A21:B21"/>
    <mergeCell ref="A22:A27"/>
    <mergeCell ref="A103:B103"/>
    <mergeCell ref="A104:A109"/>
    <mergeCell ref="A158:B158"/>
    <mergeCell ref="A29:B29"/>
    <mergeCell ref="A30:A35"/>
    <mergeCell ref="A38:B38"/>
    <mergeCell ref="A39:B39"/>
    <mergeCell ref="A40:B40"/>
    <mergeCell ref="A46:A51"/>
    <mergeCell ref="A95:B95"/>
    <mergeCell ref="A96:A101"/>
    <mergeCell ref="A111:A112"/>
    <mergeCell ref="B111:F111"/>
    <mergeCell ref="B118:G118"/>
    <mergeCell ref="A188:A193"/>
    <mergeCell ref="A182:A187"/>
    <mergeCell ref="A174:B175"/>
    <mergeCell ref="A167:A172"/>
    <mergeCell ref="A42:B42"/>
    <mergeCell ref="A44:B45"/>
    <mergeCell ref="H77:H78"/>
  </mergeCells>
  <phoneticPr fontId="7" type="noConversion"/>
  <pageMargins left="0.7" right="0.7" top="0.75" bottom="0.75" header="0.3" footer="0.3"/>
  <pageSetup paperSize="9" scale="82" orientation="portrait" r:id="rId1"/>
  <rowBreaks count="5" manualBreakCount="5">
    <brk id="42" max="7" man="1"/>
    <brk id="74" max="7" man="1"/>
    <brk id="109" max="7" man="1"/>
    <brk id="142" max="7" man="1"/>
    <brk id="172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80</vt:i4>
      </vt:variant>
      <vt:variant>
        <vt:lpstr>이름이 지정된 범위</vt:lpstr>
      </vt:variant>
      <vt:variant>
        <vt:i4>32</vt:i4>
      </vt:variant>
    </vt:vector>
  </HeadingPairs>
  <TitlesOfParts>
    <vt:vector size="112" baseType="lpstr">
      <vt:lpstr>1.계획하수량 원단위 총괄</vt:lpstr>
      <vt:lpstr>2.음성군급수총괄</vt:lpstr>
      <vt:lpstr>3.면별급수현황</vt:lpstr>
      <vt:lpstr>4.상수사용량현황</vt:lpstr>
      <vt:lpstr>4.1사용실적산정</vt:lpstr>
      <vt:lpstr>5.생산량분석</vt:lpstr>
      <vt:lpstr>6. 물사용량 실적산정</vt:lpstr>
      <vt:lpstr>유효무수수량 산정</vt:lpstr>
      <vt:lpstr>6.상수사용량원단위</vt:lpstr>
      <vt:lpstr>6.1. 상수사용량원단위 (맹동신규)</vt:lpstr>
      <vt:lpstr>6.1관련계획</vt:lpstr>
      <vt:lpstr>7.생활오수량 원단위</vt:lpstr>
      <vt:lpstr>7.1소규모원단위</vt:lpstr>
      <vt:lpstr>8.지하수사용량</vt:lpstr>
      <vt:lpstr>10.관광오수량 원단위</vt:lpstr>
      <vt:lpstr>11.연계처리용량 및 수질</vt:lpstr>
      <vt:lpstr>12.기타하수량</vt:lpstr>
      <vt:lpstr>출력금지&gt;&gt;</vt:lpstr>
      <vt:lpstr>분뇨연계처리수</vt:lpstr>
      <vt:lpstr>음성분뇨연계</vt:lpstr>
      <vt:lpstr>슬러지처리시설</vt:lpstr>
      <vt:lpstr>9715부대</vt:lpstr>
      <vt:lpstr>602대대</vt:lpstr>
      <vt:lpstr>상수도사용원단위</vt:lpstr>
      <vt:lpstr>급수량원단위추정</vt:lpstr>
      <vt:lpstr>사용량 수학적추정</vt:lpstr>
      <vt:lpstr>물사용량 수학적추정</vt:lpstr>
      <vt:lpstr>급수량==&gt;</vt:lpstr>
      <vt:lpstr>음성읍(10년)</vt:lpstr>
      <vt:lpstr>음성읍(5년)</vt:lpstr>
      <vt:lpstr>금왕읍(10년)</vt:lpstr>
      <vt:lpstr>금왕읍(5년)</vt:lpstr>
      <vt:lpstr>대소면(10년)</vt:lpstr>
      <vt:lpstr>대소면(5년)</vt:lpstr>
      <vt:lpstr>삼성면(10년)</vt:lpstr>
      <vt:lpstr>삼성면(5년)</vt:lpstr>
      <vt:lpstr>감곡면(10년)</vt:lpstr>
      <vt:lpstr>감곡면(5년)</vt:lpstr>
      <vt:lpstr>생극면(10년)</vt:lpstr>
      <vt:lpstr>생극면(5년)</vt:lpstr>
      <vt:lpstr>사용량==&gt;</vt:lpstr>
      <vt:lpstr>음성읍(10년) (사)</vt:lpstr>
      <vt:lpstr>음성읍(5년) (사)</vt:lpstr>
      <vt:lpstr>금왕읍(10년) (사)</vt:lpstr>
      <vt:lpstr>금왕읍(5년) (사)</vt:lpstr>
      <vt:lpstr>대소면(10년) (사)</vt:lpstr>
      <vt:lpstr>대소면(5년) (사)</vt:lpstr>
      <vt:lpstr>삼성면(10년) (사)</vt:lpstr>
      <vt:lpstr>삼성면(5년) (사)</vt:lpstr>
      <vt:lpstr>감곡면(10년) (사)</vt:lpstr>
      <vt:lpstr>감곡면(5년) (사)</vt:lpstr>
      <vt:lpstr>생극면(10년) (사)</vt:lpstr>
      <vt:lpstr>생극면(5년) (사)</vt:lpstr>
      <vt:lpstr>물사용량==&gt;</vt:lpstr>
      <vt:lpstr>음성읍(10년) (물)</vt:lpstr>
      <vt:lpstr>음성읍(5년) (물)</vt:lpstr>
      <vt:lpstr>금왕읍(10년) (물)</vt:lpstr>
      <vt:lpstr>금왕읍(5년) (물)</vt:lpstr>
      <vt:lpstr>소이면(10년) (물)</vt:lpstr>
      <vt:lpstr>소이면(5년) (물)</vt:lpstr>
      <vt:lpstr>원남면(10년) (물)</vt:lpstr>
      <vt:lpstr>원남면(5년) (물)</vt:lpstr>
      <vt:lpstr>맹동면(10년) (물)</vt:lpstr>
      <vt:lpstr>맹동면(5년) (물)</vt:lpstr>
      <vt:lpstr>대소면(10년) (물)</vt:lpstr>
      <vt:lpstr>대소면(5년) (물)</vt:lpstr>
      <vt:lpstr>삼성면(10년) (물)</vt:lpstr>
      <vt:lpstr>삼성면(5년) (물)</vt:lpstr>
      <vt:lpstr>생극면(10년) (물)</vt:lpstr>
      <vt:lpstr>생극면(5년) (물)</vt:lpstr>
      <vt:lpstr>감곡면(10년) (물)</vt:lpstr>
      <vt:lpstr>감곡면(5년) (물)</vt:lpstr>
      <vt:lpstr>집계표 (2)</vt:lpstr>
      <vt:lpstr>집계표</vt:lpstr>
      <vt:lpstr>소규모</vt:lpstr>
      <vt:lpstr>부윤(검측)</vt:lpstr>
      <vt:lpstr>미곡(검측)</vt:lpstr>
      <vt:lpstr>관성(검측)</vt:lpstr>
      <vt:lpstr>단평(검측)</vt:lpstr>
      <vt:lpstr>오궁(검측)</vt:lpstr>
      <vt:lpstr>'1.계획하수량 원단위 총괄'!Print_Area</vt:lpstr>
      <vt:lpstr>'11.연계처리용량 및 수질'!Print_Area</vt:lpstr>
      <vt:lpstr>'12.기타하수량'!Print_Area</vt:lpstr>
      <vt:lpstr>'2.음성군급수총괄'!Print_Area</vt:lpstr>
      <vt:lpstr>'3.면별급수현황'!Print_Area</vt:lpstr>
      <vt:lpstr>'4.1사용실적산정'!Print_Area</vt:lpstr>
      <vt:lpstr>'4.상수사용량현황'!Print_Area</vt:lpstr>
      <vt:lpstr>'5.생산량분석'!Print_Area</vt:lpstr>
      <vt:lpstr>'6. 물사용량 실적산정'!Print_Area</vt:lpstr>
      <vt:lpstr>'6.1. 상수사용량원단위 (맹동신규)'!Print_Area</vt:lpstr>
      <vt:lpstr>'6.1관련계획'!Print_Area</vt:lpstr>
      <vt:lpstr>'6.상수사용량원단위'!Print_Area</vt:lpstr>
      <vt:lpstr>'7.생활오수량 원단위'!Print_Area</vt:lpstr>
      <vt:lpstr>'8.지하수사용량'!Print_Area</vt:lpstr>
      <vt:lpstr>'관성(검측)'!Print_Area</vt:lpstr>
      <vt:lpstr>급수량원단위추정!Print_Area</vt:lpstr>
      <vt:lpstr>'단평(검측)'!Print_Area</vt:lpstr>
      <vt:lpstr>'물사용량 수학적추정'!Print_Area</vt:lpstr>
      <vt:lpstr>'미곡(검측)'!Print_Area</vt:lpstr>
      <vt:lpstr>'부윤(검측)'!Print_Area</vt:lpstr>
      <vt:lpstr>분뇨연계처리수!Print_Area</vt:lpstr>
      <vt:lpstr>'사용량 수학적추정'!Print_Area</vt:lpstr>
      <vt:lpstr>상수도사용원단위!Print_Area</vt:lpstr>
      <vt:lpstr>슬러지처리시설!Print_Area</vt:lpstr>
      <vt:lpstr>'오궁(검측)'!Print_Area</vt:lpstr>
      <vt:lpstr>'1.계획하수량 원단위 총괄'!Print_Titles</vt:lpstr>
      <vt:lpstr>'3.면별급수현황'!Print_Titles</vt:lpstr>
      <vt:lpstr>'4.1사용실적산정'!Print_Titles</vt:lpstr>
      <vt:lpstr>'4.상수사용량현황'!Print_Titles</vt:lpstr>
      <vt:lpstr>'6. 물사용량 실적산정'!Print_Titles</vt:lpstr>
      <vt:lpstr>'9715부대'!Print_Titles</vt:lpstr>
      <vt:lpstr>슬러지처리시설!Print_Titles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임성우</cp:lastModifiedBy>
  <cp:lastPrinted>2018-08-09T06:55:14Z</cp:lastPrinted>
  <dcterms:created xsi:type="dcterms:W3CDTF">2008-09-08T03:37:26Z</dcterms:created>
  <dcterms:modified xsi:type="dcterms:W3CDTF">2018-11-14T05:24:36Z</dcterms:modified>
</cp:coreProperties>
</file>